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style1.xml" ContentType="application/vnd.ms-office.chartstyle+xml"/>
  <Override PartName="/xl/charts/colors1.xml" ContentType="application/vnd.ms-office.chartcolorstyle+xml"/>
  <Override PartName="/xl/charts/chart6.xml" ContentType="application/vnd.openxmlformats-officedocument.drawingml.chart+xml"/>
  <Override PartName="/xl/charts/chart7.xml" ContentType="application/vnd.openxmlformats-officedocument.drawingml.chart+xml"/>
  <Override PartName="/xl/drawings/drawing2.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style2.xml" ContentType="application/vnd.ms-office.chartstyle+xml"/>
  <Override PartName="/xl/charts/colors2.xml" ContentType="application/vnd.ms-office.chartcolorstyle+xml"/>
  <Override PartName="/xl/charts/chart11.xml" ContentType="application/vnd.openxmlformats-officedocument.drawingml.chart+xml"/>
  <Override PartName="/xl/charts/chart12.xml" ContentType="application/vnd.openxmlformats-officedocument.drawingml.chart+xml"/>
  <Override PartName="/xl/drawings/drawing3.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style3.xml" ContentType="application/vnd.ms-office.chartstyle+xml"/>
  <Override PartName="/xl/charts/colors3.xml" ContentType="application/vnd.ms-office.chartcolorstyle+xml"/>
  <Override PartName="/xl/charts/chart16.xml" ContentType="application/vnd.openxmlformats-officedocument.drawingml.chart+xml"/>
  <Override PartName="/xl/charts/chart17.xml" ContentType="application/vnd.openxmlformats-officedocument.drawingml.chart+xml"/>
  <Override PartName="/xl/drawings/drawing4.xml" ContentType="application/vnd.openxmlformats-officedocument.drawing+xml"/>
  <Override PartName="/xl/comments2.xml" ContentType="application/vnd.openxmlformats-officedocument.spreadsheetml.comments+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style4.xml" ContentType="application/vnd.ms-office.chartstyle+xml"/>
  <Override PartName="/xl/charts/colors4.xml" ContentType="application/vnd.ms-office.chartcolorstyle+xml"/>
  <Override PartName="/xl/charts/chart21.xml" ContentType="application/vnd.openxmlformats-officedocument.drawingml.chart+xml"/>
  <Override PartName="/xl/charts/chart22.xml" ContentType="application/vnd.openxmlformats-officedocument.drawingml.chart+xml"/>
  <Override PartName="/xl/drawings/drawing5.xml" ContentType="application/vnd.openxmlformats-officedocument.drawing+xml"/>
  <Override PartName="/xl/comments3.xml" ContentType="application/vnd.openxmlformats-officedocument.spreadsheetml.comments+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style5.xml" ContentType="application/vnd.ms-office.chartstyle+xml"/>
  <Override PartName="/xl/charts/colors5.xml" ContentType="application/vnd.ms-office.chartcolorstyle+xml"/>
  <Override PartName="/xl/charts/chart26.xml" ContentType="application/vnd.openxmlformats-officedocument.drawingml.chart+xml"/>
  <Override PartName="/xl/charts/chart27.xml" ContentType="application/vnd.openxmlformats-officedocument.drawingml.chart+xml"/>
  <Override PartName="/xl/drawings/drawing6.xml" ContentType="application/vnd.openxmlformats-officedocument.drawing+xml"/>
  <Override PartName="/xl/comments4.xml" ContentType="application/vnd.openxmlformats-officedocument.spreadsheetml.comments+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charts/style6.xml" ContentType="application/vnd.ms-office.chartstyle+xml"/>
  <Override PartName="/xl/charts/colors6.xml" ContentType="application/vnd.ms-office.chartcolorstyle+xml"/>
  <Override PartName="/xl/charts/chart33.xml" ContentType="application/vnd.openxmlformats-officedocument.drawingml.chart+xml"/>
  <Override PartName="/xl/charts/chart34.xml" ContentType="application/vnd.openxmlformats-officedocument.drawingml.chart+xml"/>
  <Override PartName="/xl/drawings/drawing7.xml" ContentType="application/vnd.openxmlformats-officedocument.drawing+xml"/>
  <Override PartName="/xl/comments5.xml" ContentType="application/vnd.openxmlformats-officedocument.spreadsheetml.comments+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style7.xml" ContentType="application/vnd.ms-office.chartstyle+xml"/>
  <Override PartName="/xl/charts/colors7.xml" ContentType="application/vnd.ms-office.chartcolorstyle+xml"/>
  <Override PartName="/xl/charts/chart38.xml" ContentType="application/vnd.openxmlformats-officedocument.drawingml.chart+xml"/>
  <Override PartName="/xl/charts/chart39.xml" ContentType="application/vnd.openxmlformats-officedocument.drawingml.chart+xml"/>
  <Override PartName="/xl/drawings/drawing8.xml" ContentType="application/vnd.openxmlformats-officedocument.drawing+xml"/>
  <Override PartName="/xl/drawings/drawing9.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defaultThemeVersion="124226"/>
  <mc:AlternateContent xmlns:mc="http://schemas.openxmlformats.org/markup-compatibility/2006">
    <mc:Choice Requires="x15">
      <x15ac:absPath xmlns:x15ac="http://schemas.microsoft.com/office/spreadsheetml/2010/11/ac" url="https://ibecforms-my.sharepoint.com/personal/nkawatsu_ibecforms_onmicrosoft_com/Documents/＠ライズプラス様・CASBEE認証物件HP掲載依頼分/20260323不動産・評価ソフト更新/"/>
    </mc:Choice>
  </mc:AlternateContent>
  <xr:revisionPtr revIDLastSave="0" documentId="13_ncr:1_{FA99280E-E5CE-40C4-BB71-3D08A05B8165}" xr6:coauthVersionLast="47" xr6:coauthVersionMax="47" xr10:uidLastSave="{00000000-0000-0000-0000-000000000000}"/>
  <bookViews>
    <workbookView xWindow="1080" yWindow="600" windowWidth="27255" windowHeight="14880" tabRatio="863" activeTab="14" xr2:uid="{00000000-000D-0000-FFFF-FFFF00000000}"/>
  </bookViews>
  <sheets>
    <sheet name="オフィス評価結果" sheetId="9" r:id="rId1"/>
    <sheet name="店舗評価結果" sheetId="1" r:id="rId2"/>
    <sheet name="物流評価結果" sheetId="12" r:id="rId3"/>
    <sheet name="ホテル評価結果" sheetId="24" r:id="rId4"/>
    <sheet name="集合住宅評価結果" sheetId="14" r:id="rId5"/>
    <sheet name="オフィス改修評価結果" sheetId="15" r:id="rId6"/>
    <sheet name="店舗改修評価結果" sheetId="17" r:id="rId7"/>
    <sheet name="SDGs結果表示" sheetId="18" state="hidden" r:id="rId8"/>
    <sheet name="建築環境SDGsチェックリスト" sheetId="16" r:id="rId9"/>
    <sheet name="オフィス水計算ソフト" sheetId="7" r:id="rId10"/>
    <sheet name="①店舗スコア表" sheetId="10" r:id="rId11"/>
    <sheet name="②店舗スコア表" sheetId="11" r:id="rId12"/>
    <sheet name="店舗水計算ソフト" sheetId="8" r:id="rId13"/>
    <sheet name="ホテル水計算ソフト" sheetId="23" r:id="rId14"/>
    <sheet name="複合スコア表" sheetId="25" r:id="rId15"/>
    <sheet name="クレジット" sheetId="4" r:id="rId16"/>
  </sheets>
  <externalReferences>
    <externalReference r:id="rId17"/>
    <externalReference r:id="rId18"/>
  </externalReferences>
  <definedNames>
    <definedName name="_xlnm.Print_Area" localSheetId="5">オフィス改修評価結果!$B$2:$Q$137</definedName>
    <definedName name="_xlnm.Print_Area" localSheetId="9">オフィス水計算ソフト!$B$2:$S$63</definedName>
    <definedName name="_xlnm.Print_Area" localSheetId="0">オフィス評価結果!$B$2:$Q$137</definedName>
    <definedName name="_xlnm.Print_Area" localSheetId="15">クレジット!$A$1:$Q$37</definedName>
    <definedName name="_xlnm.Print_Area" localSheetId="13">ホテル水計算ソフト!$A$1:$X$89</definedName>
    <definedName name="_xlnm.Print_Area" localSheetId="3">ホテル評価結果!$B$2:$Q$137</definedName>
    <definedName name="_xlnm.Print_Area" localSheetId="8">建築環境SDGsチェックリスト!$A$1:$L$114</definedName>
    <definedName name="_xlnm.Print_Area" localSheetId="4">集合住宅評価結果!$B$2:$Q$137</definedName>
    <definedName name="_xlnm.Print_Area" localSheetId="6">店舗改修評価結果!$B$2:$Q$137</definedName>
    <definedName name="_xlnm.Print_Area" localSheetId="12">店舗水計算ソフト!$A$1:$X$80</definedName>
    <definedName name="_xlnm.Print_Area" localSheetId="1">店舗評価結果!$B$2:$Q$137</definedName>
    <definedName name="_xlnm.Print_Area" localSheetId="2">物流評価結果!$B$2:$Q$137</definedName>
    <definedName name="_xlnm.Print_Titles" localSheetId="8">建築環境SDGsチェックリスト!$5:$5</definedName>
    <definedName name="SDGsグラフ" localSheetId="13">INDIRECT(#REF!)</definedName>
    <definedName name="SDGsグラフ">INDIRECT(#REF!)</definedName>
    <definedName name="シティホテル">INDIRECT([1]SDGs結果表示!$A$1)</definedName>
    <definedName name="リゾートホテル">INDIRECT([2]SDGs結果表示!$A$1)</definedName>
    <definedName name="案1" localSheetId="13">#REF!</definedName>
    <definedName name="案1">#REF!</definedName>
    <definedName name="案2" localSheetId="13">#REF!</definedName>
    <definedName name="案2">#REF!</definedName>
    <definedName name="案3" localSheetId="13">#REF!</definedName>
    <definedName name="案3">#REF!</definedName>
    <definedName name="図形" localSheetId="13">INDIRECT(#REF!)</definedName>
    <definedName name="図形">INDIRECT(SDGs結果表示!$A$1)</definedName>
    <definedName name="非表示" localSheetId="13">#REF!</definedName>
    <definedName name="非表示">SDGs結果表示!$B$4</definedName>
    <definedName name="表示" localSheetId="13">#REF!</definedName>
    <definedName name="表示">SDGs結果表示!$C$4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 i="11" l="1"/>
  <c r="O2" i="10"/>
  <c r="M5" i="24"/>
  <c r="M5" i="14"/>
  <c r="M5" i="15"/>
  <c r="M5" i="17"/>
  <c r="M5" i="12"/>
  <c r="M5" i="1"/>
  <c r="D56" i="11"/>
  <c r="D55" i="11" s="1"/>
  <c r="D59" i="11"/>
  <c r="D61" i="11"/>
  <c r="M62" i="11"/>
  <c r="M60" i="11"/>
  <c r="M57" i="11"/>
  <c r="D61" i="10"/>
  <c r="D59" i="10"/>
  <c r="D56" i="10"/>
  <c r="M62" i="10"/>
  <c r="M60" i="10"/>
  <c r="M57" i="10"/>
  <c r="C6" i="25"/>
  <c r="I9" i="25"/>
  <c r="I6" i="25"/>
  <c r="H9" i="25"/>
  <c r="H6" i="25"/>
  <c r="G9" i="25"/>
  <c r="G6" i="25"/>
  <c r="C13" i="25" s="1"/>
  <c r="C7" i="25" s="1"/>
  <c r="F9" i="25"/>
  <c r="F6" i="25"/>
  <c r="E9" i="25"/>
  <c r="E6" i="25"/>
  <c r="D9" i="25"/>
  <c r="D6" i="25"/>
  <c r="C9" i="25"/>
  <c r="D7" i="25" l="1"/>
  <c r="E7" i="25"/>
  <c r="H7" i="25"/>
  <c r="G7" i="25"/>
  <c r="I7" i="25"/>
  <c r="F7" i="25"/>
  <c r="C14" i="25" l="1"/>
  <c r="C16" i="25"/>
  <c r="D16" i="25" l="1"/>
  <c r="E16" i="25"/>
  <c r="L24" i="11"/>
  <c r="V66" i="16"/>
  <c r="U66" i="16"/>
  <c r="T66" i="16"/>
  <c r="R37" i="16"/>
  <c r="R38" i="16"/>
  <c r="T38" i="16"/>
  <c r="T37" i="16"/>
  <c r="V15" i="16"/>
  <c r="U15" i="16"/>
  <c r="T75" i="16"/>
  <c r="T51" i="16"/>
  <c r="T50" i="16"/>
  <c r="T23" i="16"/>
  <c r="T22" i="16"/>
  <c r="T17" i="16"/>
  <c r="T16" i="16"/>
  <c r="T12" i="16"/>
  <c r="H164" i="14" l="1"/>
  <c r="I164" i="14" s="1"/>
  <c r="H163" i="14"/>
  <c r="K78" i="23"/>
  <c r="I66" i="23"/>
  <c r="M65" i="23"/>
  <c r="K65" i="23"/>
  <c r="M64" i="23"/>
  <c r="K64" i="23"/>
  <c r="T64" i="23" s="1"/>
  <c r="M63" i="23"/>
  <c r="K63" i="23"/>
  <c r="M62" i="23"/>
  <c r="K62" i="23"/>
  <c r="T62" i="23" s="1"/>
  <c r="O59" i="23"/>
  <c r="T59" i="23" s="1"/>
  <c r="M59" i="23"/>
  <c r="M56" i="23"/>
  <c r="K56" i="23"/>
  <c r="O56" i="23" s="1"/>
  <c r="T56" i="23" s="1"/>
  <c r="I56" i="23"/>
  <c r="M52" i="23"/>
  <c r="G51" i="23"/>
  <c r="G50" i="23"/>
  <c r="G49" i="23"/>
  <c r="E46" i="23"/>
  <c r="I46" i="23" s="1"/>
  <c r="E51" i="23" s="1"/>
  <c r="K51" i="23" s="1"/>
  <c r="T51" i="23" s="1"/>
  <c r="I45" i="23"/>
  <c r="E50" i="23" s="1"/>
  <c r="K50" i="23" s="1"/>
  <c r="T50" i="23" s="1"/>
  <c r="E45" i="23"/>
  <c r="E44" i="23"/>
  <c r="I44" i="23" s="1"/>
  <c r="E49" i="23" s="1"/>
  <c r="O39" i="23"/>
  <c r="O37" i="23"/>
  <c r="G37" i="23"/>
  <c r="O36" i="23"/>
  <c r="G35" i="23"/>
  <c r="O35" i="23" s="1"/>
  <c r="O34" i="23"/>
  <c r="M34" i="23"/>
  <c r="T34" i="23" s="1"/>
  <c r="K34" i="23"/>
  <c r="O33" i="23"/>
  <c r="K33" i="23"/>
  <c r="M33" i="23" s="1"/>
  <c r="O28" i="23"/>
  <c r="K26" i="23"/>
  <c r="M26" i="23" s="1"/>
  <c r="T26" i="23" s="1"/>
  <c r="O25" i="23"/>
  <c r="G25" i="23"/>
  <c r="O24" i="23"/>
  <c r="G23" i="23"/>
  <c r="O23" i="23" s="1"/>
  <c r="O22" i="23"/>
  <c r="K22" i="23"/>
  <c r="M22" i="23" s="1"/>
  <c r="T22" i="23" s="1"/>
  <c r="O21" i="23"/>
  <c r="E16" i="23"/>
  <c r="K35" i="23" s="1"/>
  <c r="H15" i="23"/>
  <c r="H16" i="23" s="1"/>
  <c r="E14" i="23"/>
  <c r="K21" i="23" s="1"/>
  <c r="M21" i="23" s="1"/>
  <c r="H13" i="23"/>
  <c r="H14" i="23" s="1"/>
  <c r="H11" i="23"/>
  <c r="I59" i="8"/>
  <c r="M58" i="8"/>
  <c r="K58" i="8"/>
  <c r="O58" i="8" s="1"/>
  <c r="T57" i="8"/>
  <c r="M57" i="8"/>
  <c r="K57" i="8"/>
  <c r="M56" i="8"/>
  <c r="K56" i="8"/>
  <c r="M55" i="8"/>
  <c r="K55" i="8"/>
  <c r="O55" i="8" s="1"/>
  <c r="M52" i="8"/>
  <c r="G51" i="8"/>
  <c r="G50" i="8"/>
  <c r="G49" i="8"/>
  <c r="I46" i="8"/>
  <c r="E51" i="8" s="1"/>
  <c r="E46" i="8"/>
  <c r="E45" i="8"/>
  <c r="I45" i="8" s="1"/>
  <c r="E50" i="8" s="1"/>
  <c r="I44" i="8"/>
  <c r="E49" i="8" s="1"/>
  <c r="E44" i="8"/>
  <c r="O39" i="8"/>
  <c r="G37" i="8"/>
  <c r="G35" i="8"/>
  <c r="O28" i="8"/>
  <c r="K26" i="8"/>
  <c r="M26" i="8" s="1"/>
  <c r="T26" i="8" s="1"/>
  <c r="G25" i="8"/>
  <c r="G23" i="8"/>
  <c r="E16" i="8"/>
  <c r="K34" i="8" s="1"/>
  <c r="M34" i="8" s="1"/>
  <c r="T34" i="8" s="1"/>
  <c r="H15" i="8"/>
  <c r="H16" i="8" s="1"/>
  <c r="E14" i="8"/>
  <c r="K23" i="8" s="1"/>
  <c r="M23" i="8" s="1"/>
  <c r="H13" i="8"/>
  <c r="H14" i="8" s="1"/>
  <c r="H50" i="11"/>
  <c r="G50" i="11"/>
  <c r="F50" i="11"/>
  <c r="E50" i="11"/>
  <c r="H49" i="11"/>
  <c r="G49" i="11"/>
  <c r="F49" i="11"/>
  <c r="E49" i="11"/>
  <c r="H48" i="11"/>
  <c r="G48" i="11"/>
  <c r="F48" i="11"/>
  <c r="E48" i="11"/>
  <c r="H47" i="11"/>
  <c r="G47" i="11"/>
  <c r="F47" i="11"/>
  <c r="E47" i="11"/>
  <c r="H46" i="11"/>
  <c r="G46" i="11"/>
  <c r="F46" i="11"/>
  <c r="E46" i="11"/>
  <c r="H45" i="11"/>
  <c r="G45" i="11"/>
  <c r="F45" i="11"/>
  <c r="E45" i="11"/>
  <c r="H44" i="11"/>
  <c r="G44" i="11"/>
  <c r="F44" i="11"/>
  <c r="E44" i="11"/>
  <c r="I34" i="11"/>
  <c r="H34" i="11"/>
  <c r="G34" i="11"/>
  <c r="F34" i="11"/>
  <c r="E34" i="11"/>
  <c r="R30" i="11"/>
  <c r="I30" i="11" s="1"/>
  <c r="H30" i="11"/>
  <c r="G30" i="11"/>
  <c r="F30" i="11"/>
  <c r="E30" i="11"/>
  <c r="I29" i="11"/>
  <c r="H29" i="11"/>
  <c r="G29" i="11"/>
  <c r="F29" i="11"/>
  <c r="E29" i="11"/>
  <c r="I28" i="11"/>
  <c r="H28" i="11"/>
  <c r="G28" i="11"/>
  <c r="F28" i="11"/>
  <c r="E28" i="11"/>
  <c r="H27" i="11"/>
  <c r="G27" i="11"/>
  <c r="F27" i="11"/>
  <c r="E27" i="11"/>
  <c r="H26" i="11"/>
  <c r="G26" i="11"/>
  <c r="F26" i="11"/>
  <c r="E26" i="11"/>
  <c r="H25" i="11"/>
  <c r="G25" i="11"/>
  <c r="F25" i="11"/>
  <c r="E25" i="11"/>
  <c r="R24" i="11"/>
  <c r="I24" i="11"/>
  <c r="I23" i="11"/>
  <c r="H23" i="11"/>
  <c r="G23" i="11"/>
  <c r="F23" i="11"/>
  <c r="E23" i="11"/>
  <c r="I22" i="11"/>
  <c r="H22" i="11"/>
  <c r="G22" i="11"/>
  <c r="F22" i="11"/>
  <c r="E22" i="11"/>
  <c r="M11" i="11"/>
  <c r="F12" i="11" s="1"/>
  <c r="I34" i="10"/>
  <c r="R30" i="10"/>
  <c r="I30" i="10" s="1"/>
  <c r="I29" i="10"/>
  <c r="I28" i="10"/>
  <c r="R24" i="10"/>
  <c r="I24" i="10" s="1"/>
  <c r="L24" i="10"/>
  <c r="G24" i="10" s="1"/>
  <c r="G24" i="11" s="1"/>
  <c r="I23" i="10"/>
  <c r="I22" i="10"/>
  <c r="M11" i="10"/>
  <c r="K12" i="10" s="1"/>
  <c r="K39" i="7"/>
  <c r="R39" i="7" s="1"/>
  <c r="G35" i="7"/>
  <c r="G34" i="7"/>
  <c r="G33" i="7"/>
  <c r="E30" i="7"/>
  <c r="I30" i="7" s="1"/>
  <c r="E35" i="7" s="1"/>
  <c r="K35" i="7" s="1"/>
  <c r="R35" i="7" s="1"/>
  <c r="E29" i="7"/>
  <c r="I29" i="7" s="1"/>
  <c r="E34" i="7" s="1"/>
  <c r="K34" i="7" s="1"/>
  <c r="R34" i="7" s="1"/>
  <c r="E28" i="7"/>
  <c r="I28" i="7" s="1"/>
  <c r="E33" i="7" s="1"/>
  <c r="K33" i="7" s="1"/>
  <c r="I22" i="7"/>
  <c r="K22" i="7" s="1"/>
  <c r="R22" i="7" s="1"/>
  <c r="G19" i="7"/>
  <c r="E12" i="7"/>
  <c r="I18" i="7" s="1"/>
  <c r="K18" i="7" s="1"/>
  <c r="R18" i="7" s="1"/>
  <c r="H11" i="7"/>
  <c r="H12" i="7" s="1"/>
  <c r="I20" i="7" s="1"/>
  <c r="K20" i="7" s="1"/>
  <c r="R20" i="7" s="1"/>
  <c r="AG113" i="16"/>
  <c r="V113" i="16"/>
  <c r="U113" i="16"/>
  <c r="T113" i="16"/>
  <c r="S113" i="16"/>
  <c r="R113" i="16"/>
  <c r="Q113" i="16"/>
  <c r="P113" i="16"/>
  <c r="AG112" i="16"/>
  <c r="AG110" i="16"/>
  <c r="AG109" i="16"/>
  <c r="AG108" i="16"/>
  <c r="V108" i="16"/>
  <c r="U108" i="16"/>
  <c r="T108" i="16"/>
  <c r="S108" i="16"/>
  <c r="R108" i="16"/>
  <c r="Q108" i="16"/>
  <c r="P108" i="16"/>
  <c r="AG105" i="16"/>
  <c r="V105" i="16"/>
  <c r="U105" i="16"/>
  <c r="T105" i="16"/>
  <c r="S105" i="16"/>
  <c r="R105" i="16"/>
  <c r="Q105" i="16"/>
  <c r="P105" i="16"/>
  <c r="AG104" i="16"/>
  <c r="AG103" i="16"/>
  <c r="V103" i="16"/>
  <c r="U103" i="16"/>
  <c r="T103" i="16"/>
  <c r="S103" i="16"/>
  <c r="R103" i="16"/>
  <c r="Q103" i="16"/>
  <c r="P103" i="16"/>
  <c r="AG102" i="16"/>
  <c r="V102" i="16"/>
  <c r="U102" i="16"/>
  <c r="T102" i="16"/>
  <c r="S102" i="16"/>
  <c r="R102" i="16"/>
  <c r="Q102" i="16"/>
  <c r="P102" i="16"/>
  <c r="AG100" i="16"/>
  <c r="O100" i="16"/>
  <c r="S100" i="16" s="1"/>
  <c r="AG99" i="16"/>
  <c r="V99" i="16"/>
  <c r="U99" i="16"/>
  <c r="T99" i="16"/>
  <c r="S99" i="16"/>
  <c r="R99" i="16"/>
  <c r="Q99" i="16"/>
  <c r="P99" i="16"/>
  <c r="AG96" i="16"/>
  <c r="V96" i="16"/>
  <c r="U96" i="16"/>
  <c r="T96" i="16"/>
  <c r="S96" i="16"/>
  <c r="R96" i="16"/>
  <c r="Q96" i="16"/>
  <c r="P96" i="16"/>
  <c r="AG95" i="16"/>
  <c r="AG94" i="16"/>
  <c r="AG93" i="16"/>
  <c r="V93" i="16"/>
  <c r="U93" i="16"/>
  <c r="T93" i="16"/>
  <c r="S93" i="16"/>
  <c r="R93" i="16"/>
  <c r="Q93" i="16"/>
  <c r="P93" i="16"/>
  <c r="AG92" i="16"/>
  <c r="R92" i="16"/>
  <c r="O92" i="16"/>
  <c r="V92" i="16" s="1"/>
  <c r="AG91" i="16"/>
  <c r="AG90" i="16"/>
  <c r="T90" i="16"/>
  <c r="Q90" i="16"/>
  <c r="AG89" i="16"/>
  <c r="AG88" i="16"/>
  <c r="V88" i="16"/>
  <c r="U88" i="16"/>
  <c r="T88" i="16"/>
  <c r="S88" i="16"/>
  <c r="R88" i="16"/>
  <c r="Q88" i="16"/>
  <c r="P88" i="16"/>
  <c r="AG87" i="16"/>
  <c r="V87" i="16"/>
  <c r="U87" i="16"/>
  <c r="T87" i="16"/>
  <c r="S87" i="16"/>
  <c r="R87" i="16"/>
  <c r="Q87" i="16"/>
  <c r="P87" i="16"/>
  <c r="AG86" i="16"/>
  <c r="AG85" i="16"/>
  <c r="V85" i="16"/>
  <c r="V110" i="16" s="1"/>
  <c r="U85" i="16"/>
  <c r="U110" i="16" s="1"/>
  <c r="T85" i="16"/>
  <c r="T110" i="16" s="1"/>
  <c r="S85" i="16"/>
  <c r="S110" i="16" s="1"/>
  <c r="R85" i="16"/>
  <c r="R110" i="16" s="1"/>
  <c r="Q85" i="16"/>
  <c r="Q110" i="16" s="1"/>
  <c r="P85" i="16"/>
  <c r="P110" i="16" s="1"/>
  <c r="AG84" i="16"/>
  <c r="V84" i="16"/>
  <c r="U84" i="16"/>
  <c r="T84" i="16"/>
  <c r="S84" i="16"/>
  <c r="R84" i="16"/>
  <c r="Q84" i="16"/>
  <c r="P84" i="16"/>
  <c r="AG83" i="16"/>
  <c r="AG82" i="16"/>
  <c r="V82" i="16"/>
  <c r="U82" i="16"/>
  <c r="T82" i="16"/>
  <c r="S82" i="16"/>
  <c r="R82" i="16"/>
  <c r="Q82" i="16"/>
  <c r="P82" i="16"/>
  <c r="AG81" i="16"/>
  <c r="V81" i="16"/>
  <c r="U81" i="16"/>
  <c r="T81" i="16"/>
  <c r="S81" i="16"/>
  <c r="R81" i="16"/>
  <c r="Q81" i="16"/>
  <c r="P81" i="16"/>
  <c r="AG80" i="16"/>
  <c r="V80" i="16"/>
  <c r="U80" i="16"/>
  <c r="T80" i="16"/>
  <c r="R80" i="16"/>
  <c r="P80" i="16"/>
  <c r="O80" i="16"/>
  <c r="S80" i="16" s="1"/>
  <c r="AG79" i="16"/>
  <c r="AG78" i="16"/>
  <c r="AG77" i="16"/>
  <c r="AG76" i="16"/>
  <c r="V76" i="16"/>
  <c r="U76" i="16"/>
  <c r="T76" i="16"/>
  <c r="S76" i="16"/>
  <c r="R76" i="16"/>
  <c r="Q76" i="16"/>
  <c r="P76" i="16"/>
  <c r="AG75" i="16"/>
  <c r="AG74" i="16"/>
  <c r="V74" i="16"/>
  <c r="U74" i="16"/>
  <c r="T74" i="16"/>
  <c r="S74" i="16"/>
  <c r="R74" i="16"/>
  <c r="Q74" i="16"/>
  <c r="P74" i="16"/>
  <c r="AG73" i="16"/>
  <c r="V73" i="16"/>
  <c r="U73" i="16"/>
  <c r="T73" i="16"/>
  <c r="S73" i="16"/>
  <c r="R73" i="16"/>
  <c r="Q73" i="16"/>
  <c r="P73" i="16"/>
  <c r="AG72" i="16"/>
  <c r="V72" i="16"/>
  <c r="U72" i="16"/>
  <c r="T72" i="16"/>
  <c r="S72" i="16"/>
  <c r="R72" i="16"/>
  <c r="Q72" i="16"/>
  <c r="P72" i="16"/>
  <c r="AG71" i="16"/>
  <c r="V71" i="16"/>
  <c r="U71" i="16"/>
  <c r="T71" i="16"/>
  <c r="S71" i="16"/>
  <c r="R71" i="16"/>
  <c r="Q71" i="16"/>
  <c r="P71" i="16"/>
  <c r="AG70" i="16"/>
  <c r="R70" i="16"/>
  <c r="AG69" i="16"/>
  <c r="V69" i="16"/>
  <c r="U69" i="16"/>
  <c r="T69" i="16"/>
  <c r="S69" i="16"/>
  <c r="R69" i="16"/>
  <c r="Q69" i="16"/>
  <c r="P69" i="16"/>
  <c r="AG68" i="16"/>
  <c r="AG67" i="16"/>
  <c r="S66" i="16"/>
  <c r="R66" i="16"/>
  <c r="Q66" i="16"/>
  <c r="P66" i="16"/>
  <c r="AG65" i="16"/>
  <c r="AG64" i="16"/>
  <c r="V64" i="16"/>
  <c r="U64" i="16"/>
  <c r="T64" i="16"/>
  <c r="S64" i="16"/>
  <c r="R64" i="16"/>
  <c r="Q64" i="16"/>
  <c r="P64" i="16"/>
  <c r="AG63" i="16"/>
  <c r="V63" i="16"/>
  <c r="U63" i="16"/>
  <c r="T63" i="16"/>
  <c r="S63" i="16"/>
  <c r="R63" i="16"/>
  <c r="Q63" i="16"/>
  <c r="P63" i="16"/>
  <c r="AG62" i="16"/>
  <c r="V62" i="16"/>
  <c r="U62" i="16"/>
  <c r="T62" i="16"/>
  <c r="S62" i="16"/>
  <c r="R62" i="16"/>
  <c r="Q62" i="16"/>
  <c r="P62" i="16"/>
  <c r="AG61" i="16"/>
  <c r="V61" i="16"/>
  <c r="S61" i="16"/>
  <c r="R61" i="16"/>
  <c r="O61" i="16"/>
  <c r="AG60" i="16"/>
  <c r="O60" i="16"/>
  <c r="AG59" i="16"/>
  <c r="O59" i="16"/>
  <c r="V59" i="16" s="1"/>
  <c r="AG58" i="16"/>
  <c r="V58" i="16"/>
  <c r="U58" i="16"/>
  <c r="T58" i="16"/>
  <c r="S58" i="16"/>
  <c r="R58" i="16"/>
  <c r="Q58" i="16"/>
  <c r="P58" i="16"/>
  <c r="AG57" i="16"/>
  <c r="V57" i="16"/>
  <c r="U57" i="16"/>
  <c r="T57" i="16"/>
  <c r="S57" i="16"/>
  <c r="R57" i="16"/>
  <c r="Q57" i="16"/>
  <c r="P57" i="16"/>
  <c r="AG56" i="16"/>
  <c r="AB56" i="16"/>
  <c r="AA56" i="16"/>
  <c r="Z56" i="16"/>
  <c r="Y56" i="16"/>
  <c r="X56" i="16"/>
  <c r="W56" i="16"/>
  <c r="AG55" i="16"/>
  <c r="AB55" i="16"/>
  <c r="AA55" i="16"/>
  <c r="Z55" i="16"/>
  <c r="Y55" i="16"/>
  <c r="X55" i="16"/>
  <c r="W55" i="16"/>
  <c r="AG54" i="16"/>
  <c r="V54" i="16"/>
  <c r="U54" i="16"/>
  <c r="T54" i="16"/>
  <c r="S54" i="16"/>
  <c r="R54" i="16"/>
  <c r="Q54" i="16"/>
  <c r="P54" i="16"/>
  <c r="AG53" i="16"/>
  <c r="V53" i="16"/>
  <c r="U53" i="16"/>
  <c r="T53" i="16"/>
  <c r="S53" i="16"/>
  <c r="R53" i="16"/>
  <c r="Q53" i="16"/>
  <c r="P53" i="16"/>
  <c r="AG52" i="16"/>
  <c r="V52" i="16"/>
  <c r="V86" i="16" s="1"/>
  <c r="U52" i="16"/>
  <c r="U86" i="16" s="1"/>
  <c r="T52" i="16"/>
  <c r="T86" i="16" s="1"/>
  <c r="S52" i="16"/>
  <c r="S86" i="16" s="1"/>
  <c r="R52" i="16"/>
  <c r="R86" i="16" s="1"/>
  <c r="Q52" i="16"/>
  <c r="Q86" i="16" s="1"/>
  <c r="P52" i="16"/>
  <c r="P86" i="16" s="1"/>
  <c r="AG51" i="16"/>
  <c r="AG50" i="16"/>
  <c r="V50" i="16"/>
  <c r="U50" i="16"/>
  <c r="S50" i="16"/>
  <c r="R50" i="16"/>
  <c r="Q50" i="16"/>
  <c r="P50" i="16"/>
  <c r="AG49" i="16"/>
  <c r="V49" i="16"/>
  <c r="U49" i="16"/>
  <c r="T49" i="16"/>
  <c r="S49" i="16"/>
  <c r="R49" i="16"/>
  <c r="Q49" i="16"/>
  <c r="P49" i="16"/>
  <c r="AG48" i="16"/>
  <c r="V48" i="16"/>
  <c r="U48" i="16"/>
  <c r="T48" i="16"/>
  <c r="S48" i="16"/>
  <c r="R48" i="16"/>
  <c r="Q48" i="16"/>
  <c r="P48" i="16"/>
  <c r="AG47" i="16"/>
  <c r="V47" i="16"/>
  <c r="U47" i="16"/>
  <c r="T47" i="16"/>
  <c r="S47" i="16"/>
  <c r="R47" i="16"/>
  <c r="Q47" i="16"/>
  <c r="P47" i="16"/>
  <c r="O46" i="16"/>
  <c r="U46" i="16" s="1"/>
  <c r="AG45" i="16"/>
  <c r="V45" i="16"/>
  <c r="V95" i="16" s="1"/>
  <c r="U45" i="16"/>
  <c r="U94" i="16" s="1"/>
  <c r="T45" i="16"/>
  <c r="T95" i="16" s="1"/>
  <c r="S45" i="16"/>
  <c r="S95" i="16" s="1"/>
  <c r="R45" i="16"/>
  <c r="R94" i="16" s="1"/>
  <c r="Q45" i="16"/>
  <c r="Q94" i="16" s="1"/>
  <c r="P45" i="16"/>
  <c r="P95" i="16" s="1"/>
  <c r="AG44" i="16"/>
  <c r="O44" i="16"/>
  <c r="V44" i="16" s="1"/>
  <c r="AG43" i="16"/>
  <c r="V43" i="16"/>
  <c r="U43" i="16"/>
  <c r="T43" i="16"/>
  <c r="S43" i="16"/>
  <c r="R43" i="16"/>
  <c r="Q43" i="16"/>
  <c r="P43" i="16"/>
  <c r="AG42" i="16"/>
  <c r="V42" i="16"/>
  <c r="V91" i="16" s="1"/>
  <c r="U42" i="16"/>
  <c r="U91" i="16" s="1"/>
  <c r="T42" i="16"/>
  <c r="T91" i="16" s="1"/>
  <c r="S42" i="16"/>
  <c r="S91" i="16" s="1"/>
  <c r="R42" i="16"/>
  <c r="R91" i="16" s="1"/>
  <c r="Q42" i="16"/>
  <c r="Q91" i="16" s="1"/>
  <c r="P42" i="16"/>
  <c r="P91" i="16" s="1"/>
  <c r="AG41" i="16"/>
  <c r="V41" i="16"/>
  <c r="U41" i="16"/>
  <c r="T41" i="16"/>
  <c r="S41" i="16"/>
  <c r="Q41" i="16"/>
  <c r="P41" i="16"/>
  <c r="O41" i="16"/>
  <c r="R41" i="16" s="1"/>
  <c r="AG40" i="16"/>
  <c r="O40" i="16"/>
  <c r="U40" i="16" s="1"/>
  <c r="AG38" i="16"/>
  <c r="V38" i="16"/>
  <c r="U38" i="16"/>
  <c r="S38" i="16"/>
  <c r="Q38" i="16"/>
  <c r="P38" i="16"/>
  <c r="AG37" i="16"/>
  <c r="V37" i="16"/>
  <c r="U37" i="16"/>
  <c r="S37" i="16"/>
  <c r="Q37" i="16"/>
  <c r="P37" i="16"/>
  <c r="AG36" i="16"/>
  <c r="V36" i="16"/>
  <c r="U36" i="16"/>
  <c r="T36" i="16"/>
  <c r="S36" i="16"/>
  <c r="R36" i="16"/>
  <c r="Q36" i="16"/>
  <c r="P36" i="16"/>
  <c r="AG35" i="16"/>
  <c r="AG34" i="16"/>
  <c r="V34" i="16"/>
  <c r="U34" i="16"/>
  <c r="T34" i="16"/>
  <c r="S34" i="16"/>
  <c r="R34" i="16"/>
  <c r="Q34" i="16"/>
  <c r="P34" i="16"/>
  <c r="AG33" i="16"/>
  <c r="U33" i="16"/>
  <c r="T33" i="16"/>
  <c r="O33" i="16"/>
  <c r="R33" i="16" s="1"/>
  <c r="AG32" i="16"/>
  <c r="V32" i="16"/>
  <c r="V70" i="16" s="1"/>
  <c r="U32" i="16"/>
  <c r="U70" i="16" s="1"/>
  <c r="T32" i="16"/>
  <c r="T70" i="16" s="1"/>
  <c r="S32" i="16"/>
  <c r="S70" i="16" s="1"/>
  <c r="R32" i="16"/>
  <c r="Q32" i="16"/>
  <c r="Q70" i="16" s="1"/>
  <c r="P32" i="16"/>
  <c r="P70" i="16" s="1"/>
  <c r="AG31" i="16"/>
  <c r="AG30" i="16"/>
  <c r="AG29" i="16"/>
  <c r="V29" i="16"/>
  <c r="V89" i="16" s="1"/>
  <c r="U29" i="16"/>
  <c r="U89" i="16" s="1"/>
  <c r="T29" i="16"/>
  <c r="T89" i="16" s="1"/>
  <c r="S29" i="16"/>
  <c r="S89" i="16" s="1"/>
  <c r="R29" i="16"/>
  <c r="R89" i="16" s="1"/>
  <c r="Q29" i="16"/>
  <c r="Q89" i="16" s="1"/>
  <c r="P29" i="16"/>
  <c r="P89" i="16" s="1"/>
  <c r="AG28" i="16"/>
  <c r="O28" i="16"/>
  <c r="R28" i="16" s="1"/>
  <c r="AG27" i="16"/>
  <c r="V27" i="16"/>
  <c r="U27" i="16"/>
  <c r="T27" i="16"/>
  <c r="S27" i="16"/>
  <c r="R27" i="16"/>
  <c r="Q27" i="16"/>
  <c r="P27" i="16"/>
  <c r="AG26" i="16"/>
  <c r="T26" i="16"/>
  <c r="AG25" i="16"/>
  <c r="V25" i="16"/>
  <c r="U25" i="16"/>
  <c r="T25" i="16"/>
  <c r="S25" i="16"/>
  <c r="R25" i="16"/>
  <c r="Q25" i="16"/>
  <c r="P25" i="16"/>
  <c r="AG24" i="16"/>
  <c r="V24" i="16"/>
  <c r="U24" i="16"/>
  <c r="T24" i="16"/>
  <c r="S24" i="16"/>
  <c r="R24" i="16"/>
  <c r="Q24" i="16"/>
  <c r="P24" i="16"/>
  <c r="AG23" i="16"/>
  <c r="AG22" i="16"/>
  <c r="V22" i="16"/>
  <c r="U22" i="16"/>
  <c r="S22" i="16"/>
  <c r="R22" i="16"/>
  <c r="Q22" i="16"/>
  <c r="P22" i="16"/>
  <c r="AG21" i="16"/>
  <c r="V21" i="16"/>
  <c r="U21" i="16"/>
  <c r="T21" i="16"/>
  <c r="S21" i="16"/>
  <c r="R21" i="16"/>
  <c r="Q21" i="16"/>
  <c r="P21" i="16"/>
  <c r="AG20" i="16"/>
  <c r="V20" i="16"/>
  <c r="U20" i="16"/>
  <c r="T20" i="16"/>
  <c r="S20" i="16"/>
  <c r="R20" i="16"/>
  <c r="Q20" i="16"/>
  <c r="P20" i="16"/>
  <c r="AG19" i="16"/>
  <c r="T19" i="16"/>
  <c r="AG18" i="16"/>
  <c r="V18" i="16"/>
  <c r="U18" i="16"/>
  <c r="T18" i="16"/>
  <c r="S18" i="16"/>
  <c r="R18" i="16"/>
  <c r="Q18" i="16"/>
  <c r="P18" i="16"/>
  <c r="AG17" i="16"/>
  <c r="AG16" i="16"/>
  <c r="T15" i="16"/>
  <c r="S15" i="16"/>
  <c r="R15" i="16"/>
  <c r="Q15" i="16"/>
  <c r="P15" i="16"/>
  <c r="AG14" i="16"/>
  <c r="V14" i="16"/>
  <c r="V35" i="16" s="1"/>
  <c r="U14" i="16"/>
  <c r="U35" i="16" s="1"/>
  <c r="T14" i="16"/>
  <c r="T35" i="16" s="1"/>
  <c r="S14" i="16"/>
  <c r="S35" i="16" s="1"/>
  <c r="R14" i="16"/>
  <c r="R35" i="16" s="1"/>
  <c r="Q14" i="16"/>
  <c r="Q35" i="16" s="1"/>
  <c r="P14" i="16"/>
  <c r="P35" i="16" s="1"/>
  <c r="AG13" i="16"/>
  <c r="O13" i="16"/>
  <c r="Q13" i="16" s="1"/>
  <c r="AG12" i="16"/>
  <c r="V12" i="16"/>
  <c r="U12" i="16"/>
  <c r="S12" i="16"/>
  <c r="R12" i="16"/>
  <c r="Q12" i="16"/>
  <c r="P12" i="16"/>
  <c r="AG11" i="16"/>
  <c r="V11" i="16"/>
  <c r="U11" i="16"/>
  <c r="T11" i="16"/>
  <c r="S11" i="16"/>
  <c r="R11" i="16"/>
  <c r="Q11" i="16"/>
  <c r="P11" i="16"/>
  <c r="AG10" i="16"/>
  <c r="V10" i="16"/>
  <c r="U10" i="16"/>
  <c r="T10" i="16"/>
  <c r="S10" i="16"/>
  <c r="R10" i="16"/>
  <c r="Q10" i="16"/>
  <c r="P10" i="16"/>
  <c r="AG9" i="16"/>
  <c r="V9" i="16"/>
  <c r="U9" i="16"/>
  <c r="T9" i="16"/>
  <c r="S9" i="16"/>
  <c r="R9" i="16"/>
  <c r="Q9" i="16"/>
  <c r="P9" i="16"/>
  <c r="V6" i="16"/>
  <c r="U6" i="16"/>
  <c r="T6" i="16"/>
  <c r="S6" i="16"/>
  <c r="R6" i="16"/>
  <c r="Q6" i="16"/>
  <c r="P6" i="16"/>
  <c r="K3" i="16"/>
  <c r="I3" i="16"/>
  <c r="A1" i="18"/>
  <c r="H163" i="17"/>
  <c r="I163" i="17" s="1"/>
  <c r="H162" i="17"/>
  <c r="I162" i="17" s="1"/>
  <c r="H161" i="17"/>
  <c r="I161" i="17" s="1"/>
  <c r="I160" i="17" s="1"/>
  <c r="D157" i="17"/>
  <c r="H143" i="17"/>
  <c r="I143" i="17" s="1"/>
  <c r="Q142" i="17"/>
  <c r="D140" i="17"/>
  <c r="M137" i="17"/>
  <c r="D128" i="17"/>
  <c r="C107" i="17"/>
  <c r="C92" i="17"/>
  <c r="C100" i="17" s="1"/>
  <c r="D90" i="17"/>
  <c r="D88" i="17"/>
  <c r="D100" i="17" s="1"/>
  <c r="T11" i="17" s="1"/>
  <c r="D82" i="17"/>
  <c r="C73" i="17"/>
  <c r="C65" i="17"/>
  <c r="C82" i="17" s="1"/>
  <c r="C60" i="17"/>
  <c r="D54" i="17"/>
  <c r="C54" i="17"/>
  <c r="T51" i="17"/>
  <c r="S51" i="17"/>
  <c r="U51" i="17" s="1"/>
  <c r="T50" i="17"/>
  <c r="S50" i="17"/>
  <c r="U50" i="17" s="1"/>
  <c r="T49" i="17"/>
  <c r="S49" i="17"/>
  <c r="U49" i="17" s="1"/>
  <c r="T48" i="17"/>
  <c r="S48" i="17"/>
  <c r="T47" i="17"/>
  <c r="S47" i="17"/>
  <c r="T46" i="17"/>
  <c r="S46" i="17"/>
  <c r="U46" i="17" s="1"/>
  <c r="T45" i="17"/>
  <c r="S45" i="17"/>
  <c r="U45" i="17" s="1"/>
  <c r="T44" i="17"/>
  <c r="S44" i="17"/>
  <c r="U44" i="17" s="1"/>
  <c r="T43" i="17"/>
  <c r="S43" i="17"/>
  <c r="T42" i="17"/>
  <c r="S42" i="17"/>
  <c r="D42" i="17"/>
  <c r="C42" i="17"/>
  <c r="T8" i="17" s="1"/>
  <c r="T41" i="17"/>
  <c r="S41" i="17"/>
  <c r="T40" i="17"/>
  <c r="S40" i="17"/>
  <c r="U40" i="17" s="1"/>
  <c r="T39" i="17"/>
  <c r="S39" i="17"/>
  <c r="T38" i="17"/>
  <c r="S38" i="17"/>
  <c r="T37" i="17"/>
  <c r="S37" i="17"/>
  <c r="T36" i="17"/>
  <c r="S36" i="17"/>
  <c r="U36" i="17" s="1"/>
  <c r="T35" i="17"/>
  <c r="S35" i="17"/>
  <c r="U35" i="17" s="1"/>
  <c r="T34" i="17"/>
  <c r="S34" i="17"/>
  <c r="U34" i="17" s="1"/>
  <c r="U33" i="17"/>
  <c r="T33" i="17"/>
  <c r="S33" i="17"/>
  <c r="T32" i="17"/>
  <c r="S32" i="17"/>
  <c r="T31" i="17"/>
  <c r="S31" i="17"/>
  <c r="T30" i="17"/>
  <c r="S30" i="17"/>
  <c r="T29" i="17"/>
  <c r="S29" i="17"/>
  <c r="U28" i="17"/>
  <c r="T28" i="17"/>
  <c r="S28" i="17"/>
  <c r="U27" i="17"/>
  <c r="T27" i="17"/>
  <c r="S27" i="17"/>
  <c r="T26" i="17"/>
  <c r="S26" i="17"/>
  <c r="T25" i="17"/>
  <c r="S25" i="17"/>
  <c r="T24" i="17"/>
  <c r="S24" i="17"/>
  <c r="T23" i="17"/>
  <c r="Z17" i="17"/>
  <c r="M17" i="17" s="1"/>
  <c r="S12" i="17"/>
  <c r="S11" i="17"/>
  <c r="S10" i="17"/>
  <c r="S9" i="17"/>
  <c r="S8" i="17"/>
  <c r="J5" i="17"/>
  <c r="H163" i="15"/>
  <c r="I163" i="15" s="1"/>
  <c r="H162" i="15"/>
  <c r="I162" i="15" s="1"/>
  <c r="H161" i="15"/>
  <c r="H160" i="15" s="1"/>
  <c r="D157" i="15"/>
  <c r="H143" i="15"/>
  <c r="I143" i="15" s="1"/>
  <c r="Q142" i="15"/>
  <c r="D140" i="15"/>
  <c r="M137" i="15"/>
  <c r="D128" i="15"/>
  <c r="C107" i="15"/>
  <c r="U39" i="16" s="1"/>
  <c r="C92" i="15"/>
  <c r="C100" i="15" s="1"/>
  <c r="D90" i="15"/>
  <c r="D88" i="15"/>
  <c r="D100" i="15" s="1"/>
  <c r="T83" i="15"/>
  <c r="S83" i="15"/>
  <c r="U83" i="15" s="1"/>
  <c r="T82" i="15"/>
  <c r="S82" i="15"/>
  <c r="D82" i="15"/>
  <c r="T81" i="15"/>
  <c r="S81" i="15"/>
  <c r="T80" i="15"/>
  <c r="S80" i="15"/>
  <c r="U80" i="15" s="1"/>
  <c r="T79" i="15"/>
  <c r="S79" i="15"/>
  <c r="U79" i="15" s="1"/>
  <c r="T78" i="15"/>
  <c r="S78" i="15"/>
  <c r="U78" i="15" s="1"/>
  <c r="T77" i="15"/>
  <c r="S77" i="15"/>
  <c r="T76" i="15"/>
  <c r="S76" i="15"/>
  <c r="T75" i="15"/>
  <c r="S75" i="15"/>
  <c r="U75" i="15" s="1"/>
  <c r="T74" i="15"/>
  <c r="S74" i="15"/>
  <c r="U74" i="15" s="1"/>
  <c r="U73" i="15"/>
  <c r="T73" i="15"/>
  <c r="S73" i="15"/>
  <c r="C73" i="15"/>
  <c r="C82" i="15" s="1"/>
  <c r="T10" i="15" s="1"/>
  <c r="T72" i="15"/>
  <c r="S72" i="15"/>
  <c r="U72" i="15" s="1"/>
  <c r="T71" i="15"/>
  <c r="S71" i="15"/>
  <c r="T70" i="15"/>
  <c r="S70" i="15"/>
  <c r="U70" i="15" s="1"/>
  <c r="T69" i="15"/>
  <c r="S69" i="15"/>
  <c r="U69" i="15" s="1"/>
  <c r="T68" i="15"/>
  <c r="S68" i="15"/>
  <c r="T67" i="15"/>
  <c r="S67" i="15"/>
  <c r="T66" i="15"/>
  <c r="S66" i="15"/>
  <c r="U66" i="15" s="1"/>
  <c r="U65" i="15"/>
  <c r="T65" i="15"/>
  <c r="S65" i="15"/>
  <c r="C65" i="15"/>
  <c r="T64" i="15"/>
  <c r="S64" i="15"/>
  <c r="U64" i="15" s="1"/>
  <c r="T63" i="15"/>
  <c r="S63" i="15"/>
  <c r="T62" i="15"/>
  <c r="S62" i="15"/>
  <c r="T61" i="15"/>
  <c r="S61" i="15"/>
  <c r="U61" i="15" s="1"/>
  <c r="U60" i="15"/>
  <c r="T60" i="15"/>
  <c r="S60" i="15"/>
  <c r="C60" i="15"/>
  <c r="T59" i="15"/>
  <c r="S59" i="15"/>
  <c r="U59" i="15" s="1"/>
  <c r="T58" i="15"/>
  <c r="S58" i="15"/>
  <c r="T57" i="15"/>
  <c r="S57" i="15"/>
  <c r="T56" i="15"/>
  <c r="S56" i="15"/>
  <c r="U56" i="15" s="1"/>
  <c r="T55" i="15"/>
  <c r="U55" i="15" s="1"/>
  <c r="S55" i="15"/>
  <c r="T54" i="15"/>
  <c r="S54" i="15"/>
  <c r="D54" i="15"/>
  <c r="C54" i="15"/>
  <c r="T9" i="15" s="1"/>
  <c r="Z51" i="15"/>
  <c r="T51" i="15" s="1"/>
  <c r="Y51" i="15"/>
  <c r="X51" i="15"/>
  <c r="W51" i="15"/>
  <c r="S51" i="15"/>
  <c r="U51" i="15" s="1"/>
  <c r="Z50" i="15"/>
  <c r="T50" i="15" s="1"/>
  <c r="Y50" i="15"/>
  <c r="X50" i="15"/>
  <c r="W50" i="15"/>
  <c r="S50" i="15" s="1"/>
  <c r="Z49" i="15"/>
  <c r="T49" i="15" s="1"/>
  <c r="Y49" i="15"/>
  <c r="X49" i="15"/>
  <c r="W49" i="15"/>
  <c r="S49" i="15" s="1"/>
  <c r="Z48" i="15"/>
  <c r="T48" i="15" s="1"/>
  <c r="Y48" i="15"/>
  <c r="X48" i="15"/>
  <c r="W48" i="15"/>
  <c r="S48" i="15"/>
  <c r="Z47" i="15"/>
  <c r="Y47" i="15"/>
  <c r="X47" i="15"/>
  <c r="W47" i="15"/>
  <c r="T47" i="15"/>
  <c r="S47" i="15"/>
  <c r="U47" i="15" s="1"/>
  <c r="Z46" i="15"/>
  <c r="T46" i="15" s="1"/>
  <c r="Y46" i="15"/>
  <c r="X46" i="15"/>
  <c r="W46" i="15"/>
  <c r="S46" i="15" s="1"/>
  <c r="U46" i="15" s="1"/>
  <c r="Z45" i="15"/>
  <c r="T45" i="15" s="1"/>
  <c r="Y45" i="15"/>
  <c r="X45" i="15"/>
  <c r="W45" i="15"/>
  <c r="S45" i="15" s="1"/>
  <c r="Z44" i="15"/>
  <c r="T44" i="15" s="1"/>
  <c r="Y44" i="15"/>
  <c r="X44" i="15"/>
  <c r="W44" i="15"/>
  <c r="S44" i="15"/>
  <c r="Z43" i="15"/>
  <c r="Y43" i="15"/>
  <c r="X43" i="15"/>
  <c r="W43" i="15"/>
  <c r="S43" i="15" s="1"/>
  <c r="U43" i="15" s="1"/>
  <c r="T43" i="15"/>
  <c r="Z42" i="15"/>
  <c r="T42" i="15" s="1"/>
  <c r="Y42" i="15"/>
  <c r="X42" i="15"/>
  <c r="W42" i="15"/>
  <c r="S42" i="15" s="1"/>
  <c r="D42" i="15"/>
  <c r="C42" i="15"/>
  <c r="Z41" i="15"/>
  <c r="T41" i="15" s="1"/>
  <c r="Y41" i="15"/>
  <c r="X41" i="15"/>
  <c r="W41" i="15"/>
  <c r="S41" i="15"/>
  <c r="Z40" i="15"/>
  <c r="T40" i="15" s="1"/>
  <c r="Y40" i="15"/>
  <c r="X40" i="15"/>
  <c r="W40" i="15"/>
  <c r="S40" i="15"/>
  <c r="U40" i="15" s="1"/>
  <c r="Z39" i="15"/>
  <c r="T39" i="15" s="1"/>
  <c r="Y39" i="15"/>
  <c r="X39" i="15"/>
  <c r="W39" i="15"/>
  <c r="S39" i="15" s="1"/>
  <c r="Z38" i="15"/>
  <c r="T38" i="15" s="1"/>
  <c r="Y38" i="15"/>
  <c r="X38" i="15"/>
  <c r="W38" i="15"/>
  <c r="S38" i="15" s="1"/>
  <c r="Z37" i="15"/>
  <c r="T37" i="15" s="1"/>
  <c r="Y37" i="15"/>
  <c r="X37" i="15"/>
  <c r="W37" i="15"/>
  <c r="S37" i="15" s="1"/>
  <c r="U37" i="15" s="1"/>
  <c r="Z36" i="15"/>
  <c r="T36" i="15" s="1"/>
  <c r="Y36" i="15"/>
  <c r="X36" i="15"/>
  <c r="W36" i="15"/>
  <c r="S36" i="15" s="1"/>
  <c r="Z35" i="15"/>
  <c r="T35" i="15" s="1"/>
  <c r="Y35" i="15"/>
  <c r="X35" i="15"/>
  <c r="W35" i="15"/>
  <c r="S35" i="15" s="1"/>
  <c r="Z34" i="15"/>
  <c r="Y34" i="15"/>
  <c r="X34" i="15"/>
  <c r="W34" i="15"/>
  <c r="S34" i="15" s="1"/>
  <c r="T34" i="15"/>
  <c r="Z33" i="15"/>
  <c r="T33" i="15" s="1"/>
  <c r="Y33" i="15"/>
  <c r="X33" i="15"/>
  <c r="W33" i="15"/>
  <c r="S33" i="15" s="1"/>
  <c r="Z32" i="15"/>
  <c r="T32" i="15" s="1"/>
  <c r="Y32" i="15"/>
  <c r="X32" i="15"/>
  <c r="W32" i="15"/>
  <c r="S32" i="15"/>
  <c r="Z31" i="15"/>
  <c r="T31" i="15" s="1"/>
  <c r="Y31" i="15"/>
  <c r="X31" i="15"/>
  <c r="W31" i="15"/>
  <c r="S31" i="15"/>
  <c r="U31" i="15" s="1"/>
  <c r="Z30" i="15"/>
  <c r="T30" i="15" s="1"/>
  <c r="Y30" i="15"/>
  <c r="X30" i="15"/>
  <c r="W30" i="15"/>
  <c r="S30" i="15" s="1"/>
  <c r="Z29" i="15"/>
  <c r="T29" i="15" s="1"/>
  <c r="Y29" i="15"/>
  <c r="X29" i="15"/>
  <c r="W29" i="15"/>
  <c r="S29" i="15" s="1"/>
  <c r="U29" i="15" s="1"/>
  <c r="Z28" i="15"/>
  <c r="Y28" i="15"/>
  <c r="X28" i="15"/>
  <c r="W28" i="15"/>
  <c r="S28" i="15" s="1"/>
  <c r="T28" i="15"/>
  <c r="Z27" i="15"/>
  <c r="Y27" i="15"/>
  <c r="X27" i="15"/>
  <c r="W27" i="15"/>
  <c r="S27" i="15" s="1"/>
  <c r="T27" i="15"/>
  <c r="Z26" i="15"/>
  <c r="Y26" i="15"/>
  <c r="X26" i="15"/>
  <c r="W26" i="15"/>
  <c r="T26" i="15"/>
  <c r="S26" i="15"/>
  <c r="Z25" i="15"/>
  <c r="T25" i="15" s="1"/>
  <c r="Y25" i="15"/>
  <c r="X25" i="15"/>
  <c r="W25" i="15"/>
  <c r="S25" i="15" s="1"/>
  <c r="U25" i="15" s="1"/>
  <c r="Z24" i="15"/>
  <c r="T24" i="15" s="1"/>
  <c r="Y24" i="15"/>
  <c r="X24" i="15"/>
  <c r="W24" i="15"/>
  <c r="S24" i="15" s="1"/>
  <c r="T23" i="15"/>
  <c r="W22" i="15"/>
  <c r="Z17" i="15"/>
  <c r="M17" i="15" s="1"/>
  <c r="M21" i="15" s="1"/>
  <c r="S12" i="15"/>
  <c r="S11" i="15"/>
  <c r="S10" i="15"/>
  <c r="S9" i="15"/>
  <c r="S8" i="15"/>
  <c r="J5" i="15"/>
  <c r="I163" i="14"/>
  <c r="H162" i="14"/>
  <c r="I162" i="14" s="1"/>
  <c r="H161" i="14"/>
  <c r="I161" i="14" s="1"/>
  <c r="I160" i="14" s="1"/>
  <c r="H150" i="14"/>
  <c r="I150" i="14" s="1"/>
  <c r="H147" i="14" s="1"/>
  <c r="D147" i="14"/>
  <c r="H143" i="14"/>
  <c r="I143" i="14" s="1"/>
  <c r="H140" i="14" s="1"/>
  <c r="Q142" i="14"/>
  <c r="D140" i="14"/>
  <c r="M137" i="14"/>
  <c r="D128" i="14"/>
  <c r="C108" i="14"/>
  <c r="T39" i="16" s="1"/>
  <c r="C92" i="14"/>
  <c r="C100" i="14" s="1"/>
  <c r="D90" i="14"/>
  <c r="D88" i="14"/>
  <c r="D100" i="14" s="1"/>
  <c r="C73" i="14"/>
  <c r="C65" i="14"/>
  <c r="C60" i="14"/>
  <c r="D54" i="14"/>
  <c r="T9" i="14" s="1"/>
  <c r="C54" i="14"/>
  <c r="T51" i="14"/>
  <c r="S51" i="14"/>
  <c r="U51" i="14" s="1"/>
  <c r="T50" i="14"/>
  <c r="S50" i="14"/>
  <c r="U50" i="14" s="1"/>
  <c r="T49" i="14"/>
  <c r="S49" i="14"/>
  <c r="T48" i="14"/>
  <c r="S48" i="14"/>
  <c r="T47" i="14"/>
  <c r="S47" i="14"/>
  <c r="T46" i="14"/>
  <c r="S46" i="14"/>
  <c r="T45" i="14"/>
  <c r="S45" i="14"/>
  <c r="U45" i="14" s="1"/>
  <c r="T44" i="14"/>
  <c r="S44" i="14"/>
  <c r="T43" i="14"/>
  <c r="S43" i="14"/>
  <c r="U42" i="14"/>
  <c r="T42" i="14"/>
  <c r="S42" i="14"/>
  <c r="C42" i="14"/>
  <c r="T41" i="14"/>
  <c r="S41" i="14"/>
  <c r="U41" i="14" s="1"/>
  <c r="T40" i="14"/>
  <c r="S40" i="14"/>
  <c r="U40" i="14" s="1"/>
  <c r="T39" i="14"/>
  <c r="S39" i="14"/>
  <c r="T38" i="14"/>
  <c r="S38" i="14"/>
  <c r="U37" i="14" s="1"/>
  <c r="T37" i="14"/>
  <c r="S37" i="14"/>
  <c r="T36" i="14"/>
  <c r="S36" i="14"/>
  <c r="U36" i="14" s="1"/>
  <c r="T35" i="14"/>
  <c r="S35" i="14"/>
  <c r="U35" i="14" s="1"/>
  <c r="T34" i="14"/>
  <c r="S34" i="14"/>
  <c r="T33" i="14"/>
  <c r="S33" i="14"/>
  <c r="U32" i="14"/>
  <c r="T32" i="14"/>
  <c r="S32" i="14"/>
  <c r="T31" i="14"/>
  <c r="S31" i="14"/>
  <c r="T30" i="14"/>
  <c r="S30" i="14"/>
  <c r="U30" i="14" s="1"/>
  <c r="U29" i="14"/>
  <c r="T29" i="14"/>
  <c r="S29" i="14"/>
  <c r="T28" i="14"/>
  <c r="S28" i="14"/>
  <c r="T27" i="14"/>
  <c r="S27" i="14"/>
  <c r="U27" i="14" s="1"/>
  <c r="T26" i="14"/>
  <c r="S26" i="14"/>
  <c r="T25" i="14"/>
  <c r="S25" i="14"/>
  <c r="U25" i="14" s="1"/>
  <c r="T24" i="14"/>
  <c r="S24" i="14"/>
  <c r="T23" i="14"/>
  <c r="X18" i="14"/>
  <c r="Z17" i="14"/>
  <c r="M17" i="14" s="1"/>
  <c r="M22" i="14" s="1"/>
  <c r="S12" i="14"/>
  <c r="S11" i="14"/>
  <c r="S10" i="14"/>
  <c r="S9" i="14"/>
  <c r="T8" i="14"/>
  <c r="S8" i="14"/>
  <c r="J5" i="14"/>
  <c r="H163" i="24"/>
  <c r="I163" i="24" s="1"/>
  <c r="H162" i="24"/>
  <c r="I162" i="24" s="1"/>
  <c r="H161" i="24"/>
  <c r="I161" i="24" s="1"/>
  <c r="I160" i="24" s="1"/>
  <c r="D157" i="24"/>
  <c r="H143" i="24"/>
  <c r="I143" i="24" s="1"/>
  <c r="H140" i="24" s="1"/>
  <c r="Q142" i="24"/>
  <c r="D140" i="24"/>
  <c r="M137" i="24"/>
  <c r="D128" i="24"/>
  <c r="C107" i="24"/>
  <c r="C128" i="24" s="1"/>
  <c r="C92" i="24"/>
  <c r="C100" i="24" s="1"/>
  <c r="D90" i="24"/>
  <c r="D88" i="24"/>
  <c r="D82" i="24"/>
  <c r="C73" i="24"/>
  <c r="C65" i="24"/>
  <c r="C60" i="24"/>
  <c r="D54" i="24"/>
  <c r="C54" i="24"/>
  <c r="T51" i="24"/>
  <c r="S51" i="24"/>
  <c r="U51" i="24" s="1"/>
  <c r="T50" i="24"/>
  <c r="S50" i="24"/>
  <c r="U50" i="24" s="1"/>
  <c r="U49" i="24"/>
  <c r="T49" i="24"/>
  <c r="S49" i="24"/>
  <c r="T48" i="24"/>
  <c r="S48" i="24"/>
  <c r="U48" i="24" s="1"/>
  <c r="T47" i="24"/>
  <c r="S47" i="24"/>
  <c r="T46" i="24"/>
  <c r="S46" i="24"/>
  <c r="U46" i="24" s="1"/>
  <c r="T45" i="24"/>
  <c r="S45" i="24"/>
  <c r="U45" i="24" s="1"/>
  <c r="T44" i="24"/>
  <c r="S44" i="24"/>
  <c r="T43" i="24"/>
  <c r="S43" i="24"/>
  <c r="T42" i="24"/>
  <c r="S42" i="24"/>
  <c r="D42" i="24"/>
  <c r="C42" i="24"/>
  <c r="T41" i="24"/>
  <c r="S41" i="24"/>
  <c r="T40" i="24"/>
  <c r="S40" i="24"/>
  <c r="U40" i="24" s="1"/>
  <c r="U39" i="24"/>
  <c r="T39" i="24"/>
  <c r="S39" i="24"/>
  <c r="T38" i="24"/>
  <c r="S38" i="24"/>
  <c r="U38" i="24" s="1"/>
  <c r="T37" i="24"/>
  <c r="S37" i="24"/>
  <c r="T36" i="24"/>
  <c r="S36" i="24"/>
  <c r="U36" i="24" s="1"/>
  <c r="T35" i="24"/>
  <c r="S35" i="24"/>
  <c r="U35" i="24" s="1"/>
  <c r="T34" i="24"/>
  <c r="S34" i="24"/>
  <c r="T33" i="24"/>
  <c r="S33" i="24"/>
  <c r="T32" i="24"/>
  <c r="S32" i="24"/>
  <c r="T31" i="24"/>
  <c r="S31" i="24"/>
  <c r="U31" i="24" s="1"/>
  <c r="T30" i="24"/>
  <c r="S30" i="24"/>
  <c r="U30" i="24" s="1"/>
  <c r="T29" i="24"/>
  <c r="S29" i="24"/>
  <c r="U29" i="24" s="1"/>
  <c r="T28" i="24"/>
  <c r="S28" i="24"/>
  <c r="T27" i="24"/>
  <c r="S27" i="24"/>
  <c r="T26" i="24"/>
  <c r="S26" i="24"/>
  <c r="T25" i="24"/>
  <c r="S25" i="24"/>
  <c r="T24" i="24"/>
  <c r="S24" i="24"/>
  <c r="T23" i="24"/>
  <c r="M21" i="24"/>
  <c r="Z17" i="24"/>
  <c r="M17" i="24"/>
  <c r="AA17" i="24" s="1"/>
  <c r="S12" i="24"/>
  <c r="S11" i="24"/>
  <c r="S10" i="24"/>
  <c r="S9" i="24"/>
  <c r="S8" i="24"/>
  <c r="J5" i="24"/>
  <c r="H163" i="12"/>
  <c r="I163" i="12" s="1"/>
  <c r="H162" i="12"/>
  <c r="I162" i="12" s="1"/>
  <c r="H161" i="12"/>
  <c r="I161" i="12" s="1"/>
  <c r="I160" i="12" s="1"/>
  <c r="D157" i="12"/>
  <c r="H143" i="12"/>
  <c r="Q142" i="12"/>
  <c r="D140" i="12"/>
  <c r="M137" i="12"/>
  <c r="D128" i="12"/>
  <c r="C128" i="12"/>
  <c r="R39" i="16" s="1"/>
  <c r="C107" i="12"/>
  <c r="C92" i="12"/>
  <c r="C100" i="12" s="1"/>
  <c r="D90" i="12"/>
  <c r="D88" i="12"/>
  <c r="D100" i="12" s="1"/>
  <c r="D82" i="12"/>
  <c r="C73" i="12"/>
  <c r="C65" i="12"/>
  <c r="C60" i="12"/>
  <c r="C82" i="12" s="1"/>
  <c r="T10" i="12" s="1"/>
  <c r="D54" i="12"/>
  <c r="C54" i="12"/>
  <c r="T9" i="12" s="1"/>
  <c r="T51" i="12"/>
  <c r="S51" i="12"/>
  <c r="T50" i="12"/>
  <c r="S50" i="12"/>
  <c r="T49" i="12"/>
  <c r="S49" i="12"/>
  <c r="T48" i="12"/>
  <c r="S48" i="12"/>
  <c r="U48" i="12" s="1"/>
  <c r="T47" i="12"/>
  <c r="S47" i="12"/>
  <c r="T46" i="12"/>
  <c r="S46" i="12"/>
  <c r="U46" i="12" s="1"/>
  <c r="T45" i="12"/>
  <c r="S45" i="12"/>
  <c r="U45" i="12" s="1"/>
  <c r="T44" i="12"/>
  <c r="S44" i="12"/>
  <c r="T43" i="12"/>
  <c r="S43" i="12"/>
  <c r="T42" i="12"/>
  <c r="S42" i="12"/>
  <c r="D42" i="12"/>
  <c r="C42" i="12"/>
  <c r="T41" i="12"/>
  <c r="S41" i="12"/>
  <c r="T40" i="12"/>
  <c r="S40" i="12"/>
  <c r="T39" i="12"/>
  <c r="S39" i="12"/>
  <c r="T38" i="12"/>
  <c r="S38" i="12"/>
  <c r="U38" i="12" s="1"/>
  <c r="T37" i="12"/>
  <c r="S37" i="12"/>
  <c r="T36" i="12"/>
  <c r="S36" i="12"/>
  <c r="U36" i="12" s="1"/>
  <c r="T35" i="12"/>
  <c r="S35" i="12"/>
  <c r="U35" i="12" s="1"/>
  <c r="T34" i="12"/>
  <c r="S34" i="12"/>
  <c r="T33" i="12"/>
  <c r="S33" i="12"/>
  <c r="T32" i="12"/>
  <c r="S32" i="12"/>
  <c r="T31" i="12"/>
  <c r="S31" i="12"/>
  <c r="T30" i="12"/>
  <c r="S30" i="12"/>
  <c r="U30" i="12" s="1"/>
  <c r="T29" i="12"/>
  <c r="S29" i="12"/>
  <c r="U29" i="12" s="1"/>
  <c r="T28" i="12"/>
  <c r="S28" i="12"/>
  <c r="T27" i="12"/>
  <c r="S27" i="12"/>
  <c r="U27" i="12" s="1"/>
  <c r="T26" i="12"/>
  <c r="S26" i="12"/>
  <c r="T25" i="12"/>
  <c r="S25" i="12"/>
  <c r="U25" i="12" s="1"/>
  <c r="T24" i="12"/>
  <c r="S24" i="12"/>
  <c r="U24" i="12" s="1"/>
  <c r="T23" i="12"/>
  <c r="Z17" i="12"/>
  <c r="M17" i="12" s="1"/>
  <c r="S12" i="12"/>
  <c r="S11" i="12"/>
  <c r="S10" i="12"/>
  <c r="S9" i="12"/>
  <c r="T8" i="12"/>
  <c r="S8" i="12"/>
  <c r="J5" i="12"/>
  <c r="H163" i="1"/>
  <c r="I163" i="1" s="1"/>
  <c r="H162" i="1"/>
  <c r="I162" i="1" s="1"/>
  <c r="H161" i="1"/>
  <c r="I161" i="1" s="1"/>
  <c r="I160" i="1" s="1"/>
  <c r="D157" i="1"/>
  <c r="H143" i="1"/>
  <c r="I143" i="1" s="1"/>
  <c r="H140" i="1" s="1"/>
  <c r="Q142" i="1"/>
  <c r="D140" i="1"/>
  <c r="M137" i="1"/>
  <c r="D128" i="1"/>
  <c r="C107" i="1"/>
  <c r="C128" i="1" s="1"/>
  <c r="C92" i="1"/>
  <c r="C100" i="1" s="1"/>
  <c r="D90" i="1"/>
  <c r="D88" i="1"/>
  <c r="D100" i="1" s="1"/>
  <c r="D82" i="1"/>
  <c r="C73" i="1"/>
  <c r="C65" i="1"/>
  <c r="C60" i="1"/>
  <c r="D54" i="1"/>
  <c r="C54" i="1"/>
  <c r="U51" i="1"/>
  <c r="T51" i="1"/>
  <c r="S51" i="1"/>
  <c r="T50" i="1"/>
  <c r="S50" i="1"/>
  <c r="U50" i="1" s="1"/>
  <c r="T49" i="1"/>
  <c r="S49" i="1"/>
  <c r="U49" i="1" s="1"/>
  <c r="U48" i="1"/>
  <c r="T48" i="1"/>
  <c r="S48" i="1"/>
  <c r="T47" i="1"/>
  <c r="S47" i="1"/>
  <c r="U47" i="1" s="1"/>
  <c r="T46" i="1"/>
  <c r="S46" i="1"/>
  <c r="T45" i="1"/>
  <c r="S45" i="1"/>
  <c r="U45" i="1" s="1"/>
  <c r="T44" i="1"/>
  <c r="S44" i="1"/>
  <c r="U44" i="1" s="1"/>
  <c r="U43" i="1"/>
  <c r="T43" i="1"/>
  <c r="S43" i="1"/>
  <c r="T42" i="1"/>
  <c r="S42" i="1"/>
  <c r="D42" i="1"/>
  <c r="C42" i="1"/>
  <c r="T8" i="1" s="1"/>
  <c r="T41" i="1"/>
  <c r="S41" i="1"/>
  <c r="U41" i="1" s="1"/>
  <c r="T40" i="1"/>
  <c r="S40" i="1"/>
  <c r="U40" i="1" s="1"/>
  <c r="T39" i="1"/>
  <c r="S39" i="1"/>
  <c r="U39" i="1" s="1"/>
  <c r="T38" i="1"/>
  <c r="S38" i="1"/>
  <c r="T37" i="1"/>
  <c r="S37" i="1"/>
  <c r="U37" i="1" s="1"/>
  <c r="T36" i="1"/>
  <c r="S36" i="1"/>
  <c r="T35" i="1"/>
  <c r="S35" i="1"/>
  <c r="U35" i="1" s="1"/>
  <c r="T34" i="1"/>
  <c r="S34" i="1"/>
  <c r="U34" i="1" s="1"/>
  <c r="U33" i="1"/>
  <c r="T33" i="1"/>
  <c r="S33" i="1"/>
  <c r="T32" i="1"/>
  <c r="S32" i="1"/>
  <c r="U32" i="1" s="1"/>
  <c r="T31" i="1"/>
  <c r="S31" i="1"/>
  <c r="T30" i="1"/>
  <c r="S30" i="1"/>
  <c r="U30" i="1" s="1"/>
  <c r="T29" i="1"/>
  <c r="S29" i="1"/>
  <c r="U29" i="1" s="1"/>
  <c r="T28" i="1"/>
  <c r="S28" i="1"/>
  <c r="T27" i="1"/>
  <c r="S27" i="1"/>
  <c r="T26" i="1"/>
  <c r="S26" i="1"/>
  <c r="U26" i="1" s="1"/>
  <c r="T25" i="1"/>
  <c r="S25" i="1"/>
  <c r="U25" i="1" s="1"/>
  <c r="T24" i="1"/>
  <c r="S24" i="1"/>
  <c r="T23" i="1"/>
  <c r="Z17" i="1"/>
  <c r="M17" i="1" s="1"/>
  <c r="S12" i="1"/>
  <c r="S11" i="1"/>
  <c r="S10" i="1"/>
  <c r="S9" i="1"/>
  <c r="S8" i="1"/>
  <c r="J5" i="1"/>
  <c r="H163" i="9"/>
  <c r="I163" i="9" s="1"/>
  <c r="H162" i="9"/>
  <c r="I162" i="9" s="1"/>
  <c r="H161" i="9"/>
  <c r="I161" i="9" s="1"/>
  <c r="I160" i="9" s="1"/>
  <c r="D157" i="9"/>
  <c r="H143" i="9"/>
  <c r="I143" i="9" s="1"/>
  <c r="Q142" i="9"/>
  <c r="D140" i="9"/>
  <c r="M137" i="9"/>
  <c r="D128" i="9"/>
  <c r="C107" i="9"/>
  <c r="C128" i="9" s="1"/>
  <c r="C92" i="9"/>
  <c r="C100" i="9" s="1"/>
  <c r="D90" i="9"/>
  <c r="D88" i="9"/>
  <c r="D100" i="9" s="1"/>
  <c r="U83" i="9"/>
  <c r="U82" i="9"/>
  <c r="D82" i="9"/>
  <c r="U81" i="9"/>
  <c r="U80" i="9"/>
  <c r="U79" i="9"/>
  <c r="U78" i="9"/>
  <c r="U77" i="9"/>
  <c r="U76" i="9"/>
  <c r="U75" i="9"/>
  <c r="U74" i="9"/>
  <c r="U73" i="9"/>
  <c r="C73" i="9"/>
  <c r="U72" i="9"/>
  <c r="U71" i="9"/>
  <c r="U70" i="9"/>
  <c r="U69" i="9"/>
  <c r="U68" i="9"/>
  <c r="U67" i="9"/>
  <c r="U66" i="9"/>
  <c r="U65" i="9"/>
  <c r="C65" i="9"/>
  <c r="U64" i="9"/>
  <c r="U63" i="9"/>
  <c r="U62" i="9"/>
  <c r="U61" i="9"/>
  <c r="U60" i="9"/>
  <c r="C60" i="9"/>
  <c r="U59" i="9"/>
  <c r="U58" i="9"/>
  <c r="U57" i="9"/>
  <c r="U56" i="9"/>
  <c r="U55" i="9"/>
  <c r="D54" i="9"/>
  <c r="C54" i="9"/>
  <c r="T51" i="9"/>
  <c r="S51" i="9"/>
  <c r="U51" i="9" s="1"/>
  <c r="T50" i="9"/>
  <c r="S50" i="9"/>
  <c r="T49" i="9"/>
  <c r="S49" i="9"/>
  <c r="U49" i="9" s="1"/>
  <c r="T48" i="9"/>
  <c r="S48" i="9"/>
  <c r="T47" i="9"/>
  <c r="S47" i="9"/>
  <c r="U47" i="9" s="1"/>
  <c r="T46" i="9"/>
  <c r="S46" i="9"/>
  <c r="U46" i="9" s="1"/>
  <c r="T45" i="9"/>
  <c r="S45" i="9"/>
  <c r="T44" i="9"/>
  <c r="S44" i="9"/>
  <c r="U43" i="9" s="1"/>
  <c r="T43" i="9"/>
  <c r="S43" i="9"/>
  <c r="T42" i="9"/>
  <c r="S42" i="9"/>
  <c r="U42" i="9" s="1"/>
  <c r="D42" i="9"/>
  <c r="C42" i="9"/>
  <c r="T8" i="9" s="1"/>
  <c r="U41" i="9"/>
  <c r="T41" i="9"/>
  <c r="S41" i="9"/>
  <c r="T40" i="9"/>
  <c r="S40" i="9"/>
  <c r="T39" i="9"/>
  <c r="S39" i="9"/>
  <c r="U39" i="9" s="1"/>
  <c r="T38" i="9"/>
  <c r="S38" i="9"/>
  <c r="T37" i="9"/>
  <c r="S37" i="9"/>
  <c r="U37" i="9" s="1"/>
  <c r="T36" i="9"/>
  <c r="S36" i="9"/>
  <c r="U36" i="9" s="1"/>
  <c r="T35" i="9"/>
  <c r="S35" i="9"/>
  <c r="T34" i="9"/>
  <c r="S34" i="9"/>
  <c r="U34" i="9" s="1"/>
  <c r="U33" i="9"/>
  <c r="T33" i="9"/>
  <c r="S33" i="9"/>
  <c r="T32" i="9"/>
  <c r="S32" i="9"/>
  <c r="U32" i="9" s="1"/>
  <c r="T31" i="9"/>
  <c r="S31" i="9"/>
  <c r="U31" i="9" s="1"/>
  <c r="T30" i="9"/>
  <c r="S30" i="9"/>
  <c r="T29" i="9"/>
  <c r="S29" i="9"/>
  <c r="U28" i="9" s="1"/>
  <c r="T28" i="9"/>
  <c r="S28" i="9"/>
  <c r="T27" i="9"/>
  <c r="S27" i="9"/>
  <c r="U27" i="9" s="1"/>
  <c r="T26" i="9"/>
  <c r="S26" i="9"/>
  <c r="U26" i="9" s="1"/>
  <c r="U25" i="9"/>
  <c r="T25" i="9"/>
  <c r="S25" i="9"/>
  <c r="T24" i="9"/>
  <c r="S24" i="9"/>
  <c r="U24" i="9" s="1"/>
  <c r="T23" i="9"/>
  <c r="Z17" i="9"/>
  <c r="M17" i="9" s="1"/>
  <c r="S12" i="9"/>
  <c r="S11" i="9"/>
  <c r="S10" i="9"/>
  <c r="T9" i="9"/>
  <c r="S9" i="9"/>
  <c r="S8" i="9"/>
  <c r="E24" i="10" l="1"/>
  <c r="E24" i="11" s="1"/>
  <c r="J12" i="10"/>
  <c r="D49" i="10" s="1"/>
  <c r="U24" i="1"/>
  <c r="U24" i="24"/>
  <c r="U33" i="15"/>
  <c r="T11" i="9"/>
  <c r="U34" i="15"/>
  <c r="U24" i="15"/>
  <c r="E12" i="11"/>
  <c r="U26" i="15"/>
  <c r="P59" i="16"/>
  <c r="U40" i="12"/>
  <c r="U50" i="12"/>
  <c r="U24" i="14"/>
  <c r="C128" i="14"/>
  <c r="T12" i="14" s="1"/>
  <c r="U24" i="17"/>
  <c r="V33" i="16"/>
  <c r="Q59" i="16"/>
  <c r="G12" i="11"/>
  <c r="T58" i="8"/>
  <c r="T63" i="23"/>
  <c r="U41" i="15"/>
  <c r="R59" i="16"/>
  <c r="J12" i="11"/>
  <c r="D49" i="11" s="1"/>
  <c r="M35" i="8"/>
  <c r="T35" i="8" s="1"/>
  <c r="U38" i="9"/>
  <c r="U36" i="1"/>
  <c r="U26" i="12"/>
  <c r="U31" i="12"/>
  <c r="U26" i="24"/>
  <c r="U31" i="14"/>
  <c r="U46" i="14"/>
  <c r="U50" i="15"/>
  <c r="T11" i="15"/>
  <c r="U25" i="17"/>
  <c r="U29" i="17"/>
  <c r="U41" i="17"/>
  <c r="S59" i="16"/>
  <c r="H24" i="10"/>
  <c r="H24" i="11" s="1"/>
  <c r="K35" i="8"/>
  <c r="K23" i="23"/>
  <c r="U48" i="9"/>
  <c r="U31" i="1"/>
  <c r="U46" i="1"/>
  <c r="U37" i="12"/>
  <c r="U47" i="12"/>
  <c r="U37" i="24"/>
  <c r="U47" i="24"/>
  <c r="T9" i="24"/>
  <c r="U26" i="14"/>
  <c r="U36" i="15"/>
  <c r="T59" i="16"/>
  <c r="T11" i="24"/>
  <c r="U27" i="24"/>
  <c r="U32" i="24"/>
  <c r="U42" i="24"/>
  <c r="U47" i="14"/>
  <c r="U32" i="15"/>
  <c r="U39" i="15"/>
  <c r="U48" i="15"/>
  <c r="U71" i="15"/>
  <c r="U26" i="17"/>
  <c r="U31" i="17"/>
  <c r="C128" i="17"/>
  <c r="T12" i="17" s="1"/>
  <c r="V39" i="16"/>
  <c r="P55" i="16"/>
  <c r="U59" i="16"/>
  <c r="T23" i="8"/>
  <c r="T55" i="8"/>
  <c r="T59" i="8" s="1"/>
  <c r="V59" i="8" s="1"/>
  <c r="T65" i="23"/>
  <c r="T9" i="1"/>
  <c r="C82" i="24"/>
  <c r="T10" i="24" s="1"/>
  <c r="C128" i="15"/>
  <c r="T12" i="15" s="1"/>
  <c r="T9" i="17"/>
  <c r="Q55" i="16"/>
  <c r="Q112" i="16" s="1"/>
  <c r="T56" i="8"/>
  <c r="U32" i="17"/>
  <c r="U42" i="17"/>
  <c r="R55" i="16"/>
  <c r="R109" i="16" s="1"/>
  <c r="K19" i="7"/>
  <c r="R19" i="7" s="1"/>
  <c r="K49" i="8"/>
  <c r="D100" i="24"/>
  <c r="U29" i="9"/>
  <c r="U40" i="9"/>
  <c r="U44" i="9"/>
  <c r="U27" i="1"/>
  <c r="U42" i="1"/>
  <c r="U32" i="12"/>
  <c r="U43" i="12"/>
  <c r="U38" i="14"/>
  <c r="U48" i="14"/>
  <c r="U35" i="9"/>
  <c r="U50" i="9"/>
  <c r="C82" i="9"/>
  <c r="T10" i="9" s="1"/>
  <c r="U28" i="12"/>
  <c r="U28" i="14"/>
  <c r="U33" i="14"/>
  <c r="U43" i="14"/>
  <c r="U30" i="15"/>
  <c r="T8" i="15"/>
  <c r="U57" i="15"/>
  <c r="U62" i="15"/>
  <c r="U67" i="15"/>
  <c r="T55" i="16"/>
  <c r="Q80" i="16"/>
  <c r="I19" i="7"/>
  <c r="O39" i="7"/>
  <c r="D30" i="10"/>
  <c r="K21" i="8"/>
  <c r="M21" i="8" s="1"/>
  <c r="T21" i="8" s="1"/>
  <c r="K50" i="8"/>
  <c r="T50" i="8" s="1"/>
  <c r="O56" i="8"/>
  <c r="U30" i="9"/>
  <c r="U45" i="9"/>
  <c r="U28" i="1"/>
  <c r="U38" i="1"/>
  <c r="U34" i="12"/>
  <c r="U39" i="12"/>
  <c r="U44" i="12"/>
  <c r="U49" i="12"/>
  <c r="U28" i="24"/>
  <c r="U34" i="24"/>
  <c r="U44" i="24"/>
  <c r="U39" i="14"/>
  <c r="U49" i="14"/>
  <c r="U77" i="15"/>
  <c r="U82" i="15"/>
  <c r="U38" i="17"/>
  <c r="U43" i="17"/>
  <c r="U48" i="17"/>
  <c r="O57" i="8"/>
  <c r="K49" i="23"/>
  <c r="U34" i="14"/>
  <c r="U44" i="14"/>
  <c r="U58" i="15"/>
  <c r="U63" i="15"/>
  <c r="U68" i="15"/>
  <c r="Q33" i="16"/>
  <c r="V55" i="16"/>
  <c r="G12" i="10"/>
  <c r="D24" i="10" s="1"/>
  <c r="K51" i="8"/>
  <c r="T51" i="8" s="1"/>
  <c r="R13" i="16"/>
  <c r="U13" i="16"/>
  <c r="V13" i="16"/>
  <c r="H160" i="14"/>
  <c r="K87" i="16"/>
  <c r="S94" i="16"/>
  <c r="V94" i="16"/>
  <c r="T94" i="16"/>
  <c r="P46" i="16"/>
  <c r="K69" i="16"/>
  <c r="K68" i="16"/>
  <c r="K75" i="16"/>
  <c r="K82" i="16"/>
  <c r="K88" i="16"/>
  <c r="K42" i="16"/>
  <c r="K84" i="16"/>
  <c r="K97" i="16"/>
  <c r="K36" i="16"/>
  <c r="K91" i="16"/>
  <c r="K43" i="16"/>
  <c r="K52" i="16"/>
  <c r="K86" i="16"/>
  <c r="K98" i="16"/>
  <c r="K18" i="16"/>
  <c r="K25" i="16"/>
  <c r="K62" i="16"/>
  <c r="K79" i="16"/>
  <c r="K26" i="16"/>
  <c r="K96" i="16"/>
  <c r="K16" i="16"/>
  <c r="K35" i="16"/>
  <c r="K46" i="16"/>
  <c r="K72" i="16"/>
  <c r="K101" i="16"/>
  <c r="K17" i="16"/>
  <c r="K10" i="16"/>
  <c r="K73" i="16"/>
  <c r="K80" i="16"/>
  <c r="K103" i="16"/>
  <c r="H160" i="17"/>
  <c r="H157" i="17" s="1"/>
  <c r="H160" i="1"/>
  <c r="H157" i="1" s="1"/>
  <c r="I143" i="12"/>
  <c r="H140" i="12" s="1"/>
  <c r="H160" i="12"/>
  <c r="H157" i="12" s="1"/>
  <c r="H160" i="9"/>
  <c r="H157" i="9" s="1"/>
  <c r="S39" i="16"/>
  <c r="T12" i="24"/>
  <c r="T11" i="1"/>
  <c r="C17" i="12"/>
  <c r="S17" i="12" s="1"/>
  <c r="T17" i="12" s="1"/>
  <c r="T11" i="12"/>
  <c r="U45" i="15"/>
  <c r="U44" i="15"/>
  <c r="U28" i="15"/>
  <c r="Q39" i="16"/>
  <c r="T12" i="1"/>
  <c r="T11" i="14"/>
  <c r="U27" i="15"/>
  <c r="U35" i="15"/>
  <c r="U38" i="15"/>
  <c r="C17" i="17"/>
  <c r="S17" i="17" s="1"/>
  <c r="T17" i="17" s="1"/>
  <c r="T10" i="17"/>
  <c r="U49" i="15"/>
  <c r="P39" i="16"/>
  <c r="K39" i="16" s="1"/>
  <c r="T12" i="9"/>
  <c r="C17" i="24"/>
  <c r="S17" i="24" s="1"/>
  <c r="T17" i="24" s="1"/>
  <c r="T112" i="16"/>
  <c r="T109" i="16"/>
  <c r="T83" i="16"/>
  <c r="V60" i="16"/>
  <c r="R60" i="16"/>
  <c r="Q60" i="16"/>
  <c r="D23" i="11"/>
  <c r="D45" i="11"/>
  <c r="P60" i="16"/>
  <c r="T8" i="24"/>
  <c r="C82" i="14"/>
  <c r="U81" i="15"/>
  <c r="I161" i="15"/>
  <c r="I160" i="15" s="1"/>
  <c r="H157" i="15" s="1"/>
  <c r="S13" i="16"/>
  <c r="P13" i="16"/>
  <c r="K13" i="16" s="1"/>
  <c r="K21" i="16"/>
  <c r="K22" i="16"/>
  <c r="K27" i="16"/>
  <c r="U44" i="16"/>
  <c r="U61" i="16"/>
  <c r="Q61" i="16"/>
  <c r="P61" i="16"/>
  <c r="K61" i="16" s="1"/>
  <c r="K78" i="16"/>
  <c r="R112" i="16"/>
  <c r="T21" i="23"/>
  <c r="K52" i="23"/>
  <c r="O52" i="23" s="1"/>
  <c r="T49" i="23"/>
  <c r="T52" i="23" s="1"/>
  <c r="U33" i="12"/>
  <c r="U41" i="12"/>
  <c r="U51" i="12"/>
  <c r="T40" i="16"/>
  <c r="Q40" i="16"/>
  <c r="P40" i="16"/>
  <c r="K40" i="16" s="1"/>
  <c r="U60" i="16"/>
  <c r="Q100" i="16"/>
  <c r="V100" i="16"/>
  <c r="U100" i="16"/>
  <c r="H140" i="9"/>
  <c r="U42" i="12"/>
  <c r="K21" i="24"/>
  <c r="U25" i="24"/>
  <c r="U33" i="24"/>
  <c r="U41" i="24"/>
  <c r="U43" i="24"/>
  <c r="H160" i="24"/>
  <c r="H157" i="24" s="1"/>
  <c r="U76" i="15"/>
  <c r="H140" i="15"/>
  <c r="U30" i="17"/>
  <c r="U39" i="17"/>
  <c r="H140" i="17"/>
  <c r="K23" i="16"/>
  <c r="K30" i="16"/>
  <c r="V40" i="16"/>
  <c r="K60" i="16"/>
  <c r="T100" i="16"/>
  <c r="K37" i="8"/>
  <c r="M37" i="8" s="1"/>
  <c r="T37" i="8" s="1"/>
  <c r="K36" i="8"/>
  <c r="M36" i="8" s="1"/>
  <c r="T36" i="8" s="1"/>
  <c r="Q28" i="16"/>
  <c r="AA17" i="14"/>
  <c r="U47" i="17"/>
  <c r="K32" i="16"/>
  <c r="P109" i="16"/>
  <c r="P83" i="16"/>
  <c r="U55" i="16"/>
  <c r="K55" i="16" s="1"/>
  <c r="S60" i="16"/>
  <c r="T92" i="16"/>
  <c r="Q92" i="16"/>
  <c r="P92" i="16"/>
  <c r="K92" i="16" s="1"/>
  <c r="K36" i="7"/>
  <c r="O36" i="7" s="1"/>
  <c r="R33" i="7"/>
  <c r="R36" i="7" s="1"/>
  <c r="D34" i="10"/>
  <c r="D50" i="10"/>
  <c r="K24" i="23"/>
  <c r="M24" i="23" s="1"/>
  <c r="T24" i="23" s="1"/>
  <c r="K25" i="23"/>
  <c r="M25" i="23" s="1"/>
  <c r="S28" i="16"/>
  <c r="P28" i="16"/>
  <c r="K28" i="16" s="1"/>
  <c r="X4" i="1" s="1"/>
  <c r="U42" i="15"/>
  <c r="S44" i="16"/>
  <c r="R44" i="16"/>
  <c r="V112" i="16"/>
  <c r="V109" i="16"/>
  <c r="V83" i="16"/>
  <c r="K21" i="14"/>
  <c r="C17" i="15"/>
  <c r="S17" i="15" s="1"/>
  <c r="T17" i="15" s="1"/>
  <c r="U37" i="17"/>
  <c r="K113" i="16"/>
  <c r="K102" i="16"/>
  <c r="K85" i="16"/>
  <c r="K74" i="16"/>
  <c r="K51" i="16"/>
  <c r="K38" i="16"/>
  <c r="K31" i="16"/>
  <c r="K20" i="16"/>
  <c r="K9" i="16"/>
  <c r="K110" i="16"/>
  <c r="K108" i="16"/>
  <c r="K107" i="16"/>
  <c r="K90" i="16"/>
  <c r="K81" i="16"/>
  <c r="K77" i="16"/>
  <c r="K71" i="16"/>
  <c r="K64" i="16"/>
  <c r="K57" i="16"/>
  <c r="K56" i="16"/>
  <c r="K54" i="16"/>
  <c r="K47" i="16"/>
  <c r="K34" i="16"/>
  <c r="K29" i="16"/>
  <c r="K24" i="16"/>
  <c r="K19" i="16"/>
  <c r="K15" i="16"/>
  <c r="K106" i="16"/>
  <c r="K99" i="16"/>
  <c r="K93" i="16"/>
  <c r="K89" i="16"/>
  <c r="K76" i="16"/>
  <c r="K70" i="16"/>
  <c r="K63" i="16"/>
  <c r="K53" i="16"/>
  <c r="K41" i="16"/>
  <c r="K11" i="16"/>
  <c r="K12" i="16"/>
  <c r="K14" i="16"/>
  <c r="U28" i="16"/>
  <c r="S33" i="16"/>
  <c r="P33" i="16"/>
  <c r="K33" i="16" s="1"/>
  <c r="R40" i="16"/>
  <c r="P44" i="16"/>
  <c r="K44" i="16" s="1"/>
  <c r="K48" i="16"/>
  <c r="S55" i="16"/>
  <c r="K58" i="16"/>
  <c r="S92" i="16"/>
  <c r="R95" i="16"/>
  <c r="P100" i="16"/>
  <c r="K100" i="16" s="1"/>
  <c r="K105" i="16"/>
  <c r="T49" i="8"/>
  <c r="K36" i="23"/>
  <c r="M36" i="23" s="1"/>
  <c r="T36" i="23" s="1"/>
  <c r="K37" i="23"/>
  <c r="M37" i="23" s="1"/>
  <c r="T37" i="23" s="1"/>
  <c r="T33" i="23"/>
  <c r="T66" i="23"/>
  <c r="V66" i="23" s="1"/>
  <c r="T28" i="16"/>
  <c r="T12" i="12"/>
  <c r="K22" i="14"/>
  <c r="V28" i="16"/>
  <c r="S40" i="16"/>
  <c r="Q44" i="16"/>
  <c r="K49" i="16"/>
  <c r="K59" i="16"/>
  <c r="K66" i="16"/>
  <c r="K67" i="16"/>
  <c r="R83" i="16"/>
  <c r="U92" i="16"/>
  <c r="U95" i="16"/>
  <c r="K95" i="16" s="1"/>
  <c r="R100" i="16"/>
  <c r="P112" i="16"/>
  <c r="K25" i="8"/>
  <c r="M25" i="8" s="1"/>
  <c r="T25" i="8" s="1"/>
  <c r="K24" i="8"/>
  <c r="M24" i="8" s="1"/>
  <c r="T24" i="8" s="1"/>
  <c r="M23" i="23"/>
  <c r="T23" i="23" s="1"/>
  <c r="M35" i="23"/>
  <c r="T35" i="23" s="1"/>
  <c r="O63" i="23"/>
  <c r="O65" i="23"/>
  <c r="I21" i="7"/>
  <c r="K21" i="7" s="1"/>
  <c r="R21" i="7" s="1"/>
  <c r="O45" i="7" s="1"/>
  <c r="O53" i="7" s="1"/>
  <c r="E12" i="10"/>
  <c r="F24" i="10"/>
  <c r="F24" i="11" s="1"/>
  <c r="H12" i="11"/>
  <c r="K22" i="8"/>
  <c r="M22" i="8" s="1"/>
  <c r="T22" i="8" s="1"/>
  <c r="K33" i="8"/>
  <c r="M33" i="8" s="1"/>
  <c r="F12" i="10"/>
  <c r="I12" i="11"/>
  <c r="I17" i="7"/>
  <c r="K17" i="7" s="1"/>
  <c r="H12" i="10"/>
  <c r="K12" i="11"/>
  <c r="O62" i="23"/>
  <c r="O64" i="23"/>
  <c r="K37" i="16"/>
  <c r="K50" i="16"/>
  <c r="I12" i="10"/>
  <c r="D44" i="11"/>
  <c r="D22" i="11"/>
  <c r="C82" i="1"/>
  <c r="T10" i="1" s="1"/>
  <c r="Q95" i="16"/>
  <c r="C17" i="9"/>
  <c r="S17" i="9" s="1"/>
  <c r="T17" i="9" s="1"/>
  <c r="P94" i="16"/>
  <c r="K94" i="16" s="1"/>
  <c r="K45" i="16"/>
  <c r="K22" i="1"/>
  <c r="M22" i="1"/>
  <c r="M21" i="1"/>
  <c r="K21" i="1"/>
  <c r="AA17" i="1"/>
  <c r="M22" i="17"/>
  <c r="K22" i="17"/>
  <c r="M21" i="17"/>
  <c r="K21" i="17"/>
  <c r="AA17" i="17"/>
  <c r="K22" i="12"/>
  <c r="M21" i="12"/>
  <c r="AA17" i="12"/>
  <c r="K21" i="12"/>
  <c r="M22" i="12"/>
  <c r="K22" i="9"/>
  <c r="M22" i="9"/>
  <c r="M21" i="9"/>
  <c r="K21" i="9"/>
  <c r="AA17" i="9"/>
  <c r="K22" i="24"/>
  <c r="M22" i="24"/>
  <c r="M21" i="14"/>
  <c r="AA17" i="15"/>
  <c r="K22" i="15"/>
  <c r="M22" i="15"/>
  <c r="K21" i="15"/>
  <c r="D30" i="11" l="1"/>
  <c r="D55" i="10"/>
  <c r="D46" i="10"/>
  <c r="H116" i="16"/>
  <c r="D39" i="11"/>
  <c r="Q109" i="16"/>
  <c r="Q83" i="16"/>
  <c r="T52" i="8"/>
  <c r="K52" i="8"/>
  <c r="O52" i="8" s="1"/>
  <c r="D46" i="11"/>
  <c r="D24" i="11"/>
  <c r="H118" i="16"/>
  <c r="X4" i="15" s="1"/>
  <c r="H125" i="16"/>
  <c r="H121" i="16"/>
  <c r="X9" i="1"/>
  <c r="H123" i="16"/>
  <c r="X9" i="15" s="1"/>
  <c r="H117" i="16"/>
  <c r="X8" i="1"/>
  <c r="H122" i="16"/>
  <c r="X8" i="14" s="1"/>
  <c r="X5" i="1"/>
  <c r="H119" i="16"/>
  <c r="X5" i="14" s="1"/>
  <c r="H120" i="16"/>
  <c r="X2" i="1"/>
  <c r="X8" i="17"/>
  <c r="X9" i="17"/>
  <c r="X5" i="15"/>
  <c r="X4" i="17"/>
  <c r="K112" i="16"/>
  <c r="X5" i="9"/>
  <c r="X7" i="9"/>
  <c r="X4" i="9"/>
  <c r="X4" i="14"/>
  <c r="X9" i="9"/>
  <c r="X9" i="14"/>
  <c r="X11" i="9"/>
  <c r="X8" i="9"/>
  <c r="T25" i="23"/>
  <c r="O70" i="23" s="1"/>
  <c r="M28" i="23"/>
  <c r="O63" i="8"/>
  <c r="T28" i="8"/>
  <c r="T39" i="23"/>
  <c r="V39" i="23" s="1"/>
  <c r="M28" i="8"/>
  <c r="D45" i="10"/>
  <c r="D23" i="10"/>
  <c r="M39" i="23"/>
  <c r="X12" i="1"/>
  <c r="X3" i="1"/>
  <c r="U112" i="16"/>
  <c r="U109" i="16"/>
  <c r="K109" i="16" s="1"/>
  <c r="H126" i="16" s="1"/>
  <c r="U83" i="16"/>
  <c r="K83" i="16" s="1"/>
  <c r="X10" i="1" s="1"/>
  <c r="D29" i="11"/>
  <c r="D48" i="11"/>
  <c r="D17" i="11"/>
  <c r="T33" i="8"/>
  <c r="T39" i="8" s="1"/>
  <c r="V39" i="8" s="1"/>
  <c r="M39" i="8"/>
  <c r="D50" i="11"/>
  <c r="D34" i="11"/>
  <c r="D28" i="11"/>
  <c r="D47" i="11"/>
  <c r="S112" i="16"/>
  <c r="S109" i="16"/>
  <c r="S83" i="16"/>
  <c r="X6" i="1"/>
  <c r="M12" i="11"/>
  <c r="D28" i="10"/>
  <c r="D47" i="10"/>
  <c r="D48" i="10"/>
  <c r="D29" i="10"/>
  <c r="K24" i="7"/>
  <c r="R17" i="7"/>
  <c r="D44" i="10"/>
  <c r="D40" i="10"/>
  <c r="D39" i="10"/>
  <c r="D22" i="10"/>
  <c r="D18" i="10"/>
  <c r="D17" i="10"/>
  <c r="M12" i="10"/>
  <c r="O71" i="23"/>
  <c r="T28" i="23"/>
  <c r="C17" i="14"/>
  <c r="S17" i="14" s="1"/>
  <c r="T17" i="14" s="1"/>
  <c r="T10" i="14"/>
  <c r="C17" i="1"/>
  <c r="S17" i="1" s="1"/>
  <c r="T17" i="1" s="1"/>
  <c r="G35" i="11" l="1"/>
  <c r="E35" i="11"/>
  <c r="G51" i="11"/>
  <c r="O64" i="8"/>
  <c r="X5" i="17"/>
  <c r="X8" i="15"/>
  <c r="X6" i="12"/>
  <c r="X6" i="24"/>
  <c r="X5" i="12"/>
  <c r="X5" i="24"/>
  <c r="X7" i="12"/>
  <c r="X7" i="24"/>
  <c r="X11" i="12"/>
  <c r="X11" i="24"/>
  <c r="X8" i="12"/>
  <c r="X8" i="24"/>
  <c r="X4" i="12"/>
  <c r="X4" i="24"/>
  <c r="X12" i="12"/>
  <c r="X12" i="24"/>
  <c r="X2" i="12"/>
  <c r="X2" i="24"/>
  <c r="X3" i="12"/>
  <c r="X3" i="24"/>
  <c r="X9" i="12"/>
  <c r="X9" i="24"/>
  <c r="X13" i="1"/>
  <c r="H127" i="16"/>
  <c r="H124" i="16"/>
  <c r="X10" i="24" s="1"/>
  <c r="X7" i="14"/>
  <c r="X7" i="1"/>
  <c r="X11" i="14"/>
  <c r="X11" i="1"/>
  <c r="X12" i="15"/>
  <c r="X12" i="17"/>
  <c r="X7" i="15"/>
  <c r="X7" i="17"/>
  <c r="X2" i="15"/>
  <c r="X2" i="17"/>
  <c r="X10" i="15"/>
  <c r="X6" i="15"/>
  <c r="X6" i="17"/>
  <c r="X3" i="15"/>
  <c r="X3" i="17"/>
  <c r="X11" i="15"/>
  <c r="X11" i="17"/>
  <c r="X13" i="15"/>
  <c r="X13" i="17"/>
  <c r="X12" i="9"/>
  <c r="X12" i="14"/>
  <c r="X6" i="9"/>
  <c r="X6" i="14"/>
  <c r="X2" i="9"/>
  <c r="X2" i="14"/>
  <c r="X3" i="9"/>
  <c r="X3" i="14"/>
  <c r="G51" i="10"/>
  <c r="F51" i="10"/>
  <c r="E51" i="10"/>
  <c r="H51" i="10"/>
  <c r="E51" i="11"/>
  <c r="H35" i="10"/>
  <c r="G35" i="10"/>
  <c r="F35" i="10"/>
  <c r="E35" i="10"/>
  <c r="F51" i="11"/>
  <c r="F35" i="11"/>
  <c r="V52" i="8"/>
  <c r="T65" i="8"/>
  <c r="V65" i="8" s="1"/>
  <c r="V28" i="8"/>
  <c r="O78" i="23"/>
  <c r="O72" i="23"/>
  <c r="H51" i="11"/>
  <c r="H35" i="11"/>
  <c r="Q39" i="23"/>
  <c r="Q40" i="23" s="1"/>
  <c r="M40" i="23"/>
  <c r="M29" i="8"/>
  <c r="Q28" i="8"/>
  <c r="Q29" i="8" s="1"/>
  <c r="O46" i="7"/>
  <c r="R24" i="7"/>
  <c r="K25" i="7"/>
  <c r="O24" i="7"/>
  <c r="M40" i="8"/>
  <c r="Q39" i="8"/>
  <c r="Q40" i="8" s="1"/>
  <c r="I35" i="11"/>
  <c r="K72" i="23"/>
  <c r="M29" i="23"/>
  <c r="Q28" i="23"/>
  <c r="Q29" i="23" s="1"/>
  <c r="V28" i="23"/>
  <c r="T72" i="23"/>
  <c r="V72" i="23" s="1"/>
  <c r="V52" i="23"/>
  <c r="O65" i="8"/>
  <c r="O71" i="8"/>
  <c r="X10" i="17" l="1"/>
  <c r="X15" i="17" s="1"/>
  <c r="X16" i="17" s="1"/>
  <c r="X17" i="17" s="1"/>
  <c r="X13" i="24"/>
  <c r="X15" i="24" s="1"/>
  <c r="X16" i="24" s="1"/>
  <c r="X17" i="24" s="1"/>
  <c r="X13" i="14"/>
  <c r="X10" i="14"/>
  <c r="X13" i="9"/>
  <c r="X13" i="12"/>
  <c r="X10" i="9"/>
  <c r="X10" i="12"/>
  <c r="X15" i="1"/>
  <c r="X16" i="1" s="1"/>
  <c r="X17" i="1" s="1"/>
  <c r="X15" i="15"/>
  <c r="X16" i="15" s="1"/>
  <c r="X17" i="15" s="1"/>
  <c r="O68" i="8"/>
  <c r="O69" i="8" s="1"/>
  <c r="O72" i="8" s="1"/>
  <c r="O73" i="8" s="1"/>
  <c r="O74" i="8" s="1"/>
  <c r="O66" i="8"/>
  <c r="O47" i="7"/>
  <c r="O25" i="7"/>
  <c r="T36" i="7"/>
  <c r="K74" i="23"/>
  <c r="K73" i="23"/>
  <c r="O75" i="23"/>
  <c r="O76" i="23" s="1"/>
  <c r="O79" i="23" s="1"/>
  <c r="O80" i="23" s="1"/>
  <c r="O81" i="23" s="1"/>
  <c r="O82" i="23" s="1"/>
  <c r="O83" i="23" s="1"/>
  <c r="O73" i="23"/>
  <c r="X15" i="14" l="1"/>
  <c r="X16" i="14" s="1"/>
  <c r="X17" i="14" s="1"/>
  <c r="X15" i="9"/>
  <c r="X16" i="9" s="1"/>
  <c r="X17" i="9" s="1"/>
  <c r="X15" i="12"/>
  <c r="X16" i="12" s="1"/>
  <c r="X17" i="12" s="1"/>
  <c r="O50" i="7"/>
  <c r="O51" i="7" s="1"/>
  <c r="O54" i="7" s="1"/>
  <c r="O55" i="7" s="1"/>
  <c r="O56" i="7" s="1"/>
  <c r="O48" i="7"/>
  <c r="T47" i="7"/>
  <c r="H157" i="14"/>
  <c r="D157"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Nikken</author>
    <author>-</author>
  </authors>
  <commentList>
    <comment ref="L31" authorId="0" shapeId="0" xr:uid="{00000000-0006-0000-0100-000001000000}">
      <text>
        <r>
          <rPr>
            <b/>
            <sz val="9"/>
            <color indexed="81"/>
            <rFont val="ＭＳ Ｐゴシック"/>
            <family val="3"/>
            <charset val="128"/>
          </rPr>
          <t>実績値による評価の場合は、実績値を入力</t>
        </r>
      </text>
    </comment>
    <comment ref="C90" authorId="1" shapeId="0" xr:uid="{00000000-0006-0000-0100-000002000000}">
      <text>
        <r>
          <rPr>
            <b/>
            <sz val="9"/>
            <color indexed="81"/>
            <rFont val="ＭＳ Ｐゴシック"/>
            <family val="3"/>
            <charset val="128"/>
          </rPr>
          <t>対策不要の場合は、０点としてください。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Nikken</author>
    <author>-</author>
  </authors>
  <commentList>
    <comment ref="L31" authorId="0" shapeId="0" xr:uid="{978FB7ED-5E21-44BA-A77B-9E41AFD036F7}">
      <text>
        <r>
          <rPr>
            <b/>
            <sz val="9"/>
            <color indexed="81"/>
            <rFont val="ＭＳ Ｐゴシック"/>
            <family val="3"/>
            <charset val="128"/>
          </rPr>
          <t>実績値による評価の場合は、実績値を入力</t>
        </r>
      </text>
    </comment>
    <comment ref="C90" authorId="1" shapeId="0" xr:uid="{229390A8-F663-402E-8A8E-F295CE4414EE}">
      <text>
        <r>
          <rPr>
            <b/>
            <sz val="9"/>
            <color indexed="81"/>
            <rFont val="ＭＳ Ｐゴシック"/>
            <family val="3"/>
            <charset val="128"/>
          </rPr>
          <t>対策不要の場合は、０点としてください。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Nikken</author>
    <author>-</author>
  </authors>
  <commentList>
    <comment ref="L31" authorId="0" shapeId="0" xr:uid="{00000000-0006-0000-0400-000001000000}">
      <text>
        <r>
          <rPr>
            <b/>
            <sz val="9"/>
            <color indexed="81"/>
            <rFont val="ＭＳ Ｐゴシック"/>
            <family val="3"/>
            <charset val="128"/>
          </rPr>
          <t>実績値による評価の場合は、実績値を入力</t>
        </r>
      </text>
    </comment>
    <comment ref="C90" authorId="1" shapeId="0" xr:uid="{00000000-0006-0000-0400-000002000000}">
      <text>
        <r>
          <rPr>
            <b/>
            <sz val="9"/>
            <color indexed="81"/>
            <rFont val="ＭＳ Ｐゴシック"/>
            <family val="3"/>
            <charset val="128"/>
          </rPr>
          <t>対策不要の場合は、０点としてください。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Nikken</author>
    <author>-</author>
  </authors>
  <commentList>
    <comment ref="L31" authorId="0" shapeId="0" xr:uid="{00000000-0006-0000-0500-000001000000}">
      <text>
        <r>
          <rPr>
            <b/>
            <sz val="9"/>
            <color indexed="81"/>
            <rFont val="ＭＳ Ｐゴシック"/>
            <family val="3"/>
            <charset val="128"/>
          </rPr>
          <t>実績値による評価の場合は、実績値を入力</t>
        </r>
      </text>
    </comment>
    <comment ref="C90" authorId="1" shapeId="0" xr:uid="{00000000-0006-0000-0500-000002000000}">
      <text>
        <r>
          <rPr>
            <b/>
            <sz val="9"/>
            <color indexed="81"/>
            <rFont val="ＭＳ Ｐゴシック"/>
            <family val="3"/>
            <charset val="128"/>
          </rPr>
          <t>対策不要の場合は、０点としてください。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Nikken</author>
    <author>-</author>
  </authors>
  <commentList>
    <comment ref="L31" authorId="0" shapeId="0" xr:uid="{00000000-0006-0000-0700-000001000000}">
      <text>
        <r>
          <rPr>
            <b/>
            <sz val="9"/>
            <color indexed="81"/>
            <rFont val="ＭＳ Ｐゴシック"/>
            <family val="3"/>
            <charset val="128"/>
          </rPr>
          <t>実績値による評価の場合は、実績値を入力</t>
        </r>
      </text>
    </comment>
    <comment ref="C90" authorId="1" shapeId="0" xr:uid="{00000000-0006-0000-0700-000002000000}">
      <text>
        <r>
          <rPr>
            <b/>
            <sz val="9"/>
            <color indexed="81"/>
            <rFont val="ＭＳ Ｐゴシック"/>
            <family val="3"/>
            <charset val="128"/>
          </rPr>
          <t>対策不要の場合は、０点としてください。</t>
        </r>
      </text>
    </comment>
  </commentList>
</comments>
</file>

<file path=xl/sharedStrings.xml><?xml version="1.0" encoding="utf-8"?>
<sst xmlns="http://schemas.openxmlformats.org/spreadsheetml/2006/main" count="4248" uniqueCount="960">
  <si>
    <t>適合</t>
    <rPh sb="0" eb="2">
      <t>テキゴウ</t>
    </rPh>
    <phoneticPr fontId="3"/>
  </si>
  <si>
    <t>■使用評価マニュアル：</t>
  </si>
  <si>
    <t>建物概要</t>
  </si>
  <si>
    <t>建物名称</t>
  </si>
  <si>
    <t>敷地面積</t>
  </si>
  <si>
    <t>評価の段階</t>
  </si>
  <si>
    <t>建設地</t>
  </si>
  <si>
    <t>建築面積</t>
  </si>
  <si>
    <t>評価の実施日</t>
  </si>
  <si>
    <t>用途地域</t>
  </si>
  <si>
    <t>商業地域、防火地域</t>
  </si>
  <si>
    <t>作成者</t>
  </si>
  <si>
    <t>階数</t>
  </si>
  <si>
    <t>確認日</t>
  </si>
  <si>
    <t>建物用途</t>
  </si>
  <si>
    <t>構造</t>
  </si>
  <si>
    <t>確認者</t>
  </si>
  <si>
    <t>平均居住人員</t>
  </si>
  <si>
    <t>XXX</t>
  </si>
  <si>
    <t>人</t>
  </si>
  <si>
    <t>年間使用時間</t>
  </si>
  <si>
    <t>評価結果</t>
  </si>
  <si>
    <t>合計</t>
  </si>
  <si>
    <t>≧</t>
  </si>
  <si>
    <t>評価</t>
  </si>
  <si>
    <t>最大加点</t>
  </si>
  <si>
    <t>指標</t>
  </si>
  <si>
    <t>評価値</t>
  </si>
  <si>
    <t>必須項目</t>
  </si>
  <si>
    <t>；省エネルギー基準への適合、目標設定、モニタリング、運用管理体制</t>
  </si>
  <si>
    <t>根拠等</t>
  </si>
  <si>
    <t>使用・排出原単位（計算値）</t>
  </si>
  <si>
    <t>1.2</t>
  </si>
  <si>
    <t>使用・排出原単位（実績値）</t>
  </si>
  <si>
    <t>　利用率</t>
  </si>
  <si>
    <t>%</t>
  </si>
  <si>
    <t>２．水</t>
  </si>
  <si>
    <t>；目標設定、モニタリング、運用管理体制</t>
  </si>
  <si>
    <t>　水使用量（目標値）</t>
  </si>
  <si>
    <t>2.1</t>
  </si>
  <si>
    <t>水使用量（計算値）</t>
  </si>
  <si>
    <t>　水使用量（計画値）</t>
  </si>
  <si>
    <t>水使用量（実績値）</t>
  </si>
  <si>
    <t>　水使用量（実績値）</t>
  </si>
  <si>
    <t>３．資源利用／安全</t>
  </si>
  <si>
    <t>　なし</t>
  </si>
  <si>
    <t>3.1</t>
  </si>
  <si>
    <t>3.2</t>
  </si>
  <si>
    <t>品目</t>
  </si>
  <si>
    <t>3.3</t>
  </si>
  <si>
    <t>躯体材料の耐用年数</t>
  </si>
  <si>
    <t>年</t>
  </si>
  <si>
    <t>3.4</t>
  </si>
  <si>
    <t>４．生物多様性／敷地</t>
  </si>
  <si>
    <t>4.1</t>
  </si>
  <si>
    <t>生物多様性の向上</t>
  </si>
  <si>
    <t>4.2</t>
  </si>
  <si>
    <t>土壌環境品質・ブラウンフィールド再生</t>
  </si>
  <si>
    <t>4.3</t>
  </si>
  <si>
    <t>4.4</t>
  </si>
  <si>
    <t>自然災害リスク対策</t>
  </si>
  <si>
    <t>５．屋内環境</t>
  </si>
  <si>
    <t>5.1</t>
  </si>
  <si>
    <t>　開口率</t>
  </si>
  <si>
    <t>％</t>
  </si>
  <si>
    <t>5.2</t>
  </si>
  <si>
    <t>自然換気性能</t>
  </si>
  <si>
    <t>5.3</t>
  </si>
  <si>
    <t>不適合</t>
    <rPh sb="0" eb="3">
      <t>フテキゴウ</t>
    </rPh>
    <phoneticPr fontId="3"/>
  </si>
  <si>
    <r>
      <t>時間</t>
    </r>
    <r>
      <rPr>
        <sz val="10"/>
        <rFont val="Arial"/>
        <family val="2"/>
      </rPr>
      <t>/</t>
    </r>
    <r>
      <rPr>
        <sz val="10"/>
        <rFont val="ＭＳ Ｐゴシック"/>
        <family val="3"/>
        <charset val="128"/>
      </rPr>
      <t>年</t>
    </r>
  </si>
  <si>
    <r>
      <t>(*</t>
    </r>
    <r>
      <rPr>
        <sz val="10"/>
        <rFont val="ＭＳ Ｐゴシック"/>
        <family val="3"/>
        <charset val="128"/>
      </rPr>
      <t>は参考値</t>
    </r>
    <r>
      <rPr>
        <sz val="10"/>
        <rFont val="Arial"/>
        <family val="2"/>
      </rPr>
      <t>)</t>
    </r>
  </si>
  <si>
    <r>
      <t>　一次エネルギー</t>
    </r>
    <r>
      <rPr>
        <sz val="10"/>
        <rFont val="Arial"/>
        <family val="2"/>
      </rPr>
      <t>(</t>
    </r>
    <r>
      <rPr>
        <sz val="10"/>
        <rFont val="ＭＳ Ｐゴシック"/>
        <family val="3"/>
        <charset val="128"/>
      </rPr>
      <t>目標値</t>
    </r>
    <r>
      <rPr>
        <sz val="10"/>
        <rFont val="Arial"/>
        <family val="2"/>
      </rPr>
      <t>)</t>
    </r>
  </si>
  <si>
    <r>
      <t>加点</t>
    </r>
    <r>
      <rPr>
        <sz val="10"/>
        <rFont val="Arial"/>
        <family val="2"/>
      </rPr>
      <t xml:space="preserve"> 1</t>
    </r>
  </si>
  <si>
    <r>
      <t>　一次エネルギー</t>
    </r>
    <r>
      <rPr>
        <sz val="10"/>
        <rFont val="Arial"/>
        <family val="2"/>
      </rPr>
      <t>(</t>
    </r>
    <r>
      <rPr>
        <sz val="10"/>
        <rFont val="ＭＳ Ｐゴシック"/>
        <family val="3"/>
        <charset val="128"/>
      </rPr>
      <t>計画値）</t>
    </r>
  </si>
  <si>
    <r>
      <t>　二次エネルギー</t>
    </r>
    <r>
      <rPr>
        <sz val="10"/>
        <rFont val="Arial"/>
        <family val="2"/>
      </rPr>
      <t>(*)</t>
    </r>
  </si>
  <si>
    <r>
      <t>　一次エネルギー</t>
    </r>
    <r>
      <rPr>
        <sz val="10"/>
        <rFont val="Arial"/>
        <family val="2"/>
      </rPr>
      <t>(</t>
    </r>
    <r>
      <rPr>
        <sz val="10"/>
        <rFont val="ＭＳ Ｐゴシック"/>
        <family val="3"/>
        <charset val="128"/>
      </rPr>
      <t>実績値）</t>
    </r>
  </si>
  <si>
    <r>
      <t>m</t>
    </r>
    <r>
      <rPr>
        <vertAlign val="superscript"/>
        <sz val="10"/>
        <rFont val="Arial"/>
        <family val="2"/>
      </rPr>
      <t>2</t>
    </r>
    <phoneticPr fontId="3"/>
  </si>
  <si>
    <r>
      <t>S</t>
    </r>
    <r>
      <rPr>
        <sz val="10"/>
        <rFont val="ＭＳ Ｐゴシック"/>
        <family val="3"/>
        <charset val="128"/>
      </rPr>
      <t>　ランク；</t>
    </r>
    <r>
      <rPr>
        <sz val="10"/>
        <color indexed="10"/>
        <rFont val="ＭＳ Ｐゴシック"/>
        <family val="3"/>
        <charset val="128"/>
      </rPr>
      <t>★★★★★</t>
    </r>
    <phoneticPr fontId="3"/>
  </si>
  <si>
    <r>
      <t>A</t>
    </r>
    <r>
      <rPr>
        <sz val="10"/>
        <rFont val="ＭＳ Ｐゴシック"/>
        <family val="3"/>
        <charset val="128"/>
      </rPr>
      <t>　ランク；</t>
    </r>
    <r>
      <rPr>
        <sz val="10"/>
        <color indexed="10"/>
        <rFont val="ＭＳ Ｐゴシック"/>
        <family val="3"/>
        <charset val="128"/>
      </rPr>
      <t>★★★★</t>
    </r>
    <phoneticPr fontId="3"/>
  </si>
  <si>
    <r>
      <t>B+</t>
    </r>
    <r>
      <rPr>
        <sz val="10"/>
        <rFont val="ＭＳ Ｐゴシック"/>
        <family val="3"/>
        <charset val="128"/>
      </rPr>
      <t>ランク；</t>
    </r>
    <r>
      <rPr>
        <sz val="10"/>
        <color indexed="10"/>
        <rFont val="ＭＳ Ｐゴシック"/>
        <family val="3"/>
        <charset val="128"/>
      </rPr>
      <t>★★★</t>
    </r>
    <phoneticPr fontId="3"/>
  </si>
  <si>
    <r>
      <t>MJ/m</t>
    </r>
    <r>
      <rPr>
        <vertAlign val="superscript"/>
        <sz val="10"/>
        <rFont val="Arial"/>
        <family val="2"/>
      </rPr>
      <t>2</t>
    </r>
    <r>
      <rPr>
        <sz val="10"/>
        <rFont val="ＭＳ Ｐゴシック"/>
        <family val="3"/>
        <charset val="128"/>
      </rPr>
      <t>・年</t>
    </r>
    <phoneticPr fontId="3"/>
  </si>
  <si>
    <r>
      <t>kWh/m</t>
    </r>
    <r>
      <rPr>
        <vertAlign val="superscript"/>
        <sz val="10"/>
        <rFont val="Arial"/>
        <family val="2"/>
      </rPr>
      <t>2</t>
    </r>
    <r>
      <rPr>
        <sz val="10"/>
        <rFont val="ＭＳ Ｐゴシック"/>
        <family val="3"/>
        <charset val="128"/>
      </rPr>
      <t>・年</t>
    </r>
    <phoneticPr fontId="3"/>
  </si>
  <si>
    <r>
      <t>L/m</t>
    </r>
    <r>
      <rPr>
        <vertAlign val="superscript"/>
        <sz val="10"/>
        <rFont val="Arial"/>
        <family val="2"/>
      </rPr>
      <t>2</t>
    </r>
    <r>
      <rPr>
        <sz val="10"/>
        <rFont val="ＭＳ Ｐゴシック"/>
        <family val="3"/>
        <charset val="128"/>
      </rPr>
      <t>・年</t>
    </r>
    <phoneticPr fontId="3"/>
  </si>
  <si>
    <t>項目</t>
    <rPh sb="0" eb="2">
      <t>コウモク</t>
    </rPh>
    <phoneticPr fontId="3"/>
  </si>
  <si>
    <t>　自給率向上の取組数</t>
    <rPh sb="1" eb="4">
      <t>ジキュウリツ</t>
    </rPh>
    <rPh sb="4" eb="6">
      <t>コウジョウ</t>
    </rPh>
    <rPh sb="7" eb="9">
      <t>トリクミ</t>
    </rPh>
    <rPh sb="9" eb="10">
      <t>スウ</t>
    </rPh>
    <phoneticPr fontId="3"/>
  </si>
  <si>
    <t>　維持管理に関する取組数</t>
    <rPh sb="1" eb="3">
      <t>イジ</t>
    </rPh>
    <rPh sb="3" eb="5">
      <t>カンリ</t>
    </rPh>
    <rPh sb="6" eb="7">
      <t>カン</t>
    </rPh>
    <rPh sb="9" eb="11">
      <t>トリクミ</t>
    </rPh>
    <rPh sb="11" eb="12">
      <t>スウ</t>
    </rPh>
    <phoneticPr fontId="3"/>
  </si>
  <si>
    <t>　リスクの合計数</t>
    <rPh sb="5" eb="8">
      <t>ゴウケイスウ</t>
    </rPh>
    <phoneticPr fontId="3"/>
  </si>
  <si>
    <t>種類</t>
    <rPh sb="0" eb="2">
      <t>シュルイ</t>
    </rPh>
    <phoneticPr fontId="3"/>
  </si>
  <si>
    <t>　昼光利用設備</t>
    <rPh sb="1" eb="2">
      <t>ヒル</t>
    </rPh>
    <rPh sb="2" eb="3">
      <t>ヒカリ</t>
    </rPh>
    <rPh sb="3" eb="5">
      <t>リヨウ</t>
    </rPh>
    <rPh sb="5" eb="7">
      <t>セツビ</t>
    </rPh>
    <phoneticPr fontId="3"/>
  </si>
  <si>
    <t>　天井高</t>
    <rPh sb="1" eb="3">
      <t>テンジョウ</t>
    </rPh>
    <rPh sb="3" eb="4">
      <t>ダカ</t>
    </rPh>
    <phoneticPr fontId="3"/>
  </si>
  <si>
    <t>m以上</t>
    <rPh sb="1" eb="3">
      <t>イジョウ</t>
    </rPh>
    <phoneticPr fontId="3"/>
  </si>
  <si>
    <t>赤星</t>
    <rPh sb="0" eb="2">
      <t>アカホシ</t>
    </rPh>
    <phoneticPr fontId="3"/>
  </si>
  <si>
    <t>点星</t>
    <rPh sb="0" eb="1">
      <t>テン</t>
    </rPh>
    <rPh sb="1" eb="2">
      <t>ホシ</t>
    </rPh>
    <phoneticPr fontId="3"/>
  </si>
  <si>
    <t>充足率</t>
    <rPh sb="0" eb="2">
      <t>ジュウソク</t>
    </rPh>
    <rPh sb="2" eb="3">
      <t>リツ</t>
    </rPh>
    <phoneticPr fontId="3"/>
  </si>
  <si>
    <t>評価機関、評価員記名欄</t>
    <rPh sb="0" eb="2">
      <t>ヒョウカ</t>
    </rPh>
    <rPh sb="2" eb="4">
      <t>キカン</t>
    </rPh>
    <rPh sb="5" eb="7">
      <t>ヒョウカ</t>
    </rPh>
    <rPh sb="7" eb="8">
      <t>イン</t>
    </rPh>
    <rPh sb="8" eb="10">
      <t>キメイ</t>
    </rPh>
    <rPh sb="10" eb="11">
      <t>ラン</t>
    </rPh>
    <phoneticPr fontId="3"/>
  </si>
  <si>
    <t>環境性能の特徴</t>
    <rPh sb="0" eb="2">
      <t>カンキョウ</t>
    </rPh>
    <rPh sb="2" eb="4">
      <t>セイノウ</t>
    </rPh>
    <rPh sb="5" eb="7">
      <t>トクチョウ</t>
    </rPh>
    <phoneticPr fontId="3"/>
  </si>
  <si>
    <t>延床面積</t>
    <rPh sb="0" eb="2">
      <t>ノベユカ</t>
    </rPh>
    <rPh sb="2" eb="4">
      <t>メンセキ</t>
    </rPh>
    <phoneticPr fontId="3"/>
  </si>
  <si>
    <t>10,000㎡未満</t>
    <rPh sb="7" eb="9">
      <t>ミマン</t>
    </rPh>
    <phoneticPr fontId="3"/>
  </si>
  <si>
    <t>10,000m2以上30,000m2未満</t>
    <phoneticPr fontId="3"/>
  </si>
  <si>
    <t>30,000m2以上</t>
    <phoneticPr fontId="3"/>
  </si>
  <si>
    <t>評価建物</t>
    <rPh sb="0" eb="2">
      <t>ヒョウカ</t>
    </rPh>
    <rPh sb="2" eb="4">
      <t>タテモノ</t>
    </rPh>
    <phoneticPr fontId="3"/>
  </si>
  <si>
    <t>水消費量[実績値](L/㎡・年)</t>
    <rPh sb="0" eb="1">
      <t>ミズ</t>
    </rPh>
    <rPh sb="1" eb="3">
      <t>ショウヒ</t>
    </rPh>
    <rPh sb="3" eb="4">
      <t>リョウ</t>
    </rPh>
    <rPh sb="5" eb="8">
      <t>ジッセキチ</t>
    </rPh>
    <rPh sb="14" eb="15">
      <t>ネン</t>
    </rPh>
    <phoneticPr fontId="3"/>
  </si>
  <si>
    <t>認証機関記名欄</t>
    <phoneticPr fontId="3"/>
  </si>
  <si>
    <t>20XX/XX/XX</t>
  </si>
  <si>
    <t>/100</t>
    <phoneticPr fontId="3"/>
  </si>
  <si>
    <t>（得点　</t>
    <rPh sb="1" eb="3">
      <t>トクテン</t>
    </rPh>
    <phoneticPr fontId="3"/>
  </si>
  <si>
    <r>
      <t>/</t>
    </r>
    <r>
      <rPr>
        <sz val="10"/>
        <rFont val="ＭＳ Ｐゴシック"/>
        <family val="3"/>
        <charset val="128"/>
      </rPr>
      <t>　満点）</t>
    </r>
    <rPh sb="2" eb="4">
      <t>マンテン</t>
    </rPh>
    <phoneticPr fontId="3"/>
  </si>
  <si>
    <t>　リサイクル材品目数(非構造材)</t>
    <rPh sb="11" eb="12">
      <t>ヒ</t>
    </rPh>
    <rPh sb="12" eb="14">
      <t>コウゾウ</t>
    </rPh>
    <rPh sb="14" eb="15">
      <t>ザイ</t>
    </rPh>
    <phoneticPr fontId="3"/>
  </si>
  <si>
    <t>運用段階評価</t>
    <rPh sb="0" eb="2">
      <t>ウンヨウ</t>
    </rPh>
    <phoneticPr fontId="3"/>
  </si>
  <si>
    <t>①</t>
    <phoneticPr fontId="3"/>
  </si>
  <si>
    <t>②</t>
    <phoneticPr fontId="3"/>
  </si>
  <si>
    <t>耐震性</t>
    <rPh sb="0" eb="3">
      <t>タイシンセイ</t>
    </rPh>
    <phoneticPr fontId="3"/>
  </si>
  <si>
    <t>　経過年数＋今後の想定耐用年数</t>
    <rPh sb="1" eb="3">
      <t>ケイカ</t>
    </rPh>
    <rPh sb="3" eb="5">
      <t>ネンスウ</t>
    </rPh>
    <rPh sb="6" eb="8">
      <t>コンゴ</t>
    </rPh>
    <rPh sb="9" eb="11">
      <t>ソウテイ</t>
    </rPh>
    <rPh sb="11" eb="13">
      <t>タイヨウ</t>
    </rPh>
    <rPh sb="13" eb="15">
      <t>ネンスウ</t>
    </rPh>
    <phoneticPr fontId="3"/>
  </si>
  <si>
    <t>維持管理</t>
    <rPh sb="0" eb="2">
      <t>イジ</t>
    </rPh>
    <rPh sb="2" eb="4">
      <t>カンリ</t>
    </rPh>
    <phoneticPr fontId="3"/>
  </si>
  <si>
    <t>ポイント</t>
    <phoneticPr fontId="3"/>
  </si>
  <si>
    <t>年</t>
    <rPh sb="0" eb="1">
      <t>ネン</t>
    </rPh>
    <phoneticPr fontId="3"/>
  </si>
  <si>
    <t>　更新年数の平均値</t>
    <rPh sb="1" eb="3">
      <t>コウシン</t>
    </rPh>
    <rPh sb="3" eb="5">
      <t>ネンスウ</t>
    </rPh>
    <rPh sb="6" eb="9">
      <t>ヘイキンチ</t>
    </rPh>
    <phoneticPr fontId="3"/>
  </si>
  <si>
    <r>
      <t>[</t>
    </r>
    <r>
      <rPr>
        <sz val="10"/>
        <rFont val="ＭＳ Ｐゴシック"/>
        <family val="3"/>
        <charset val="128"/>
      </rPr>
      <t>対策不要は対象外</t>
    </r>
    <r>
      <rPr>
        <sz val="10"/>
        <rFont val="Arial"/>
        <family val="2"/>
      </rPr>
      <t>]</t>
    </r>
    <rPh sb="6" eb="8">
      <t>タイショウ</t>
    </rPh>
    <phoneticPr fontId="3"/>
  </si>
  <si>
    <t>　②取組表による場合のポイント数</t>
    <rPh sb="2" eb="4">
      <t>トリクミ</t>
    </rPh>
    <rPh sb="4" eb="5">
      <t>ヒョウ</t>
    </rPh>
    <rPh sb="8" eb="10">
      <t>バアイ</t>
    </rPh>
    <rPh sb="15" eb="16">
      <t>スウ</t>
    </rPh>
    <phoneticPr fontId="3"/>
  </si>
  <si>
    <t>昼光利用設備</t>
    <rPh sb="0" eb="2">
      <t>チュウコウ</t>
    </rPh>
    <rPh sb="2" eb="4">
      <t>リヨウ</t>
    </rPh>
    <rPh sb="4" eb="6">
      <t>セツビ</t>
    </rPh>
    <phoneticPr fontId="3"/>
  </si>
  <si>
    <t>　不動産評価員番号</t>
    <rPh sb="1" eb="4">
      <t>フドウサン</t>
    </rPh>
    <rPh sb="4" eb="7">
      <t>ヒョウカイン</t>
    </rPh>
    <rPh sb="7" eb="9">
      <t>バンゴウ</t>
    </rPh>
    <phoneticPr fontId="3"/>
  </si>
  <si>
    <t>躯体材料</t>
    <rPh sb="0" eb="2">
      <t>クタイ</t>
    </rPh>
    <rPh sb="2" eb="4">
      <t>ザイリョウ</t>
    </rPh>
    <phoneticPr fontId="3"/>
  </si>
  <si>
    <t>非構造材料</t>
    <rPh sb="0" eb="1">
      <t>ヒ</t>
    </rPh>
    <rPh sb="1" eb="3">
      <t>コウゾウ</t>
    </rPh>
    <rPh sb="3" eb="5">
      <t>ザイリョウ</t>
    </rPh>
    <phoneticPr fontId="3"/>
  </si>
  <si>
    <t>自然採光</t>
    <rPh sb="0" eb="2">
      <t>シゼン</t>
    </rPh>
    <rPh sb="2" eb="4">
      <t>サイコウ</t>
    </rPh>
    <phoneticPr fontId="3"/>
  </si>
  <si>
    <t>直近の大規模改修実施年月</t>
    <rPh sb="0" eb="2">
      <t>チョッキン</t>
    </rPh>
    <rPh sb="3" eb="6">
      <t>ダイキボ</t>
    </rPh>
    <rPh sb="6" eb="8">
      <t>カイシュウ</t>
    </rPh>
    <rPh sb="8" eb="10">
      <t>ジッシ</t>
    </rPh>
    <rPh sb="10" eb="12">
      <t>ネンゲツ</t>
    </rPh>
    <phoneticPr fontId="3"/>
  </si>
  <si>
    <t>竣工年月</t>
    <rPh sb="3" eb="4">
      <t>ゲツ</t>
    </rPh>
    <phoneticPr fontId="3"/>
  </si>
  <si>
    <t>廃棄物処理負荷抑制</t>
    <rPh sb="0" eb="3">
      <t>ハイキブツ</t>
    </rPh>
    <rPh sb="3" eb="5">
      <t>ショリ</t>
    </rPh>
    <rPh sb="5" eb="7">
      <t>フカ</t>
    </rPh>
    <rPh sb="7" eb="9">
      <t>ヨクセイ</t>
    </rPh>
    <phoneticPr fontId="3"/>
  </si>
  <si>
    <t>なし</t>
    <phoneticPr fontId="3"/>
  </si>
  <si>
    <t>①物販店舗</t>
    <rPh sb="1" eb="3">
      <t>ブッパン</t>
    </rPh>
    <rPh sb="3" eb="5">
      <t>テンポ</t>
    </rPh>
    <phoneticPr fontId="3"/>
  </si>
  <si>
    <t>②飲食店舗</t>
    <rPh sb="1" eb="3">
      <t>インショク</t>
    </rPh>
    <rPh sb="3" eb="5">
      <t>テンポ</t>
    </rPh>
    <phoneticPr fontId="3"/>
  </si>
  <si>
    <t>③デパート・スーパー</t>
    <phoneticPr fontId="3"/>
  </si>
  <si>
    <t>④家電量販店</t>
    <rPh sb="1" eb="3">
      <t>カデン</t>
    </rPh>
    <rPh sb="3" eb="6">
      <t>リョウハンテン</t>
    </rPh>
    <phoneticPr fontId="3"/>
  </si>
  <si>
    <t>⑤コンビニエンス・ストア</t>
    <phoneticPr fontId="3"/>
  </si>
  <si>
    <t>⑥店舗の事務管理エリア</t>
    <rPh sb="1" eb="3">
      <t>テンポ</t>
    </rPh>
    <rPh sb="4" eb="6">
      <t>ジム</t>
    </rPh>
    <rPh sb="6" eb="8">
      <t>カンリ</t>
    </rPh>
    <phoneticPr fontId="3"/>
  </si>
  <si>
    <t>1次エネルギ-消費量基準境界値（店舗業態別）</t>
    <rPh sb="1" eb="2">
      <t>ジ</t>
    </rPh>
    <rPh sb="7" eb="10">
      <t>ショウヒリョウ</t>
    </rPh>
    <rPh sb="10" eb="12">
      <t>キジュン</t>
    </rPh>
    <rPh sb="12" eb="14">
      <t>キョウカイ</t>
    </rPh>
    <rPh sb="14" eb="15">
      <t>チ</t>
    </rPh>
    <rPh sb="16" eb="18">
      <t>テンポ</t>
    </rPh>
    <rPh sb="18" eb="20">
      <t>ギョウタイ</t>
    </rPh>
    <rPh sb="20" eb="21">
      <t>ベツ</t>
    </rPh>
    <phoneticPr fontId="3"/>
  </si>
  <si>
    <t>単位：MJ/ｍ2・年</t>
    <rPh sb="0" eb="2">
      <t>タンイ</t>
    </rPh>
    <rPh sb="9" eb="10">
      <t>ネン</t>
    </rPh>
    <phoneticPr fontId="3"/>
  </si>
  <si>
    <t>上水消費量基準境界値（店舗業態別）</t>
    <rPh sb="0" eb="2">
      <t>ジョウスイ</t>
    </rPh>
    <rPh sb="2" eb="5">
      <t>ショウヒリョウ</t>
    </rPh>
    <rPh sb="5" eb="7">
      <t>キジュン</t>
    </rPh>
    <rPh sb="7" eb="9">
      <t>キョウカイ</t>
    </rPh>
    <rPh sb="9" eb="10">
      <t>チ</t>
    </rPh>
    <rPh sb="11" eb="13">
      <t>テンポ</t>
    </rPh>
    <rPh sb="13" eb="15">
      <t>ギョウタイ</t>
    </rPh>
    <rPh sb="15" eb="16">
      <t>ベツ</t>
    </rPh>
    <phoneticPr fontId="3"/>
  </si>
  <si>
    <t>単位：L/ｍ2・年</t>
    <rPh sb="0" eb="2">
      <t>タンイ</t>
    </rPh>
    <rPh sb="8" eb="9">
      <t>ネン</t>
    </rPh>
    <phoneticPr fontId="3"/>
  </si>
  <si>
    <t>25％点</t>
    <rPh sb="3" eb="4">
      <t>テン</t>
    </rPh>
    <phoneticPr fontId="3"/>
  </si>
  <si>
    <t>50％点</t>
    <rPh sb="3" eb="4">
      <t>テン</t>
    </rPh>
    <phoneticPr fontId="3"/>
  </si>
  <si>
    <t>75％点</t>
    <rPh sb="3" eb="4">
      <t>テン</t>
    </rPh>
    <phoneticPr fontId="3"/>
  </si>
  <si>
    <t>90％点</t>
    <rPh sb="3" eb="4">
      <t>テン</t>
    </rPh>
    <phoneticPr fontId="3"/>
  </si>
  <si>
    <t>③デパート・スーパー（規模別）</t>
    <rPh sb="11" eb="13">
      <t>キボ</t>
    </rPh>
    <rPh sb="13" eb="14">
      <t>ベツ</t>
    </rPh>
    <phoneticPr fontId="3"/>
  </si>
  <si>
    <t>④家電量販店（物販と同等とする）</t>
    <rPh sb="1" eb="3">
      <t>カデン</t>
    </rPh>
    <rPh sb="3" eb="6">
      <t>リョウハンテン</t>
    </rPh>
    <phoneticPr fontId="3"/>
  </si>
  <si>
    <t>対象店舗（駐車場を除く）</t>
    <rPh sb="0" eb="2">
      <t>タイショウ</t>
    </rPh>
    <rPh sb="2" eb="4">
      <t>テンポ</t>
    </rPh>
    <rPh sb="5" eb="8">
      <t>チュウシャジョウ</t>
    </rPh>
    <rPh sb="9" eb="10">
      <t>ノゾ</t>
    </rPh>
    <phoneticPr fontId="3"/>
  </si>
  <si>
    <t>5)平19.都土木技術センター年報 C.E.C., TMG 2007, 3．野川流域の長期流出特性の解析, ISSN 1882-2657, 技術調査課 高崎忠勝</t>
    <phoneticPr fontId="3"/>
  </si>
  <si>
    <t>4)給排水衛生設備学　中級編水まわりの実務／紀谷文樹　TOTO出版　P60表-3備考欄「湯沸し」より</t>
    <rPh sb="2" eb="3">
      <t>キュウ</t>
    </rPh>
    <rPh sb="5" eb="7">
      <t>エイセイ</t>
    </rPh>
    <rPh sb="7" eb="9">
      <t>セツビ</t>
    </rPh>
    <rPh sb="9" eb="10">
      <t>ガク</t>
    </rPh>
    <rPh sb="11" eb="13">
      <t>チュウキュウ</t>
    </rPh>
    <rPh sb="13" eb="14">
      <t>ヘン</t>
    </rPh>
    <rPh sb="14" eb="15">
      <t>ミズ</t>
    </rPh>
    <rPh sb="19" eb="21">
      <t>ジツム</t>
    </rPh>
    <rPh sb="22" eb="24">
      <t>キヤ</t>
    </rPh>
    <rPh sb="24" eb="26">
      <t>フミキ</t>
    </rPh>
    <rPh sb="31" eb="33">
      <t>シュッパン</t>
    </rPh>
    <rPh sb="37" eb="38">
      <t>ヒョウ</t>
    </rPh>
    <rPh sb="40" eb="42">
      <t>ビコウ</t>
    </rPh>
    <rPh sb="42" eb="43">
      <t>ラン</t>
    </rPh>
    <rPh sb="44" eb="46">
      <t>ユワカシ</t>
    </rPh>
    <phoneticPr fontId="3"/>
  </si>
  <si>
    <t>3)同上　P35 表2.3.1　社員食堂の下限値を採用　</t>
    <rPh sb="2" eb="4">
      <t>ドウジョウ</t>
    </rPh>
    <rPh sb="16" eb="18">
      <t>シャイン</t>
    </rPh>
    <rPh sb="18" eb="20">
      <t>ショクドウ</t>
    </rPh>
    <rPh sb="21" eb="23">
      <t>カゲン</t>
    </rPh>
    <rPh sb="23" eb="24">
      <t>チ</t>
    </rPh>
    <rPh sb="25" eb="27">
      <t>サイヨウ</t>
    </rPh>
    <phoneticPr fontId="3"/>
  </si>
  <si>
    <t>2)同上　P60 表3.4.26</t>
    <rPh sb="2" eb="4">
      <t>ドウジョウ</t>
    </rPh>
    <rPh sb="9" eb="10">
      <t>ヒョウ</t>
    </rPh>
    <phoneticPr fontId="3"/>
  </si>
  <si>
    <t>「水使用行為を基にした使用水量計算法（新しい設計給水量原単位の提案）」シンポジウム資料　P48、表3.3.2</t>
    <rPh sb="41" eb="43">
      <t>シリョウ</t>
    </rPh>
    <rPh sb="48" eb="49">
      <t>ヒョウ</t>
    </rPh>
    <phoneticPr fontId="3"/>
  </si>
  <si>
    <t>1)（社）空気調和・衛生工学会　給排水衛生設備委員会／設計データ見直し小委員会</t>
    <rPh sb="3" eb="4">
      <t>シャ</t>
    </rPh>
    <rPh sb="5" eb="7">
      <t>クウキ</t>
    </rPh>
    <rPh sb="7" eb="9">
      <t>チョウワ</t>
    </rPh>
    <rPh sb="10" eb="12">
      <t>エイセイ</t>
    </rPh>
    <rPh sb="12" eb="14">
      <t>コウガク</t>
    </rPh>
    <rPh sb="14" eb="15">
      <t>カイ</t>
    </rPh>
    <rPh sb="16" eb="19">
      <t>キュウハイスイ</t>
    </rPh>
    <rPh sb="19" eb="21">
      <t>エイセイ</t>
    </rPh>
    <rPh sb="21" eb="23">
      <t>セツビ</t>
    </rPh>
    <rPh sb="23" eb="26">
      <t>イインカイ</t>
    </rPh>
    <rPh sb="27" eb="29">
      <t>セッケイ</t>
    </rPh>
    <rPh sb="32" eb="34">
      <t>ミナオ</t>
    </rPh>
    <rPh sb="35" eb="36">
      <t>ショウ</t>
    </rPh>
    <rPh sb="36" eb="39">
      <t>イインカイ</t>
    </rPh>
    <phoneticPr fontId="3"/>
  </si>
  <si>
    <t>出典）</t>
    <rPh sb="0" eb="2">
      <t>シュッテン</t>
    </rPh>
    <phoneticPr fontId="3"/>
  </si>
  <si>
    <t>L/㎡・年）</t>
    <rPh sb="4" eb="5">
      <t>ネン</t>
    </rPh>
    <phoneticPr fontId="3"/>
  </si>
  <si>
    <t>(</t>
    <phoneticPr fontId="3"/>
  </si>
  <si>
    <t>L/年</t>
    <rPh sb="2" eb="3">
      <t>ネン</t>
    </rPh>
    <phoneticPr fontId="3"/>
  </si>
  <si>
    <t>合計</t>
    <rPh sb="0" eb="2">
      <t>ゴウケイ</t>
    </rPh>
    <phoneticPr fontId="3"/>
  </si>
  <si>
    <t>⑥：②-⑤</t>
    <phoneticPr fontId="3"/>
  </si>
  <si>
    <t>雑用水（上水補給分）</t>
    <rPh sb="0" eb="3">
      <t>ザツヨウスイ</t>
    </rPh>
    <rPh sb="4" eb="6">
      <t>ジョウスイ</t>
    </rPh>
    <rPh sb="6" eb="8">
      <t>ホキュウ</t>
    </rPh>
    <rPh sb="8" eb="9">
      <t>ブン</t>
    </rPh>
    <phoneticPr fontId="3"/>
  </si>
  <si>
    <t>上水</t>
    <rPh sb="0" eb="2">
      <t>ジョウスイ</t>
    </rPh>
    <phoneticPr fontId="3"/>
  </si>
  <si>
    <t>⑤：④&lt;②が条件</t>
    <rPh sb="6" eb="8">
      <t>ジョウケン</t>
    </rPh>
    <phoneticPr fontId="3"/>
  </si>
  <si>
    <t>上限チェック</t>
    <rPh sb="0" eb="2">
      <t>ジョウゲン</t>
    </rPh>
    <phoneticPr fontId="3"/>
  </si>
  <si>
    <t>(水使用量の合計値に対する割合）</t>
    <rPh sb="1" eb="2">
      <t>ミズ</t>
    </rPh>
    <rPh sb="2" eb="5">
      <t>シヨウリョウ</t>
    </rPh>
    <rPh sb="6" eb="8">
      <t>ゴウケイ</t>
    </rPh>
    <rPh sb="8" eb="9">
      <t>チ</t>
    </rPh>
    <rPh sb="10" eb="11">
      <t>タイ</t>
    </rPh>
    <rPh sb="13" eb="15">
      <t>ワリアイ</t>
    </rPh>
    <phoneticPr fontId="3"/>
  </si>
  <si>
    <t>④=③×%</t>
    <phoneticPr fontId="3"/>
  </si>
  <si>
    <t>再利用量</t>
    <rPh sb="0" eb="3">
      <t>サイリヨウ</t>
    </rPh>
    <rPh sb="3" eb="4">
      <t>リョウ</t>
    </rPh>
    <phoneticPr fontId="3"/>
  </si>
  <si>
    <t>％</t>
    <phoneticPr fontId="3"/>
  </si>
  <si>
    <t>雨水・排水再利用による上水代替率もしくは再利用率</t>
    <rPh sb="13" eb="15">
      <t>ダイタイ</t>
    </rPh>
    <rPh sb="15" eb="16">
      <t>リツ</t>
    </rPh>
    <rPh sb="20" eb="23">
      <t>サイリヨウ</t>
    </rPh>
    <rPh sb="23" eb="24">
      <t>リツ</t>
    </rPh>
    <phoneticPr fontId="3"/>
  </si>
  <si>
    <t>雨水・排水再利用による上水使用量削減</t>
    <rPh sb="13" eb="15">
      <t>シヨウ</t>
    </rPh>
    <phoneticPr fontId="3"/>
  </si>
  <si>
    <t>6)</t>
    <phoneticPr fontId="3"/>
  </si>
  <si>
    <t>L/人・日</t>
    <rPh sb="2" eb="3">
      <t>ヒト</t>
    </rPh>
    <rPh sb="4" eb="5">
      <t>ヒ</t>
    </rPh>
    <phoneticPr fontId="3"/>
  </si>
  <si>
    <t>③=①+②</t>
    <phoneticPr fontId="3"/>
  </si>
  <si>
    <t>5)水使用量集計</t>
    <rPh sb="2" eb="3">
      <t>ミズ</t>
    </rPh>
    <rPh sb="3" eb="5">
      <t>シヨウ</t>
    </rPh>
    <rPh sb="5" eb="6">
      <t>リョウ</t>
    </rPh>
    <rPh sb="6" eb="8">
      <t>シュウケイ</t>
    </rPh>
    <phoneticPr fontId="3"/>
  </si>
  <si>
    <t>日/年＝</t>
    <rPh sb="0" eb="1">
      <t>ヒ</t>
    </rPh>
    <rPh sb="2" eb="3">
      <t>ネン</t>
    </rPh>
    <phoneticPr fontId="3"/>
  </si>
  <si>
    <t>L/日</t>
    <rPh sb="2" eb="3">
      <t>ヒ</t>
    </rPh>
    <phoneticPr fontId="3"/>
  </si>
  <si>
    <t>食＝</t>
    <rPh sb="0" eb="1">
      <t>ショク</t>
    </rPh>
    <phoneticPr fontId="3"/>
  </si>
  <si>
    <t>L/食・日×</t>
    <rPh sb="2" eb="3">
      <t>ショク</t>
    </rPh>
    <rPh sb="4" eb="5">
      <t>ヒ</t>
    </rPh>
    <phoneticPr fontId="3"/>
  </si>
  <si>
    <t>稼動日数</t>
    <rPh sb="0" eb="2">
      <t>カドウ</t>
    </rPh>
    <rPh sb="2" eb="4">
      <t>ニッスウ</t>
    </rPh>
    <phoneticPr fontId="3"/>
  </si>
  <si>
    <t>食数</t>
    <rPh sb="0" eb="1">
      <t>ショク</t>
    </rPh>
    <rPh sb="1" eb="2">
      <t>スウ</t>
    </rPh>
    <phoneticPr fontId="3"/>
  </si>
  <si>
    <t>1食あたりの水量*3)</t>
    <rPh sb="1" eb="2">
      <t>ショク</t>
    </rPh>
    <rPh sb="6" eb="8">
      <t>スイリョウ</t>
    </rPh>
    <phoneticPr fontId="3"/>
  </si>
  <si>
    <t>③食堂</t>
    <rPh sb="1" eb="3">
      <t>ショクドウ</t>
    </rPh>
    <phoneticPr fontId="3"/>
  </si>
  <si>
    <t>小計</t>
    <rPh sb="0" eb="1">
      <t>ショウ</t>
    </rPh>
    <rPh sb="1" eb="2">
      <t>ケイ</t>
    </rPh>
    <phoneticPr fontId="3"/>
  </si>
  <si>
    <t>L/日×</t>
    <rPh sb="2" eb="3">
      <t>ヒ</t>
    </rPh>
    <phoneticPr fontId="3"/>
  </si>
  <si>
    <t>小計</t>
    <rPh sb="0" eb="2">
      <t>ショウケイ</t>
    </rPh>
    <phoneticPr fontId="3"/>
  </si>
  <si>
    <t>回/日＝</t>
    <rPh sb="0" eb="1">
      <t>カイ</t>
    </rPh>
    <rPh sb="2" eb="3">
      <t>ヒ</t>
    </rPh>
    <phoneticPr fontId="3"/>
  </si>
  <si>
    <t>L/回×</t>
    <rPh sb="2" eb="3">
      <t>カイ</t>
    </rPh>
    <phoneticPr fontId="3"/>
  </si>
  <si>
    <t>個×</t>
    <rPh sb="0" eb="1">
      <t>コ</t>
    </rPh>
    <phoneticPr fontId="3"/>
  </si>
  <si>
    <t>洗面器</t>
    <rPh sb="0" eb="3">
      <t>センメンキ</t>
    </rPh>
    <phoneticPr fontId="3"/>
  </si>
  <si>
    <t>雑用水</t>
    <rPh sb="0" eb="3">
      <t>ザツヨウスイ</t>
    </rPh>
    <phoneticPr fontId="3"/>
  </si>
  <si>
    <t>小便器</t>
    <rPh sb="0" eb="3">
      <t>ショウベンキ</t>
    </rPh>
    <phoneticPr fontId="3"/>
  </si>
  <si>
    <t>大便器</t>
    <rPh sb="0" eb="3">
      <t>ダイベンキ</t>
    </rPh>
    <phoneticPr fontId="3"/>
  </si>
  <si>
    <t>洗浄時の回数</t>
    <rPh sb="0" eb="2">
      <t>センジョウ</t>
    </rPh>
    <rPh sb="2" eb="3">
      <t>ジ</t>
    </rPh>
    <rPh sb="4" eb="6">
      <t>カイスウ</t>
    </rPh>
    <phoneticPr fontId="3"/>
  </si>
  <si>
    <t>衛生器具吐水量</t>
    <rPh sb="0" eb="2">
      <t>エイセイ</t>
    </rPh>
    <rPh sb="2" eb="4">
      <t>キグ</t>
    </rPh>
    <rPh sb="4" eb="5">
      <t>ハ</t>
    </rPh>
    <rPh sb="5" eb="7">
      <t>スイリョウ</t>
    </rPh>
    <phoneticPr fontId="3"/>
  </si>
  <si>
    <t>器具数</t>
    <rPh sb="0" eb="2">
      <t>キグ</t>
    </rPh>
    <rPh sb="2" eb="3">
      <t>スウ</t>
    </rPh>
    <phoneticPr fontId="3"/>
  </si>
  <si>
    <t>個</t>
    <rPh sb="0" eb="1">
      <t>コ</t>
    </rPh>
    <phoneticPr fontId="3"/>
  </si>
  <si>
    <t>個/㎡＝</t>
    <rPh sb="0" eb="1">
      <t>コ</t>
    </rPh>
    <phoneticPr fontId="3"/>
  </si>
  <si>
    <t>㎡×</t>
    <phoneticPr fontId="3"/>
  </si>
  <si>
    <t>衛生器具数原単位*2)</t>
    <rPh sb="0" eb="2">
      <t>エイセイ</t>
    </rPh>
    <rPh sb="2" eb="4">
      <t>キグ</t>
    </rPh>
    <rPh sb="4" eb="5">
      <t>スウ</t>
    </rPh>
    <rPh sb="5" eb="8">
      <t>ゲンタンイ</t>
    </rPh>
    <phoneticPr fontId="3"/>
  </si>
  <si>
    <t>②器具清掃用</t>
    <rPh sb="1" eb="3">
      <t>キグ</t>
    </rPh>
    <rPh sb="3" eb="5">
      <t>セイソウ</t>
    </rPh>
    <rPh sb="5" eb="6">
      <t>ヨウ</t>
    </rPh>
    <phoneticPr fontId="3"/>
  </si>
  <si>
    <t>(</t>
    <phoneticPr fontId="3"/>
  </si>
  <si>
    <t>L/人・日）</t>
    <rPh sb="2" eb="3">
      <t>ニン</t>
    </rPh>
    <rPh sb="4" eb="5">
      <t>ヒ</t>
    </rPh>
    <phoneticPr fontId="3"/>
  </si>
  <si>
    <t>※洗面の使用回数は男子は大+小、女子は大と同じ</t>
    <rPh sb="1" eb="3">
      <t>センメン</t>
    </rPh>
    <rPh sb="4" eb="6">
      <t>シヨウ</t>
    </rPh>
    <rPh sb="6" eb="8">
      <t>カイスウ</t>
    </rPh>
    <rPh sb="9" eb="11">
      <t>ダンシ</t>
    </rPh>
    <rPh sb="12" eb="13">
      <t>ダイ</t>
    </rPh>
    <rPh sb="14" eb="15">
      <t>ショウ</t>
    </rPh>
    <rPh sb="16" eb="18">
      <t>ジョシ</t>
    </rPh>
    <rPh sb="19" eb="20">
      <t>ダイ</t>
    </rPh>
    <rPh sb="21" eb="22">
      <t>オナ</t>
    </rPh>
    <phoneticPr fontId="3"/>
  </si>
  <si>
    <t>L/日（飲用・茶器洗いなど）</t>
    <rPh sb="2" eb="3">
      <t>ヒ</t>
    </rPh>
    <rPh sb="4" eb="6">
      <t>インヨウ</t>
    </rPh>
    <rPh sb="7" eb="9">
      <t>チャキ</t>
    </rPh>
    <rPh sb="9" eb="10">
      <t>アラ</t>
    </rPh>
    <phoneticPr fontId="3"/>
  </si>
  <si>
    <t>人＝</t>
    <rPh sb="0" eb="1">
      <t>ヒト</t>
    </rPh>
    <phoneticPr fontId="3"/>
  </si>
  <si>
    <t>回/日×</t>
    <rPh sb="0" eb="1">
      <t>カイ</t>
    </rPh>
    <rPh sb="2" eb="3">
      <t>ヒ</t>
    </rPh>
    <phoneticPr fontId="3"/>
  </si>
  <si>
    <t>湯沸し*4)</t>
    <rPh sb="0" eb="2">
      <t>ユワカシ</t>
    </rPh>
    <phoneticPr fontId="3"/>
  </si>
  <si>
    <t>女子洗面器</t>
    <rPh sb="0" eb="2">
      <t>ジョシ</t>
    </rPh>
    <rPh sb="2" eb="5">
      <t>センメンキ</t>
    </rPh>
    <phoneticPr fontId="3"/>
  </si>
  <si>
    <t>女子大便器</t>
    <rPh sb="0" eb="2">
      <t>ジョシ</t>
    </rPh>
    <rPh sb="2" eb="5">
      <t>ダイベンキ</t>
    </rPh>
    <phoneticPr fontId="3"/>
  </si>
  <si>
    <t>男子洗面器</t>
    <rPh sb="0" eb="2">
      <t>ダンシ</t>
    </rPh>
    <rPh sb="2" eb="5">
      <t>センメンキ</t>
    </rPh>
    <phoneticPr fontId="3"/>
  </si>
  <si>
    <t>男子小便器</t>
    <rPh sb="0" eb="2">
      <t>ダンシ</t>
    </rPh>
    <rPh sb="2" eb="5">
      <t>ショウベンキ</t>
    </rPh>
    <phoneticPr fontId="3"/>
  </si>
  <si>
    <t>男子大便器</t>
    <rPh sb="0" eb="2">
      <t>ダンシ</t>
    </rPh>
    <rPh sb="2" eb="5">
      <t>ダイベンキ</t>
    </rPh>
    <phoneticPr fontId="3"/>
  </si>
  <si>
    <t>使用人員</t>
    <rPh sb="0" eb="2">
      <t>シヨウ</t>
    </rPh>
    <rPh sb="2" eb="4">
      <t>ジンイン</t>
    </rPh>
    <phoneticPr fontId="3"/>
  </si>
  <si>
    <t>器具使用回数*1)</t>
    <rPh sb="0" eb="2">
      <t>キグ</t>
    </rPh>
    <rPh sb="2" eb="4">
      <t>シヨウ</t>
    </rPh>
    <rPh sb="4" eb="6">
      <t>カイスウ</t>
    </rPh>
    <phoneticPr fontId="3"/>
  </si>
  <si>
    <t>①便所・洗面・湯沸かし</t>
    <rPh sb="1" eb="3">
      <t>ベンジョ</t>
    </rPh>
    <rPh sb="4" eb="6">
      <t>センメン</t>
    </rPh>
    <rPh sb="7" eb="9">
      <t>ユワ</t>
    </rPh>
    <phoneticPr fontId="3"/>
  </si>
  <si>
    <t>水使用量の算定</t>
    <rPh sb="0" eb="1">
      <t>ミズ</t>
    </rPh>
    <rPh sb="1" eb="3">
      <t>シヨウ</t>
    </rPh>
    <rPh sb="3" eb="4">
      <t>リョウ</t>
    </rPh>
    <rPh sb="5" eb="7">
      <t>サンテイ</t>
    </rPh>
    <phoneticPr fontId="3"/>
  </si>
  <si>
    <t>4)</t>
    <phoneticPr fontId="3"/>
  </si>
  <si>
    <t>人</t>
    <rPh sb="0" eb="1">
      <t>ヒト</t>
    </rPh>
    <phoneticPr fontId="3"/>
  </si>
  <si>
    <t>女子</t>
    <rPh sb="0" eb="2">
      <t>ジョシ</t>
    </rPh>
    <phoneticPr fontId="3"/>
  </si>
  <si>
    <t>男子</t>
    <rPh sb="0" eb="2">
      <t>ダンシ</t>
    </rPh>
    <phoneticPr fontId="3"/>
  </si>
  <si>
    <t>％</t>
    <phoneticPr fontId="3"/>
  </si>
  <si>
    <t>男女比</t>
    <rPh sb="0" eb="2">
      <t>ダンジョ</t>
    </rPh>
    <rPh sb="2" eb="3">
      <t>ヒ</t>
    </rPh>
    <phoneticPr fontId="3"/>
  </si>
  <si>
    <t>3)</t>
    <phoneticPr fontId="3"/>
  </si>
  <si>
    <t>㎡</t>
    <phoneticPr fontId="3"/>
  </si>
  <si>
    <t>2)</t>
    <phoneticPr fontId="3"/>
  </si>
  <si>
    <t>収容人員</t>
    <rPh sb="0" eb="2">
      <t>シュウヨウ</t>
    </rPh>
    <rPh sb="2" eb="4">
      <t>ジンイン</t>
    </rPh>
    <phoneticPr fontId="3"/>
  </si>
  <si>
    <t>1)</t>
    <phoneticPr fontId="3"/>
  </si>
  <si>
    <t>：計算値</t>
    <rPh sb="1" eb="4">
      <t>ケイサンチ</t>
    </rPh>
    <phoneticPr fontId="3"/>
  </si>
  <si>
    <t>デフォルトで入力されている数値はサンプルです。入力の際には一度全て消去してから使用してください。</t>
    <rPh sb="6" eb="8">
      <t>ニュウリョク</t>
    </rPh>
    <rPh sb="13" eb="15">
      <t>スウチ</t>
    </rPh>
    <rPh sb="23" eb="25">
      <t>ニュウリョク</t>
    </rPh>
    <rPh sb="26" eb="27">
      <t>サイ</t>
    </rPh>
    <rPh sb="29" eb="31">
      <t>イチド</t>
    </rPh>
    <rPh sb="31" eb="32">
      <t>スベ</t>
    </rPh>
    <rPh sb="33" eb="35">
      <t>ショウキョ</t>
    </rPh>
    <rPh sb="39" eb="41">
      <t>シヨウ</t>
    </rPh>
    <phoneticPr fontId="3"/>
  </si>
  <si>
    <t>：文献等による規定値</t>
    <rPh sb="1" eb="3">
      <t>ブンケン</t>
    </rPh>
    <rPh sb="3" eb="4">
      <t>トウ</t>
    </rPh>
    <rPh sb="7" eb="10">
      <t>キテイチ</t>
    </rPh>
    <phoneticPr fontId="3"/>
  </si>
  <si>
    <t>使用する場合は、赤枠の欄に数値を入力してください。</t>
    <rPh sb="0" eb="2">
      <t>シヨウ</t>
    </rPh>
    <rPh sb="4" eb="6">
      <t>バアイ</t>
    </rPh>
    <rPh sb="8" eb="9">
      <t>アカ</t>
    </rPh>
    <rPh sb="9" eb="10">
      <t>ワク</t>
    </rPh>
    <rPh sb="11" eb="12">
      <t>ラン</t>
    </rPh>
    <rPh sb="13" eb="15">
      <t>スウチ</t>
    </rPh>
    <rPh sb="16" eb="18">
      <t>ニュウリョク</t>
    </rPh>
    <phoneticPr fontId="3"/>
  </si>
  <si>
    <t>：入力項目</t>
    <rPh sb="1" eb="3">
      <t>ニュウリョク</t>
    </rPh>
    <rPh sb="3" eb="5">
      <t>コウモク</t>
    </rPh>
    <phoneticPr fontId="3"/>
  </si>
  <si>
    <t>（ご注意）</t>
    <rPh sb="2" eb="4">
      <t>チュウイ</t>
    </rPh>
    <phoneticPr fontId="3"/>
  </si>
  <si>
    <t>※空調用冷却塔補給水、植栽散水は計算から除外する</t>
    <rPh sb="1" eb="4">
      <t>クウチョウヨウ</t>
    </rPh>
    <rPh sb="4" eb="7">
      <t>レイキャクトウ</t>
    </rPh>
    <rPh sb="7" eb="9">
      <t>ホキュウ</t>
    </rPh>
    <rPh sb="9" eb="10">
      <t>スイ</t>
    </rPh>
    <rPh sb="11" eb="13">
      <t>ショクサイ</t>
    </rPh>
    <rPh sb="13" eb="15">
      <t>サンスイ</t>
    </rPh>
    <rPh sb="16" eb="18">
      <t>ケイサン</t>
    </rPh>
    <rPh sb="20" eb="22">
      <t>ジョガイ</t>
    </rPh>
    <phoneticPr fontId="3"/>
  </si>
  <si>
    <t>事務所ビルの水使用量算定</t>
    <rPh sb="0" eb="2">
      <t>ジム</t>
    </rPh>
    <rPh sb="2" eb="3">
      <t>ショ</t>
    </rPh>
    <rPh sb="6" eb="7">
      <t>ミズ</t>
    </rPh>
    <rPh sb="7" eb="9">
      <t>シヨウ</t>
    </rPh>
    <rPh sb="9" eb="10">
      <t>リョウ</t>
    </rPh>
    <rPh sb="10" eb="12">
      <t>サンテイ</t>
    </rPh>
    <phoneticPr fontId="3"/>
  </si>
  <si>
    <t>店舗の水使用量算定</t>
    <rPh sb="0" eb="2">
      <t>テンポ</t>
    </rPh>
    <rPh sb="3" eb="4">
      <t>ミズ</t>
    </rPh>
    <rPh sb="4" eb="6">
      <t>シヨウ</t>
    </rPh>
    <rPh sb="6" eb="7">
      <t>リョウ</t>
    </rPh>
    <rPh sb="7" eb="9">
      <t>サンテイ</t>
    </rPh>
    <phoneticPr fontId="3"/>
  </si>
  <si>
    <t>1)</t>
    <phoneticPr fontId="3"/>
  </si>
  <si>
    <t>常勤者</t>
    <rPh sb="0" eb="3">
      <t>ジョウキンシャ</t>
    </rPh>
    <phoneticPr fontId="3"/>
  </si>
  <si>
    <t>来場者</t>
    <rPh sb="0" eb="3">
      <t>ライジョウシャ</t>
    </rPh>
    <phoneticPr fontId="3"/>
  </si>
  <si>
    <t>2)</t>
    <phoneticPr fontId="3"/>
  </si>
  <si>
    <t>㎡</t>
    <phoneticPr fontId="3"/>
  </si>
  <si>
    <t>3)</t>
    <phoneticPr fontId="3"/>
  </si>
  <si>
    <t>営業日数</t>
    <rPh sb="0" eb="2">
      <t>エイギョウ</t>
    </rPh>
    <rPh sb="2" eb="4">
      <t>ニッスウ</t>
    </rPh>
    <phoneticPr fontId="3"/>
  </si>
  <si>
    <t>日</t>
    <rPh sb="0" eb="1">
      <t>ヒ</t>
    </rPh>
    <phoneticPr fontId="3"/>
  </si>
  <si>
    <t>4)</t>
    <phoneticPr fontId="3"/>
  </si>
  <si>
    <t>％</t>
    <phoneticPr fontId="3"/>
  </si>
  <si>
    <t>(常勤者）</t>
    <rPh sb="1" eb="4">
      <t>ジョウキンシャ</t>
    </rPh>
    <phoneticPr fontId="3"/>
  </si>
  <si>
    <t>％</t>
    <phoneticPr fontId="3"/>
  </si>
  <si>
    <t>(来場者）</t>
    <rPh sb="1" eb="4">
      <t>ライジョウシャ</t>
    </rPh>
    <phoneticPr fontId="3"/>
  </si>
  <si>
    <t>5)</t>
    <phoneticPr fontId="3"/>
  </si>
  <si>
    <t>①常勤者による便所・洗面・湯沸かし</t>
    <rPh sb="1" eb="4">
      <t>ジョウキンシャ</t>
    </rPh>
    <rPh sb="7" eb="9">
      <t>ベンジョ</t>
    </rPh>
    <rPh sb="10" eb="12">
      <t>センメン</t>
    </rPh>
    <rPh sb="13" eb="15">
      <t>ユワ</t>
    </rPh>
    <phoneticPr fontId="3"/>
  </si>
  <si>
    <t>滞在時間</t>
    <rPh sb="0" eb="2">
      <t>タイザイ</t>
    </rPh>
    <rPh sb="2" eb="4">
      <t>ジカン</t>
    </rPh>
    <phoneticPr fontId="3"/>
  </si>
  <si>
    <t>回/h×</t>
    <rPh sb="0" eb="1">
      <t>カイ</t>
    </rPh>
    <phoneticPr fontId="3"/>
  </si>
  <si>
    <t>h×</t>
    <phoneticPr fontId="3"/>
  </si>
  <si>
    <t>h×</t>
    <phoneticPr fontId="3"/>
  </si>
  <si>
    <t>h×</t>
    <phoneticPr fontId="3"/>
  </si>
  <si>
    <t>①</t>
    <phoneticPr fontId="3"/>
  </si>
  <si>
    <t>(</t>
    <phoneticPr fontId="3"/>
  </si>
  <si>
    <t>②来場者による便所・洗面</t>
    <rPh sb="1" eb="4">
      <t>ライジョウシャ</t>
    </rPh>
    <rPh sb="7" eb="9">
      <t>ベンジョ</t>
    </rPh>
    <rPh sb="10" eb="12">
      <t>センメン</t>
    </rPh>
    <phoneticPr fontId="3"/>
  </si>
  <si>
    <t>②</t>
    <phoneticPr fontId="3"/>
  </si>
  <si>
    <t>③器具清掃用</t>
    <rPh sb="1" eb="3">
      <t>キグ</t>
    </rPh>
    <rPh sb="3" eb="5">
      <t>セイソウ</t>
    </rPh>
    <rPh sb="5" eb="6">
      <t>ヨウ</t>
    </rPh>
    <phoneticPr fontId="3"/>
  </si>
  <si>
    <t>㎡×</t>
    <phoneticPr fontId="3"/>
  </si>
  <si>
    <t>①+②+③</t>
    <phoneticPr fontId="3"/>
  </si>
  <si>
    <t>③</t>
    <phoneticPr fontId="3"/>
  </si>
  <si>
    <t>④飲食店舗</t>
    <rPh sb="1" eb="3">
      <t>インショク</t>
    </rPh>
    <rPh sb="3" eb="5">
      <t>テンポ</t>
    </rPh>
    <phoneticPr fontId="3"/>
  </si>
  <si>
    <t>客1人あたりの水量*3)</t>
    <rPh sb="0" eb="1">
      <t>キャク</t>
    </rPh>
    <rPh sb="2" eb="3">
      <t>ヒト</t>
    </rPh>
    <rPh sb="7" eb="9">
      <t>スイリョウ</t>
    </rPh>
    <phoneticPr fontId="3"/>
  </si>
  <si>
    <t>客数※</t>
    <rPh sb="0" eb="2">
      <t>キャクスウ</t>
    </rPh>
    <phoneticPr fontId="3"/>
  </si>
  <si>
    <t>喫茶・軽食</t>
    <rPh sb="0" eb="2">
      <t>キッサ</t>
    </rPh>
    <rPh sb="3" eb="5">
      <t>ケイショク</t>
    </rPh>
    <phoneticPr fontId="3"/>
  </si>
  <si>
    <t>L/人・日×</t>
    <rPh sb="2" eb="3">
      <t>ヒト</t>
    </rPh>
    <rPh sb="4" eb="5">
      <t>ヒ</t>
    </rPh>
    <phoneticPr fontId="3"/>
  </si>
  <si>
    <t>中華・麺類・焼肉</t>
    <rPh sb="0" eb="2">
      <t>チュウカ</t>
    </rPh>
    <rPh sb="3" eb="5">
      <t>メンルイ</t>
    </rPh>
    <rPh sb="6" eb="8">
      <t>ヤキニク</t>
    </rPh>
    <phoneticPr fontId="3"/>
  </si>
  <si>
    <t>和食</t>
    <rPh sb="0" eb="2">
      <t>ワショク</t>
    </rPh>
    <phoneticPr fontId="3"/>
  </si>
  <si>
    <t>洋食</t>
    <rPh sb="0" eb="2">
      <t>ヨウショク</t>
    </rPh>
    <phoneticPr fontId="3"/>
  </si>
  <si>
    <t>④</t>
    <phoneticPr fontId="3"/>
  </si>
  <si>
    <t>L/客数・日</t>
    <rPh sb="2" eb="4">
      <t>キャクスウ</t>
    </rPh>
    <rPh sb="5" eb="6">
      <t>ヒ</t>
    </rPh>
    <phoneticPr fontId="3"/>
  </si>
  <si>
    <t>※客数が不明な場合には、客席数×回転数の計画値を入力しても良い。</t>
    <rPh sb="1" eb="3">
      <t>キャクスウ</t>
    </rPh>
    <rPh sb="4" eb="6">
      <t>フメイ</t>
    </rPh>
    <rPh sb="7" eb="9">
      <t>バアイ</t>
    </rPh>
    <rPh sb="12" eb="15">
      <t>キャクセキスウ</t>
    </rPh>
    <rPh sb="16" eb="18">
      <t>カイテン</t>
    </rPh>
    <rPh sb="18" eb="19">
      <t>スウ</t>
    </rPh>
    <rPh sb="20" eb="22">
      <t>ケイカク</t>
    </rPh>
    <rPh sb="22" eb="23">
      <t>アタイ</t>
    </rPh>
    <rPh sb="24" eb="26">
      <t>ニュウリョク</t>
    </rPh>
    <rPh sb="29" eb="30">
      <t>ヨ</t>
    </rPh>
    <phoneticPr fontId="3"/>
  </si>
  <si>
    <t>6)水使用量集計</t>
    <rPh sb="2" eb="3">
      <t>ミズ</t>
    </rPh>
    <rPh sb="3" eb="5">
      <t>シヨウ</t>
    </rPh>
    <rPh sb="5" eb="6">
      <t>リョウ</t>
    </rPh>
    <rPh sb="6" eb="8">
      <t>シュウケイ</t>
    </rPh>
    <phoneticPr fontId="3"/>
  </si>
  <si>
    <t>①</t>
    <phoneticPr fontId="3"/>
  </si>
  <si>
    <t>②</t>
    <phoneticPr fontId="3"/>
  </si>
  <si>
    <t>検算</t>
    <rPh sb="0" eb="2">
      <t>ケンザン</t>
    </rPh>
    <phoneticPr fontId="3"/>
  </si>
  <si>
    <t>合計(全体)</t>
    <rPh sb="0" eb="2">
      <t>ゴウケイ</t>
    </rPh>
    <rPh sb="3" eb="5">
      <t>ゼンタイ</t>
    </rPh>
    <phoneticPr fontId="3"/>
  </si>
  <si>
    <t>③=①+②</t>
    <phoneticPr fontId="3"/>
  </si>
  <si>
    <t>①+②+③+④</t>
    <phoneticPr fontId="3"/>
  </si>
  <si>
    <t>7)</t>
    <phoneticPr fontId="3"/>
  </si>
  <si>
    <t>④=③×%</t>
    <phoneticPr fontId="3"/>
  </si>
  <si>
    <t>⑥：②-⑤</t>
    <phoneticPr fontId="3"/>
  </si>
  <si>
    <t>合計(上水)￥</t>
    <rPh sb="0" eb="2">
      <t>ゴウケイ</t>
    </rPh>
    <rPh sb="3" eb="5">
      <t>ジョウスイ</t>
    </rPh>
    <phoneticPr fontId="3"/>
  </si>
  <si>
    <t>「水使用行為を基にした使用水量計算法（新しい設計給水量原単位の提案）」シンポジウム資料　P48、表3.3.2　「職場」（回/h）</t>
    <rPh sb="41" eb="43">
      <t>シリョウ</t>
    </rPh>
    <rPh sb="48" eb="49">
      <t>ヒョウ</t>
    </rPh>
    <rPh sb="56" eb="58">
      <t>ショクバ</t>
    </rPh>
    <rPh sb="60" eb="61">
      <t>カイ</t>
    </rPh>
    <phoneticPr fontId="3"/>
  </si>
  <si>
    <t>2)同上　P60 表3.4.26　「百貨店」の値を参照</t>
    <rPh sb="2" eb="4">
      <t>ドウジョウ</t>
    </rPh>
    <rPh sb="9" eb="10">
      <t>ヒョウ</t>
    </rPh>
    <rPh sb="18" eb="21">
      <t>ヒャッカテン</t>
    </rPh>
    <rPh sb="23" eb="24">
      <t>アタイ</t>
    </rPh>
    <rPh sb="25" eb="27">
      <t>サンショウ</t>
    </rPh>
    <phoneticPr fontId="3"/>
  </si>
  <si>
    <t>3)同上　P25 表2.2.9-9～14　各飲食用途の平均値を採用　</t>
    <rPh sb="2" eb="4">
      <t>ドウジョウ</t>
    </rPh>
    <rPh sb="21" eb="22">
      <t>カク</t>
    </rPh>
    <rPh sb="22" eb="24">
      <t>インショク</t>
    </rPh>
    <rPh sb="24" eb="26">
      <t>ヨウト</t>
    </rPh>
    <rPh sb="27" eb="29">
      <t>ヘイキン</t>
    </rPh>
    <rPh sb="29" eb="30">
      <t>チ</t>
    </rPh>
    <rPh sb="31" eb="33">
      <t>サイヨウ</t>
    </rPh>
    <phoneticPr fontId="3"/>
  </si>
  <si>
    <t>○○ビル</t>
  </si>
  <si>
    <t>○○○</t>
  </si>
  <si>
    <r>
      <t>○○県○○市</t>
    </r>
    <r>
      <rPr>
        <sz val="10"/>
        <rFont val="Arial"/>
        <family val="2"/>
      </rPr>
      <t>XXXXXX</t>
    </r>
  </si>
  <si>
    <t>事務所</t>
  </si>
  <si>
    <r>
      <t>地上○○</t>
    </r>
    <r>
      <rPr>
        <sz val="10"/>
        <rFont val="Arial"/>
        <family val="2"/>
      </rPr>
      <t>F</t>
    </r>
  </si>
  <si>
    <t>19XX/XX/XX</t>
    <phoneticPr fontId="3"/>
  </si>
  <si>
    <r>
      <t>RC</t>
    </r>
    <r>
      <rPr>
        <sz val="10"/>
        <rFont val="ＭＳ Ｐゴシック"/>
        <family val="3"/>
        <charset val="128"/>
      </rPr>
      <t>造</t>
    </r>
  </si>
  <si>
    <t>20XX/XX/XX</t>
    <phoneticPr fontId="3"/>
  </si>
  <si>
    <t>20XX/XX/XX</t>
    <phoneticPr fontId="3"/>
  </si>
  <si>
    <t>延床面積(駐車場除く)</t>
    <rPh sb="0" eb="2">
      <t>ノベユカ</t>
    </rPh>
    <rPh sb="2" eb="4">
      <t>メンセキ</t>
    </rPh>
    <rPh sb="5" eb="8">
      <t>チュウシャジョウ</t>
    </rPh>
    <rPh sb="8" eb="9">
      <t>ノゾ</t>
    </rPh>
    <phoneticPr fontId="3"/>
  </si>
  <si>
    <t>常勤者・来場者</t>
    <rPh sb="0" eb="3">
      <t>ジョウキンシャ</t>
    </rPh>
    <rPh sb="4" eb="7">
      <t>ライジョウシャ</t>
    </rPh>
    <phoneticPr fontId="3"/>
  </si>
  <si>
    <t>年間使用日数</t>
    <rPh sb="4" eb="6">
      <t>ニッスウ</t>
    </rPh>
    <phoneticPr fontId="3"/>
  </si>
  <si>
    <r>
      <t>日</t>
    </r>
    <r>
      <rPr>
        <sz val="10"/>
        <rFont val="Arial"/>
        <family val="2"/>
      </rPr>
      <t>/</t>
    </r>
    <r>
      <rPr>
        <sz val="10"/>
        <rFont val="ＭＳ Ｐゴシック"/>
        <family val="3"/>
        <charset val="128"/>
      </rPr>
      <t>年</t>
    </r>
    <rPh sb="0" eb="1">
      <t>ニチ</t>
    </rPh>
    <phoneticPr fontId="3"/>
  </si>
  <si>
    <t>XXX, XXX</t>
    <phoneticPr fontId="3"/>
  </si>
  <si>
    <t>眺望・視環境</t>
    <rPh sb="3" eb="4">
      <t>シ</t>
    </rPh>
    <rPh sb="4" eb="6">
      <t>カンキョウ</t>
    </rPh>
    <phoneticPr fontId="3"/>
  </si>
  <si>
    <t>昼光利用</t>
    <phoneticPr fontId="3"/>
  </si>
  <si>
    <t>面積加重</t>
    <rPh sb="0" eb="2">
      <t>メンセキ</t>
    </rPh>
    <rPh sb="2" eb="4">
      <t>カジュウ</t>
    </rPh>
    <phoneticPr fontId="3"/>
  </si>
  <si>
    <t>構成比</t>
    <rPh sb="0" eb="3">
      <t>コウセイヒ</t>
    </rPh>
    <phoneticPr fontId="3"/>
  </si>
  <si>
    <t>緑色のセル</t>
    <rPh sb="0" eb="1">
      <t>ミドリ</t>
    </rPh>
    <rPh sb="1" eb="2">
      <t>イロ</t>
    </rPh>
    <phoneticPr fontId="3"/>
  </si>
  <si>
    <t>水色のセル</t>
    <rPh sb="0" eb="2">
      <t>ミズイロ</t>
    </rPh>
    <phoneticPr fontId="3"/>
  </si>
  <si>
    <t>に入力します。</t>
    <rPh sb="1" eb="3">
      <t>ニュウリョク</t>
    </rPh>
    <phoneticPr fontId="3"/>
  </si>
  <si>
    <t>構成比（駐車場除く）</t>
    <rPh sb="0" eb="3">
      <t>コウセイヒ</t>
    </rPh>
    <rPh sb="4" eb="7">
      <t>チュウシャジョウ</t>
    </rPh>
    <rPh sb="7" eb="8">
      <t>ノゾ</t>
    </rPh>
    <phoneticPr fontId="3"/>
  </si>
  <si>
    <t>←用途別の床面積を入力</t>
    <rPh sb="1" eb="4">
      <t>ヨウトベツ</t>
    </rPh>
    <rPh sb="5" eb="8">
      <t>ユカメンセキ</t>
    </rPh>
    <rPh sb="9" eb="11">
      <t>ニュウリョク</t>
    </rPh>
    <phoneticPr fontId="3"/>
  </si>
  <si>
    <t>←用途別に評価結果（1～5点）を入力</t>
    <rPh sb="1" eb="3">
      <t>ヨウト</t>
    </rPh>
    <rPh sb="3" eb="4">
      <t>ベツ</t>
    </rPh>
    <rPh sb="5" eb="7">
      <t>ヒョウカ</t>
    </rPh>
    <rPh sb="7" eb="9">
      <t>ケッカ</t>
    </rPh>
    <rPh sb="13" eb="14">
      <t>テン</t>
    </rPh>
    <rPh sb="16" eb="18">
      <t>ニュウリョク</t>
    </rPh>
    <phoneticPr fontId="3"/>
  </si>
  <si>
    <t>←用途別に一次エネルギー消費量の実績値（MJ/㎡年）を入力</t>
    <rPh sb="1" eb="4">
      <t>ヨウトベツ</t>
    </rPh>
    <rPh sb="5" eb="7">
      <t>イチジ</t>
    </rPh>
    <rPh sb="12" eb="15">
      <t>ショウヒリョウ</t>
    </rPh>
    <rPh sb="16" eb="19">
      <t>ジッセキチ</t>
    </rPh>
    <rPh sb="24" eb="25">
      <t>ネン</t>
    </rPh>
    <rPh sb="27" eb="29">
      <t>ニュウリョク</t>
    </rPh>
    <phoneticPr fontId="3"/>
  </si>
  <si>
    <t>に出力された数値を、「店舗評価結果」シートの評価点記入欄に転記します。</t>
    <rPh sb="1" eb="3">
      <t>シュツリョク</t>
    </rPh>
    <rPh sb="6" eb="8">
      <t>スウチ</t>
    </rPh>
    <rPh sb="11" eb="13">
      <t>テンポ</t>
    </rPh>
    <rPh sb="13" eb="15">
      <t>ヒョウカ</t>
    </rPh>
    <rPh sb="15" eb="17">
      <t>ケッカ</t>
    </rPh>
    <rPh sb="22" eb="24">
      <t>ヒョウカ</t>
    </rPh>
    <rPh sb="24" eb="25">
      <t>テン</t>
    </rPh>
    <rPh sb="25" eb="28">
      <t>キニュウラン</t>
    </rPh>
    <rPh sb="29" eb="31">
      <t>テンキ</t>
    </rPh>
    <phoneticPr fontId="3"/>
  </si>
  <si>
    <t>１．エネルギー／温暖化ガス</t>
    <phoneticPr fontId="3"/>
  </si>
  <si>
    <t>①エネルギーと水の実績値評価において、業態別の実績値がある場合</t>
    <rPh sb="7" eb="8">
      <t>ミズ</t>
    </rPh>
    <rPh sb="9" eb="12">
      <t>ジッセキチ</t>
    </rPh>
    <rPh sb="12" eb="14">
      <t>ヒョウカ</t>
    </rPh>
    <rPh sb="19" eb="22">
      <t>ギョウタイベツ</t>
    </rPh>
    <rPh sb="23" eb="26">
      <t>ジッセキチ</t>
    </rPh>
    <rPh sb="29" eb="31">
      <t>バアイ</t>
    </rPh>
    <phoneticPr fontId="3"/>
  </si>
  <si>
    <t>水使用量（実績値）</t>
    <rPh sb="0" eb="1">
      <t>ミズ</t>
    </rPh>
    <rPh sb="1" eb="4">
      <t>シヨウリョウ</t>
    </rPh>
    <rPh sb="5" eb="8">
      <t>ジッセキチ</t>
    </rPh>
    <phoneticPr fontId="3"/>
  </si>
  <si>
    <t>※以下の1.1（計算値）は、平成25年改正省エネ基準で算定されたBEIによりC/Sを求めた場合には、入力不要です。</t>
    <rPh sb="1" eb="3">
      <t>イカ</t>
    </rPh>
    <rPh sb="8" eb="11">
      <t>ケイサンチ</t>
    </rPh>
    <rPh sb="14" eb="16">
      <t>ヘイセイ</t>
    </rPh>
    <rPh sb="18" eb="19">
      <t>ネン</t>
    </rPh>
    <rPh sb="19" eb="21">
      <t>カイセイ</t>
    </rPh>
    <rPh sb="21" eb="22">
      <t>ショウ</t>
    </rPh>
    <rPh sb="24" eb="26">
      <t>キジュン</t>
    </rPh>
    <rPh sb="27" eb="29">
      <t>サンテイ</t>
    </rPh>
    <rPh sb="42" eb="43">
      <t>モト</t>
    </rPh>
    <rPh sb="45" eb="47">
      <t>バアイ</t>
    </rPh>
    <rPh sb="50" eb="52">
      <t>ニュウリョク</t>
    </rPh>
    <rPh sb="52" eb="54">
      <t>フヨウ</t>
    </rPh>
    <phoneticPr fontId="3"/>
  </si>
  <si>
    <t>←評価結果（3～5点）を入力（業態別の入力は不要）</t>
    <rPh sb="1" eb="3">
      <t>ヒョウカ</t>
    </rPh>
    <rPh sb="3" eb="5">
      <t>ケッカ</t>
    </rPh>
    <rPh sb="9" eb="10">
      <t>テン</t>
    </rPh>
    <rPh sb="12" eb="14">
      <t>ニュウリョク</t>
    </rPh>
    <rPh sb="15" eb="18">
      <t>ギョウタイベツ</t>
    </rPh>
    <rPh sb="19" eb="21">
      <t>ニュウリョク</t>
    </rPh>
    <rPh sb="22" eb="24">
      <t>フヨウ</t>
    </rPh>
    <phoneticPr fontId="3"/>
  </si>
  <si>
    <t>②エネルギーと水の実績値評価において、業態別の実績値がない（店舗全体でしか計量していない）場合</t>
    <rPh sb="7" eb="8">
      <t>ミズ</t>
    </rPh>
    <rPh sb="9" eb="12">
      <t>ジッセキチ</t>
    </rPh>
    <rPh sb="12" eb="14">
      <t>ヒョウカ</t>
    </rPh>
    <rPh sb="19" eb="22">
      <t>ギョウタイベツ</t>
    </rPh>
    <rPh sb="23" eb="26">
      <t>ジッセキチ</t>
    </rPh>
    <rPh sb="30" eb="32">
      <t>テンポ</t>
    </rPh>
    <rPh sb="32" eb="34">
      <t>ゼンタイ</t>
    </rPh>
    <rPh sb="37" eb="39">
      <t>ケイリョウ</t>
    </rPh>
    <rPh sb="45" eb="47">
      <t>バアイ</t>
    </rPh>
    <phoneticPr fontId="3"/>
  </si>
  <si>
    <t>←用途別に水消費量の実績値（L/㎡年）を入力</t>
    <rPh sb="1" eb="4">
      <t>ヨウトベツ</t>
    </rPh>
    <rPh sb="5" eb="6">
      <t>ミズ</t>
    </rPh>
    <rPh sb="6" eb="9">
      <t>ショウヒリョウ</t>
    </rPh>
    <rPh sb="10" eb="13">
      <t>ジッセキチ</t>
    </rPh>
    <rPh sb="17" eb="18">
      <t>ネン</t>
    </rPh>
    <rPh sb="20" eb="22">
      <t>ニュウリョク</t>
    </rPh>
    <phoneticPr fontId="3"/>
  </si>
  <si>
    <r>
      <t>[4.2</t>
    </r>
    <r>
      <rPr>
        <sz val="9"/>
        <rFont val="ＭＳ Ｐゴシック"/>
        <family val="3"/>
        <charset val="128"/>
      </rPr>
      <t>対象外の時は点数を倍</t>
    </r>
    <r>
      <rPr>
        <sz val="9"/>
        <rFont val="Arial"/>
        <family val="2"/>
      </rPr>
      <t>]</t>
    </r>
    <rPh sb="4" eb="6">
      <t>タイショウ</t>
    </rPh>
    <rPh sb="10" eb="12">
      <t>テンスウ</t>
    </rPh>
    <rPh sb="13" eb="14">
      <t>バイ</t>
    </rPh>
    <phoneticPr fontId="3"/>
  </si>
  <si>
    <t>【オフィス】</t>
    <phoneticPr fontId="3"/>
  </si>
  <si>
    <t>【店舗】</t>
    <rPh sb="1" eb="3">
      <t>テンポ</t>
    </rPh>
    <phoneticPr fontId="3"/>
  </si>
  <si>
    <t>【店舗の案分計算補助ワークシート】</t>
    <rPh sb="1" eb="3">
      <t>テンポ</t>
    </rPh>
    <rPh sb="4" eb="6">
      <t>アンブン</t>
    </rPh>
    <rPh sb="6" eb="8">
      <t>ケイサン</t>
    </rPh>
    <rPh sb="8" eb="10">
      <t>ホジョ</t>
    </rPh>
    <phoneticPr fontId="3"/>
  </si>
  <si>
    <t>本シートは、複数の店舗の業態を有する建物について、評価結果の案分計算を支援するためのものです。</t>
    <rPh sb="0" eb="1">
      <t>ホン</t>
    </rPh>
    <rPh sb="6" eb="8">
      <t>フクスウ</t>
    </rPh>
    <rPh sb="9" eb="11">
      <t>テンポ</t>
    </rPh>
    <rPh sb="12" eb="14">
      <t>ギョウタイ</t>
    </rPh>
    <rPh sb="15" eb="16">
      <t>ユウ</t>
    </rPh>
    <rPh sb="18" eb="20">
      <t>タテモノ</t>
    </rPh>
    <rPh sb="25" eb="27">
      <t>ヒョウカ</t>
    </rPh>
    <rPh sb="27" eb="29">
      <t>ケッカ</t>
    </rPh>
    <rPh sb="30" eb="32">
      <t>アンブン</t>
    </rPh>
    <rPh sb="32" eb="34">
      <t>ケイサン</t>
    </rPh>
    <rPh sb="35" eb="37">
      <t>シエン</t>
    </rPh>
    <phoneticPr fontId="3"/>
  </si>
  <si>
    <t>シートは①と②の２つがあります。どちらか使い安い方を選んでください。</t>
    <rPh sb="20" eb="21">
      <t>ツカ</t>
    </rPh>
    <rPh sb="22" eb="23">
      <t>ヤス</t>
    </rPh>
    <rPh sb="24" eb="25">
      <t>ホウ</t>
    </rPh>
    <rPh sb="26" eb="27">
      <t>エラ</t>
    </rPh>
    <phoneticPr fontId="3"/>
  </si>
  <si>
    <t>※本シートでは実績値によるスコアの入力は不要です。評価結果は「店舗評価結果」シートの評価点記入欄に入力してください。</t>
    <rPh sb="1" eb="2">
      <t>ホン</t>
    </rPh>
    <rPh sb="7" eb="9">
      <t>ジッセキ</t>
    </rPh>
    <rPh sb="9" eb="10">
      <t>チ</t>
    </rPh>
    <rPh sb="17" eb="19">
      <t>ニュウリョク</t>
    </rPh>
    <rPh sb="20" eb="22">
      <t>フヨウ</t>
    </rPh>
    <rPh sb="25" eb="27">
      <t>ヒョウカ</t>
    </rPh>
    <rPh sb="27" eb="29">
      <t>ケッカ</t>
    </rPh>
    <rPh sb="31" eb="33">
      <t>テンポ</t>
    </rPh>
    <rPh sb="33" eb="35">
      <t>ヒョウカ</t>
    </rPh>
    <rPh sb="35" eb="37">
      <t>ケッカ</t>
    </rPh>
    <rPh sb="42" eb="45">
      <t>ヒョウカテン</t>
    </rPh>
    <rPh sb="45" eb="48">
      <t>キニュウラン</t>
    </rPh>
    <rPh sb="49" eb="51">
      <t>ニュウリョク</t>
    </rPh>
    <phoneticPr fontId="3"/>
  </si>
  <si>
    <r>
      <t xml:space="preserve">B  </t>
    </r>
    <r>
      <rPr>
        <sz val="10"/>
        <rFont val="ＭＳ Ｐゴシック"/>
        <family val="3"/>
        <charset val="128"/>
      </rPr>
      <t>ランク；</t>
    </r>
    <r>
      <rPr>
        <sz val="10"/>
        <color indexed="10"/>
        <rFont val="ＭＳ Ｐゴシック"/>
        <family val="3"/>
        <charset val="128"/>
      </rPr>
      <t>★★</t>
    </r>
    <phoneticPr fontId="3"/>
  </si>
  <si>
    <t>③デパート・スーパー（規模別）</t>
    <rPh sb="11" eb="14">
      <t>キボベツ</t>
    </rPh>
    <phoneticPr fontId="3"/>
  </si>
  <si>
    <t>⑤コンビニエンス・ストア</t>
  </si>
  <si>
    <t>③デパート・スーパー（-2k）</t>
  </si>
  <si>
    <t>③デパート・スーパー（2k-10k）</t>
  </si>
  <si>
    <t>③デパート・スーパー（10k-）</t>
  </si>
  <si>
    <t>③デパート・スーパー</t>
  </si>
  <si>
    <t>規模</t>
    <rPh sb="0" eb="2">
      <t>キボ</t>
    </rPh>
    <phoneticPr fontId="3"/>
  </si>
  <si>
    <t>2千㎡未満</t>
  </si>
  <si>
    <t>2千～1万㎡未満</t>
  </si>
  <si>
    <t>1万㎡以上</t>
  </si>
  <si>
    <t>○○配送センター</t>
    <rPh sb="2" eb="4">
      <t>ハイソウ</t>
    </rPh>
    <phoneticPr fontId="3"/>
  </si>
  <si>
    <t>物流施設</t>
    <rPh sb="0" eb="2">
      <t>ブツリュウ</t>
    </rPh>
    <rPh sb="2" eb="4">
      <t>シセツ</t>
    </rPh>
    <phoneticPr fontId="3"/>
  </si>
  <si>
    <t>　導入された対策項目数</t>
    <rPh sb="1" eb="3">
      <t>ドウニュウ</t>
    </rPh>
    <rPh sb="6" eb="8">
      <t>タイサク</t>
    </rPh>
    <rPh sb="8" eb="11">
      <t>コウモクスウ</t>
    </rPh>
    <phoneticPr fontId="3"/>
  </si>
  <si>
    <t>水使用量（仕様評価）</t>
    <rPh sb="5" eb="7">
      <t>シヨウ</t>
    </rPh>
    <rPh sb="7" eb="9">
      <t>ヒョウカ</t>
    </rPh>
    <phoneticPr fontId="3"/>
  </si>
  <si>
    <t>１．エネルギー／温暖化ガス</t>
    <phoneticPr fontId="3"/>
  </si>
  <si>
    <t>再生材利用率・廃棄物処理負荷抑制</t>
    <phoneticPr fontId="3"/>
  </si>
  <si>
    <t>3.2.1</t>
    <phoneticPr fontId="3"/>
  </si>
  <si>
    <t>3.2.2</t>
    <phoneticPr fontId="3"/>
  </si>
  <si>
    <t>公共交通機関の接近性</t>
    <phoneticPr fontId="3"/>
  </si>
  <si>
    <t>4.3.1</t>
    <phoneticPr fontId="3"/>
  </si>
  <si>
    <t>公共交通機関の接近性　</t>
    <phoneticPr fontId="3"/>
  </si>
  <si>
    <t>4.3.2</t>
    <phoneticPr fontId="3"/>
  </si>
  <si>
    <t>設備（電力等）の自給率向上</t>
    <rPh sb="0" eb="2">
      <t>セツビ</t>
    </rPh>
    <rPh sb="3" eb="6">
      <t>デンリョクナド</t>
    </rPh>
    <rPh sb="8" eb="11">
      <t>ジキュウリツ</t>
    </rPh>
    <rPh sb="11" eb="13">
      <t>コウジョウ</t>
    </rPh>
    <phoneticPr fontId="3"/>
  </si>
  <si>
    <t>主要設備機器の更新必要間隔</t>
    <phoneticPr fontId="3"/>
  </si>
  <si>
    <t>3.1.1</t>
    <phoneticPr fontId="3"/>
  </si>
  <si>
    <t>3.1.2</t>
    <phoneticPr fontId="3"/>
  </si>
  <si>
    <t>3.4.1</t>
    <phoneticPr fontId="3"/>
  </si>
  <si>
    <t>3.4.2</t>
    <phoneticPr fontId="3"/>
  </si>
  <si>
    <t>3.4.3</t>
    <phoneticPr fontId="3"/>
  </si>
  <si>
    <t>省エネルギー（仕様評価）</t>
    <rPh sb="0" eb="1">
      <t>ショウ</t>
    </rPh>
    <rPh sb="7" eb="9">
      <t>シヨウ</t>
    </rPh>
    <rPh sb="9" eb="11">
      <t>ヒョウカ</t>
    </rPh>
    <phoneticPr fontId="3"/>
  </si>
  <si>
    <t>評価しない</t>
    <rPh sb="0" eb="2">
      <t>ヒョウカ</t>
    </rPh>
    <phoneticPr fontId="3"/>
  </si>
  <si>
    <t>高耐震・免震等　</t>
    <phoneticPr fontId="3"/>
  </si>
  <si>
    <t>3.1.1と3.1.2の点数の高い方で評価</t>
    <phoneticPr fontId="3"/>
  </si>
  <si>
    <t>①と②の平均で評価する</t>
    <phoneticPr fontId="3"/>
  </si>
  <si>
    <t>根拠等</t>
    <phoneticPr fontId="3"/>
  </si>
  <si>
    <t>5.1.1</t>
    <phoneticPr fontId="3"/>
  </si>
  <si>
    <t>5.1.2</t>
    <phoneticPr fontId="3"/>
  </si>
  <si>
    <t>昼光利用</t>
    <phoneticPr fontId="3"/>
  </si>
  <si>
    <r>
      <t>5.1.1</t>
    </r>
    <r>
      <rPr>
        <sz val="10"/>
        <rFont val="ＭＳ Ｐゴシック"/>
        <family val="3"/>
        <charset val="128"/>
      </rPr>
      <t>の点数</t>
    </r>
    <r>
      <rPr>
        <sz val="10"/>
        <rFont val="Arial"/>
        <family val="2"/>
      </rPr>
      <t>×2/3</t>
    </r>
    <r>
      <rPr>
        <sz val="10"/>
        <rFont val="ＭＳ Ｐゴシック"/>
        <family val="3"/>
        <charset val="128"/>
      </rPr>
      <t>＋</t>
    </r>
    <r>
      <rPr>
        <sz val="10"/>
        <rFont val="Arial"/>
        <family val="2"/>
      </rPr>
      <t>5.1.2</t>
    </r>
    <r>
      <rPr>
        <sz val="10"/>
        <rFont val="ＭＳ Ｐゴシック"/>
        <family val="3"/>
        <charset val="128"/>
      </rPr>
      <t>の点数</t>
    </r>
    <r>
      <rPr>
        <sz val="10"/>
        <rFont val="Arial"/>
        <family val="2"/>
      </rPr>
      <t>×1/3</t>
    </r>
    <phoneticPr fontId="3"/>
  </si>
  <si>
    <t>　自然換気有効開口面積</t>
    <phoneticPr fontId="3"/>
  </si>
  <si>
    <t>　取組数</t>
    <rPh sb="1" eb="3">
      <t>トリクミ</t>
    </rPh>
    <rPh sb="3" eb="4">
      <t>スウ</t>
    </rPh>
    <phoneticPr fontId="3"/>
  </si>
  <si>
    <t>　鉄道駅またはバス停からの距離</t>
    <rPh sb="13" eb="15">
      <t>キョリ</t>
    </rPh>
    <phoneticPr fontId="3"/>
  </si>
  <si>
    <t>分圏内</t>
    <rPh sb="0" eb="1">
      <t>フン</t>
    </rPh>
    <rPh sb="1" eb="3">
      <t>ケンナイ</t>
    </rPh>
    <phoneticPr fontId="3"/>
  </si>
  <si>
    <t>省エネ計算対象外の倉庫エリア等</t>
    <phoneticPr fontId="3"/>
  </si>
  <si>
    <t>；建築物衛生管理基準の準拠または質問票への適合</t>
    <rPh sb="8" eb="10">
      <t>キジュン</t>
    </rPh>
    <rPh sb="11" eb="13">
      <t>ジュンキョ</t>
    </rPh>
    <rPh sb="16" eb="18">
      <t>シツモン</t>
    </rPh>
    <rPh sb="18" eb="19">
      <t>ヒョウ</t>
    </rPh>
    <rPh sb="21" eb="23">
      <t>テキゴウ</t>
    </rPh>
    <phoneticPr fontId="3"/>
  </si>
  <si>
    <t>【物流施設】</t>
    <rPh sb="1" eb="3">
      <t>ブツリュウ</t>
    </rPh>
    <rPh sb="3" eb="5">
      <t>シセツ</t>
    </rPh>
    <phoneticPr fontId="3"/>
  </si>
  <si>
    <t>免震・制震・制振性能</t>
    <rPh sb="0" eb="2">
      <t>メンシン</t>
    </rPh>
    <rPh sb="3" eb="5">
      <t>セイシン</t>
    </rPh>
    <rPh sb="6" eb="8">
      <t>セイシン</t>
    </rPh>
    <rPh sb="8" eb="10">
      <t>セイノウ</t>
    </rPh>
    <phoneticPr fontId="3"/>
  </si>
  <si>
    <t>　水道光熱費</t>
    <rPh sb="1" eb="3">
      <t>スイドウ</t>
    </rPh>
    <rPh sb="3" eb="6">
      <t>コウネツヒ</t>
    </rPh>
    <phoneticPr fontId="3"/>
  </si>
  <si>
    <r>
      <rPr>
        <sz val="10"/>
        <rFont val="ＭＳ Ｐゴシック"/>
        <family val="3"/>
        <charset val="128"/>
      </rPr>
      <t>円</t>
    </r>
    <r>
      <rPr>
        <sz val="10"/>
        <rFont val="Arial"/>
        <family val="2"/>
      </rPr>
      <t>/m</t>
    </r>
    <r>
      <rPr>
        <vertAlign val="superscript"/>
        <sz val="10"/>
        <rFont val="Arial"/>
        <family val="2"/>
      </rPr>
      <t>2</t>
    </r>
    <r>
      <rPr>
        <sz val="10"/>
        <rFont val="ＭＳ Ｐゴシック"/>
        <family val="3"/>
        <charset val="128"/>
      </rPr>
      <t>・年</t>
    </r>
    <rPh sb="0" eb="1">
      <t>エン</t>
    </rPh>
    <phoneticPr fontId="3"/>
  </si>
  <si>
    <t>；特定外来生物・未判定外来生物・生態系被害防止外来種を使用しない</t>
    <phoneticPr fontId="3"/>
  </si>
  <si>
    <t>交通結節点への接近性、敷地周辺への配慮　　</t>
    <rPh sb="7" eb="9">
      <t>セッキン</t>
    </rPh>
    <phoneticPr fontId="3"/>
  </si>
  <si>
    <t>5.1.1</t>
    <phoneticPr fontId="3"/>
  </si>
  <si>
    <t>5.1.2</t>
    <phoneticPr fontId="3"/>
  </si>
  <si>
    <t>③デパート・スーパー</t>
    <phoneticPr fontId="3"/>
  </si>
  <si>
    <t>3.4.4</t>
    <phoneticPr fontId="3"/>
  </si>
  <si>
    <t>チェックリスト項目</t>
    <rPh sb="7" eb="9">
      <t>コウモク</t>
    </rPh>
    <phoneticPr fontId="3"/>
  </si>
  <si>
    <t>チェックリストに加点チェック等の追加が必要な項目</t>
    <rPh sb="8" eb="10">
      <t>カテン</t>
    </rPh>
    <rPh sb="14" eb="15">
      <t>ナド</t>
    </rPh>
    <rPh sb="16" eb="18">
      <t>ツイカ</t>
    </rPh>
    <rPh sb="19" eb="21">
      <t>ヒツヨウ</t>
    </rPh>
    <rPh sb="22" eb="24">
      <t>コウモク</t>
    </rPh>
    <phoneticPr fontId="3"/>
  </si>
  <si>
    <t>SDGsの
ゴール/
ターゲット</t>
    <phoneticPr fontId="3"/>
  </si>
  <si>
    <t>全体
通し
番号</t>
    <rPh sb="0" eb="2">
      <t>ゼンタイ</t>
    </rPh>
    <rPh sb="3" eb="4">
      <t>トオ</t>
    </rPh>
    <rPh sb="6" eb="8">
      <t>バンゴウ</t>
    </rPh>
    <phoneticPr fontId="3"/>
  </si>
  <si>
    <t>ゴール内
通し
番号</t>
    <rPh sb="3" eb="4">
      <t>ナイ</t>
    </rPh>
    <rPh sb="5" eb="6">
      <t>トオ</t>
    </rPh>
    <rPh sb="8" eb="10">
      <t>バンゴウ</t>
    </rPh>
    <phoneticPr fontId="3"/>
  </si>
  <si>
    <t>チェック項目</t>
    <phoneticPr fontId="3"/>
  </si>
  <si>
    <t>取組内容</t>
    <rPh sb="0" eb="2">
      <t>トリクミ</t>
    </rPh>
    <rPh sb="2" eb="4">
      <t>ナイヨウ</t>
    </rPh>
    <phoneticPr fontId="18"/>
  </si>
  <si>
    <t>店舗</t>
    <rPh sb="0" eb="2">
      <t>テンポ</t>
    </rPh>
    <phoneticPr fontId="3"/>
  </si>
  <si>
    <t>集合住宅</t>
    <rPh sb="0" eb="2">
      <t>シュウゴウ</t>
    </rPh>
    <rPh sb="2" eb="4">
      <t>ジュウタク</t>
    </rPh>
    <phoneticPr fontId="3"/>
  </si>
  <si>
    <t>3-1</t>
    <phoneticPr fontId="3"/>
  </si>
  <si>
    <t>快適な室温を確保する</t>
    <rPh sb="0" eb="2">
      <t>カイテキ</t>
    </rPh>
    <rPh sb="3" eb="5">
      <t>シツオン</t>
    </rPh>
    <rPh sb="6" eb="8">
      <t>カクホ</t>
    </rPh>
    <phoneticPr fontId="3"/>
  </si>
  <si>
    <t>建築物衛生管理基準に準拠して室温を管理している</t>
    <rPh sb="0" eb="3">
      <t>ケンチクブツ</t>
    </rPh>
    <rPh sb="3" eb="5">
      <t>エイセイ</t>
    </rPh>
    <rPh sb="5" eb="7">
      <t>カンリ</t>
    </rPh>
    <rPh sb="7" eb="9">
      <t>キジュン</t>
    </rPh>
    <rPh sb="10" eb="12">
      <t>ジュンキョ</t>
    </rPh>
    <rPh sb="14" eb="16">
      <t>シツオン</t>
    </rPh>
    <rPh sb="17" eb="19">
      <t>カンリ</t>
    </rPh>
    <phoneticPr fontId="44"/>
  </si>
  <si>
    <t>5. 屋内環境(必須項目)
①または②に適合→+2</t>
    <rPh sb="20" eb="22">
      <t>テキゴウ</t>
    </rPh>
    <phoneticPr fontId="3"/>
  </si>
  <si>
    <t>室内の明るさを高める</t>
    <rPh sb="0" eb="2">
      <t>シツナイ</t>
    </rPh>
    <rPh sb="3" eb="4">
      <t>アカ</t>
    </rPh>
    <rPh sb="7" eb="8">
      <t>タカ</t>
    </rPh>
    <phoneticPr fontId="3"/>
  </si>
  <si>
    <t>自然採光の開口部を積極的に計画し、昼光利用設備を備えている。</t>
    <rPh sb="0" eb="2">
      <t>シゼン</t>
    </rPh>
    <rPh sb="2" eb="4">
      <t>サイコウ</t>
    </rPh>
    <rPh sb="5" eb="8">
      <t>カイコウブ</t>
    </rPh>
    <rPh sb="9" eb="12">
      <t>セッキョクテキ</t>
    </rPh>
    <rPh sb="13" eb="15">
      <t>ケイカク</t>
    </rPh>
    <rPh sb="17" eb="19">
      <t>チュウコウ</t>
    </rPh>
    <rPh sb="19" eb="21">
      <t>リヨウ</t>
    </rPh>
    <rPh sb="21" eb="23">
      <t>セツビ</t>
    </rPh>
    <rPh sb="24" eb="25">
      <t>ソナ</t>
    </rPh>
    <phoneticPr fontId="44"/>
  </si>
  <si>
    <t>5.1.1自然採光がレベル4以上→+1
5.1.2昼光利用設備がレベル4以上→+1</t>
    <rPh sb="5" eb="7">
      <t>シゼン</t>
    </rPh>
    <rPh sb="7" eb="9">
      <t>サイコウ</t>
    </rPh>
    <rPh sb="14" eb="16">
      <t>イジョウ</t>
    </rPh>
    <rPh sb="25" eb="27">
      <t>チュウコウ</t>
    </rPh>
    <rPh sb="27" eb="29">
      <t>リヨウ</t>
    </rPh>
    <rPh sb="29" eb="31">
      <t>セツビ</t>
    </rPh>
    <rPh sb="36" eb="38">
      <t>イジョウ</t>
    </rPh>
    <phoneticPr fontId="44"/>
  </si>
  <si>
    <t>5.1.1.1自然採光　レベル2以上→＋1
5.1.1.2昼光利用設備　レベル３→+１</t>
    <rPh sb="7" eb="9">
      <t>シゼン</t>
    </rPh>
    <rPh sb="9" eb="11">
      <t>サイコウ</t>
    </rPh>
    <rPh sb="16" eb="18">
      <t>イジョウ</t>
    </rPh>
    <rPh sb="29" eb="31">
      <t>チュウコウ</t>
    </rPh>
    <rPh sb="31" eb="33">
      <t>リヨウ</t>
    </rPh>
    <rPh sb="33" eb="35">
      <t>セツビ</t>
    </rPh>
    <phoneticPr fontId="3"/>
  </si>
  <si>
    <t>適切な換気対策をする</t>
    <rPh sb="0" eb="2">
      <t>テキセツ</t>
    </rPh>
    <rPh sb="3" eb="5">
      <t>カンキ</t>
    </rPh>
    <rPh sb="5" eb="7">
      <t>タイサク</t>
    </rPh>
    <phoneticPr fontId="3"/>
  </si>
  <si>
    <t>建築物衛生管理基準に準拠して室内の浮遊粉じん、一酸化炭素、二酸化炭素を管理している</t>
    <rPh sb="0" eb="3">
      <t>ケンチクブツ</t>
    </rPh>
    <rPh sb="3" eb="5">
      <t>エイセイ</t>
    </rPh>
    <rPh sb="5" eb="7">
      <t>カンリ</t>
    </rPh>
    <rPh sb="7" eb="9">
      <t>キジュン</t>
    </rPh>
    <rPh sb="10" eb="12">
      <t>ジュンキョ</t>
    </rPh>
    <rPh sb="14" eb="16">
      <t>シツナイ</t>
    </rPh>
    <rPh sb="17" eb="19">
      <t>フユウ</t>
    </rPh>
    <rPh sb="19" eb="20">
      <t>フン</t>
    </rPh>
    <rPh sb="23" eb="26">
      <t>イッサンカ</t>
    </rPh>
    <rPh sb="26" eb="28">
      <t>タンソ</t>
    </rPh>
    <rPh sb="29" eb="32">
      <t>ニサンカ</t>
    </rPh>
    <rPh sb="32" eb="34">
      <t>タンソ</t>
    </rPh>
    <rPh sb="35" eb="37">
      <t>カンリ</t>
    </rPh>
    <phoneticPr fontId="44"/>
  </si>
  <si>
    <t>5屋内環境【必須】
①または②に適合→+2</t>
    <rPh sb="1" eb="3">
      <t>オクナイ</t>
    </rPh>
    <rPh sb="3" eb="5">
      <t>カンキョウ</t>
    </rPh>
    <rPh sb="6" eb="8">
      <t>ヒッス</t>
    </rPh>
    <rPh sb="16" eb="18">
      <t>テキゴウ</t>
    </rPh>
    <phoneticPr fontId="44"/>
  </si>
  <si>
    <t>建築物衛生管理基準に準拠して相対湿度を管理している</t>
    <rPh sb="0" eb="3">
      <t>ケンチクブツ</t>
    </rPh>
    <rPh sb="3" eb="5">
      <t>エイセイ</t>
    </rPh>
    <rPh sb="5" eb="7">
      <t>カンリ</t>
    </rPh>
    <rPh sb="7" eb="9">
      <t>キジュン</t>
    </rPh>
    <rPh sb="10" eb="12">
      <t>ジュンキョ</t>
    </rPh>
    <rPh sb="14" eb="16">
      <t>ソウタイ</t>
    </rPh>
    <rPh sb="16" eb="18">
      <t>シツド</t>
    </rPh>
    <rPh sb="19" eb="21">
      <t>カンリ</t>
    </rPh>
    <phoneticPr fontId="44"/>
  </si>
  <si>
    <t>室内の空気質について対策する</t>
    <rPh sb="0" eb="2">
      <t>シツナイ</t>
    </rPh>
    <rPh sb="3" eb="5">
      <t>クウキ</t>
    </rPh>
    <rPh sb="5" eb="6">
      <t>シツ</t>
    </rPh>
    <rPh sb="10" eb="12">
      <t>タイサク</t>
    </rPh>
    <phoneticPr fontId="3"/>
  </si>
  <si>
    <t>建築物衛生管理基準に準拠してホルムアルデヒドを管理している</t>
    <rPh sb="0" eb="3">
      <t>ケンチクブツ</t>
    </rPh>
    <rPh sb="3" eb="5">
      <t>エイセイ</t>
    </rPh>
    <rPh sb="5" eb="7">
      <t>カンリ</t>
    </rPh>
    <rPh sb="7" eb="9">
      <t>キジュン</t>
    </rPh>
    <rPh sb="10" eb="12">
      <t>ジュンキョ</t>
    </rPh>
    <rPh sb="23" eb="25">
      <t>カンリ</t>
    </rPh>
    <phoneticPr fontId="44"/>
  </si>
  <si>
    <t>禁煙に関して配慮をする</t>
    <rPh sb="0" eb="2">
      <t>キンエン</t>
    </rPh>
    <rPh sb="3" eb="4">
      <t>カン</t>
    </rPh>
    <rPh sb="6" eb="8">
      <t>ハイリョ</t>
    </rPh>
    <phoneticPr fontId="3"/>
  </si>
  <si>
    <t>禁煙または喫煙ブースの設置等、非喫煙者が煙に曝されないような工夫をしている</t>
  </si>
  <si>
    <t>水回りの衛生を維持する</t>
  </si>
  <si>
    <t>水回りの衛生維持に取り組んでいる
〇排水口等の清掃の手順書やマニュアルを用意
〇衛生器具等の汚れ清掃の手順書やマニュアルを用意</t>
    <rPh sb="0" eb="1">
      <t>ミズ</t>
    </rPh>
    <rPh sb="1" eb="2">
      <t>マワ</t>
    </rPh>
    <rPh sb="4" eb="6">
      <t>エイセイ</t>
    </rPh>
    <rPh sb="6" eb="8">
      <t>イジ</t>
    </rPh>
    <rPh sb="26" eb="28">
      <t>テジュン</t>
    </rPh>
    <rPh sb="28" eb="29">
      <t>ショ</t>
    </rPh>
    <rPh sb="36" eb="38">
      <t>ヨウイ</t>
    </rPh>
    <rPh sb="40" eb="42">
      <t>エイセイ</t>
    </rPh>
    <rPh sb="42" eb="44">
      <t>キグ</t>
    </rPh>
    <rPh sb="44" eb="45">
      <t>ナド</t>
    </rPh>
    <rPh sb="48" eb="50">
      <t>セイソウ</t>
    </rPh>
    <phoneticPr fontId="44"/>
  </si>
  <si>
    <t>遮音性能を確保する</t>
    <rPh sb="0" eb="2">
      <t>シャオン</t>
    </rPh>
    <rPh sb="2" eb="4">
      <t>セイノウ</t>
    </rPh>
    <rPh sb="5" eb="7">
      <t>カクホ</t>
    </rPh>
    <phoneticPr fontId="44"/>
  </si>
  <si>
    <t>床に遮音対策を講じ、かつ界壁遮音対策を講じている。</t>
    <rPh sb="4" eb="6">
      <t>タイサク</t>
    </rPh>
    <rPh sb="7" eb="8">
      <t>コウ</t>
    </rPh>
    <rPh sb="12" eb="14">
      <t>カイヘキ</t>
    </rPh>
    <rPh sb="14" eb="16">
      <t>シャオン</t>
    </rPh>
    <rPh sb="16" eb="18">
      <t>タイサク</t>
    </rPh>
    <rPh sb="19" eb="20">
      <t>コウ</t>
    </rPh>
    <phoneticPr fontId="44"/>
  </si>
  <si>
    <t>（対象外）</t>
    <rPh sb="1" eb="4">
      <t>タイショウガイ</t>
    </rPh>
    <phoneticPr fontId="3"/>
  </si>
  <si>
    <t>5.2.4騒音・遮音
レベル2→+2</t>
    <rPh sb="5" eb="7">
      <t>ソウオン</t>
    </rPh>
    <rPh sb="8" eb="10">
      <t>シャオン</t>
    </rPh>
    <phoneticPr fontId="44"/>
  </si>
  <si>
    <t>バリアフリー対策を施す</t>
    <rPh sb="6" eb="8">
      <t>タイサク</t>
    </rPh>
    <rPh sb="9" eb="10">
      <t>ホドコ</t>
    </rPh>
    <phoneticPr fontId="3"/>
  </si>
  <si>
    <t>建築物移動等円滑化基準を満たした上で、全ての人が不自由なく建築物を利用することができる工夫をしている</t>
  </si>
  <si>
    <t>以下のことを行っている。
○エントランスにセキュリティシステムを設置
○ITVカメラ監視
○日中には常駐監視
○夜間はセキュリティ会社に警報が配信</t>
    <rPh sb="0" eb="2">
      <t>イカ</t>
    </rPh>
    <rPh sb="6" eb="7">
      <t>オコナ</t>
    </rPh>
    <phoneticPr fontId="44"/>
  </si>
  <si>
    <t>5.3.3防犯対策（3点満点）
レベル2→+1
レベル3→+2</t>
    <rPh sb="5" eb="7">
      <t>ボウハン</t>
    </rPh>
    <rPh sb="7" eb="9">
      <t>タイサク</t>
    </rPh>
    <rPh sb="11" eb="12">
      <t>テン</t>
    </rPh>
    <rPh sb="12" eb="14">
      <t>マンテン</t>
    </rPh>
    <phoneticPr fontId="3"/>
  </si>
  <si>
    <t>家庭の学習スペースを整える</t>
    <rPh sb="0" eb="2">
      <t>カテイ</t>
    </rPh>
    <rPh sb="3" eb="5">
      <t>ガクシュウ</t>
    </rPh>
    <rPh sb="10" eb="11">
      <t>トトノ</t>
    </rPh>
    <phoneticPr fontId="3"/>
  </si>
  <si>
    <t>4-5</t>
  </si>
  <si>
    <t>4-6</t>
  </si>
  <si>
    <t>4-7</t>
  </si>
  <si>
    <t>5.2.4騒音・遮音
レベル2→+2</t>
    <phoneticPr fontId="3"/>
  </si>
  <si>
    <t>すべての人が学習を受けられる環境を整える</t>
    <rPh sb="4" eb="5">
      <t>ヒト</t>
    </rPh>
    <rPh sb="6" eb="8">
      <t>ガクシュウ</t>
    </rPh>
    <rPh sb="9" eb="10">
      <t>ウ</t>
    </rPh>
    <rPh sb="14" eb="16">
      <t>カンキョウ</t>
    </rPh>
    <rPh sb="17" eb="18">
      <t>トトノ</t>
    </rPh>
    <phoneticPr fontId="3"/>
  </si>
  <si>
    <t>維持管理における管理者への教育</t>
    <rPh sb="0" eb="2">
      <t>イジ</t>
    </rPh>
    <rPh sb="2" eb="4">
      <t>カンリ</t>
    </rPh>
    <rPh sb="8" eb="11">
      <t>カンリシャ</t>
    </rPh>
    <rPh sb="13" eb="15">
      <t>キョウイク</t>
    </rPh>
    <phoneticPr fontId="3"/>
  </si>
  <si>
    <t>館内の環境に関する管理者への職業教育を整備をしている</t>
    <rPh sb="0" eb="2">
      <t>カンナイ</t>
    </rPh>
    <rPh sb="3" eb="5">
      <t>カンキョウ</t>
    </rPh>
    <rPh sb="6" eb="7">
      <t>カン</t>
    </rPh>
    <rPh sb="9" eb="12">
      <t>カンリシャ</t>
    </rPh>
    <rPh sb="14" eb="16">
      <t>ショクギョウ</t>
    </rPh>
    <rPh sb="16" eb="18">
      <t>キョウイク</t>
    </rPh>
    <phoneticPr fontId="3"/>
  </si>
  <si>
    <t>3.4.3維持管理
取組み6)業務員への環境等の教育あり→+2</t>
    <rPh sb="5" eb="7">
      <t>イジ</t>
    </rPh>
    <rPh sb="7" eb="9">
      <t>カンリ</t>
    </rPh>
    <rPh sb="10" eb="12">
      <t>トリク</t>
    </rPh>
    <rPh sb="15" eb="18">
      <t>ギョウムイン</t>
    </rPh>
    <rPh sb="20" eb="22">
      <t>カンキョウ</t>
    </rPh>
    <rPh sb="22" eb="23">
      <t>ナド</t>
    </rPh>
    <rPh sb="24" eb="26">
      <t>キョウイク</t>
    </rPh>
    <phoneticPr fontId="44"/>
  </si>
  <si>
    <t>5-3</t>
  </si>
  <si>
    <t>家事負担を軽減する
子育て・介護等の負担を軽減する</t>
    <rPh sb="0" eb="2">
      <t>カジ</t>
    </rPh>
    <rPh sb="2" eb="4">
      <t>フタン</t>
    </rPh>
    <rPh sb="5" eb="7">
      <t>ケイゲン</t>
    </rPh>
    <rPh sb="10" eb="12">
      <t>コソダ</t>
    </rPh>
    <rPh sb="14" eb="16">
      <t>カイゴ</t>
    </rPh>
    <rPh sb="16" eb="17">
      <t>トウ</t>
    </rPh>
    <rPh sb="18" eb="20">
      <t>フタン</t>
    </rPh>
    <rPh sb="21" eb="23">
      <t>ケイゲン</t>
    </rPh>
    <phoneticPr fontId="3"/>
  </si>
  <si>
    <t>LGBTに配慮する</t>
    <rPh sb="5" eb="7">
      <t>ハイリョ</t>
    </rPh>
    <phoneticPr fontId="3"/>
  </si>
  <si>
    <t>以下の取組に取り組んでいる（該当する）、取り組んでいない（該当しない）
○男女共用型トイレの設置</t>
  </si>
  <si>
    <t>節水機器を採用する</t>
    <rPh sb="0" eb="1">
      <t>セツ</t>
    </rPh>
    <rPh sb="1" eb="2">
      <t>スイ</t>
    </rPh>
    <rPh sb="2" eb="4">
      <t>キキ</t>
    </rPh>
    <rPh sb="5" eb="7">
      <t>サイヨウ</t>
    </rPh>
    <phoneticPr fontId="18"/>
  </si>
  <si>
    <t>節水型便器を採用している、水栓類の節水を行っている</t>
    <rPh sb="2" eb="3">
      <t>ガタ</t>
    </rPh>
    <rPh sb="3" eb="5">
      <t>ベンキ</t>
    </rPh>
    <rPh sb="6" eb="8">
      <t>サイヨウ</t>
    </rPh>
    <rPh sb="13" eb="15">
      <t>スイセン</t>
    </rPh>
    <rPh sb="15" eb="16">
      <t>ルイ</t>
    </rPh>
    <rPh sb="17" eb="19">
      <t>セッスイ</t>
    </rPh>
    <rPh sb="20" eb="21">
      <t>オコナ</t>
    </rPh>
    <phoneticPr fontId="1"/>
  </si>
  <si>
    <t>2.2水使用量（仕様評価）
1)水栓類の節水→+1
2)節水型便器→+1</t>
    <rPh sb="3" eb="4">
      <t>ミズ</t>
    </rPh>
    <rPh sb="4" eb="6">
      <t>シヨウ</t>
    </rPh>
    <rPh sb="6" eb="7">
      <t>リョウ</t>
    </rPh>
    <rPh sb="8" eb="10">
      <t>シヨウ</t>
    </rPh>
    <rPh sb="10" eb="12">
      <t>ヒョウカ</t>
    </rPh>
    <rPh sb="16" eb="18">
      <t>スイセン</t>
    </rPh>
    <rPh sb="18" eb="19">
      <t>ルイ</t>
    </rPh>
    <rPh sb="20" eb="22">
      <t>セッスイ</t>
    </rPh>
    <rPh sb="28" eb="31">
      <t>セッスイガタ</t>
    </rPh>
    <rPh sb="31" eb="33">
      <t>ベンキ</t>
    </rPh>
    <phoneticPr fontId="3"/>
  </si>
  <si>
    <t>6-2</t>
  </si>
  <si>
    <t>雨水、雑排水の利用に関する取組をしている</t>
  </si>
  <si>
    <t>2.1水使用量（計算値）
使用量算定ソフトで雨水・排水再利用あり→+2</t>
    <phoneticPr fontId="3"/>
  </si>
  <si>
    <t>2.2水使用量（仕様評価）
3)雨水利用の採用→+2</t>
    <rPh sb="3" eb="4">
      <t>ミズ</t>
    </rPh>
    <rPh sb="4" eb="6">
      <t>シヨウ</t>
    </rPh>
    <rPh sb="6" eb="7">
      <t>リョウ</t>
    </rPh>
    <rPh sb="8" eb="10">
      <t>シヨウ</t>
    </rPh>
    <rPh sb="10" eb="12">
      <t>ヒョウカ</t>
    </rPh>
    <rPh sb="16" eb="18">
      <t>ウスイ</t>
    </rPh>
    <rPh sb="18" eb="20">
      <t>リヨウ</t>
    </rPh>
    <rPh sb="21" eb="23">
      <t>サイヨウ</t>
    </rPh>
    <phoneticPr fontId="3"/>
  </si>
  <si>
    <t>2.2水使用量(仕様評価)
4)雨水利用の採用→+2</t>
    <rPh sb="3" eb="4">
      <t>ミズ</t>
    </rPh>
    <rPh sb="4" eb="6">
      <t>シヨウ</t>
    </rPh>
    <rPh sb="6" eb="7">
      <t>リョウ</t>
    </rPh>
    <rPh sb="8" eb="10">
      <t>シヨウ</t>
    </rPh>
    <rPh sb="10" eb="12">
      <t>ヒョウカ</t>
    </rPh>
    <rPh sb="16" eb="18">
      <t>ウスイ</t>
    </rPh>
    <rPh sb="18" eb="20">
      <t>リヨウ</t>
    </rPh>
    <rPh sb="21" eb="23">
      <t>サイヨウ</t>
    </rPh>
    <phoneticPr fontId="3"/>
  </si>
  <si>
    <t>生物環境の保全と創出に関して配慮している（緑地）</t>
    <rPh sb="0" eb="2">
      <t>セイブツ</t>
    </rPh>
    <rPh sb="2" eb="4">
      <t>カンキョウ</t>
    </rPh>
    <rPh sb="5" eb="7">
      <t>ホゼン</t>
    </rPh>
    <rPh sb="8" eb="10">
      <t>ソウシュツ</t>
    </rPh>
    <rPh sb="11" eb="12">
      <t>カン</t>
    </rPh>
    <rPh sb="14" eb="16">
      <t>ハイリョ</t>
    </rPh>
    <rPh sb="21" eb="23">
      <t>リョクチ</t>
    </rPh>
    <phoneticPr fontId="1"/>
  </si>
  <si>
    <t>4.1生物多様性の向上
①評価・認証の取得→+2
②取組み表による評価：
　1)自然資源の保全→+1
　4)トータルの緑地規模で緑地率20%以上→+1</t>
    <rPh sb="3" eb="5">
      <t>セイブツ</t>
    </rPh>
    <rPh sb="5" eb="8">
      <t>タヨウセイ</t>
    </rPh>
    <rPh sb="9" eb="11">
      <t>コウジョウ</t>
    </rPh>
    <rPh sb="13" eb="15">
      <t>ヒョウカ</t>
    </rPh>
    <rPh sb="16" eb="18">
      <t>ニンショウ</t>
    </rPh>
    <rPh sb="19" eb="21">
      <t>シュトク</t>
    </rPh>
    <rPh sb="26" eb="28">
      <t>トリク</t>
    </rPh>
    <rPh sb="29" eb="30">
      <t>ヒョウ</t>
    </rPh>
    <rPh sb="33" eb="35">
      <t>ヒョウカ</t>
    </rPh>
    <rPh sb="40" eb="42">
      <t>シゼン</t>
    </rPh>
    <rPh sb="42" eb="44">
      <t>シゲン</t>
    </rPh>
    <rPh sb="45" eb="47">
      <t>ホゼン</t>
    </rPh>
    <rPh sb="59" eb="61">
      <t>リョクチ</t>
    </rPh>
    <rPh sb="61" eb="63">
      <t>キボ</t>
    </rPh>
    <rPh sb="64" eb="66">
      <t>リョクチ</t>
    </rPh>
    <rPh sb="66" eb="67">
      <t>リツ</t>
    </rPh>
    <rPh sb="70" eb="72">
      <t>イジョウ</t>
    </rPh>
    <phoneticPr fontId="3"/>
  </si>
  <si>
    <t>土壌汚染を防ぐ</t>
  </si>
  <si>
    <t>対象敷地の場合、土壌汚染調査、拡散防止計画の届出、措置を行う。さらに進んで無害化措置を行う。</t>
    <rPh sb="0" eb="2">
      <t>タイショウ</t>
    </rPh>
    <rPh sb="2" eb="4">
      <t>シキチ</t>
    </rPh>
    <rPh sb="5" eb="7">
      <t>バアイ</t>
    </rPh>
    <rPh sb="8" eb="10">
      <t>ドジョウ</t>
    </rPh>
    <rPh sb="10" eb="12">
      <t>オセン</t>
    </rPh>
    <rPh sb="12" eb="14">
      <t>チョウサ</t>
    </rPh>
    <rPh sb="15" eb="17">
      <t>カクサン</t>
    </rPh>
    <rPh sb="17" eb="19">
      <t>ボウシ</t>
    </rPh>
    <rPh sb="19" eb="21">
      <t>ケイカク</t>
    </rPh>
    <rPh sb="22" eb="24">
      <t>トドケデ</t>
    </rPh>
    <rPh sb="25" eb="27">
      <t>ソチ</t>
    </rPh>
    <rPh sb="28" eb="29">
      <t>オコナ</t>
    </rPh>
    <rPh sb="34" eb="35">
      <t>スス</t>
    </rPh>
    <rPh sb="37" eb="40">
      <t>ムガイカ</t>
    </rPh>
    <rPh sb="40" eb="42">
      <t>ソチ</t>
    </rPh>
    <rPh sb="43" eb="44">
      <t>オコナ</t>
    </rPh>
    <phoneticPr fontId="44"/>
  </si>
  <si>
    <t>4.2土壌環境品質・ブラウンフィールド再生
レベル4以上→+2
対象外の場合は分母から除外</t>
    <rPh sb="3" eb="5">
      <t>ドジョウ</t>
    </rPh>
    <rPh sb="5" eb="7">
      <t>カンキョウ</t>
    </rPh>
    <rPh sb="7" eb="9">
      <t>ヒンシツ</t>
    </rPh>
    <rPh sb="19" eb="21">
      <t>サイセイ</t>
    </rPh>
    <rPh sb="26" eb="28">
      <t>イジョウ</t>
    </rPh>
    <rPh sb="32" eb="34">
      <t>タイショウ</t>
    </rPh>
    <rPh sb="34" eb="35">
      <t>ガイ</t>
    </rPh>
    <rPh sb="36" eb="38">
      <t>バアイ</t>
    </rPh>
    <rPh sb="39" eb="41">
      <t>ブンボ</t>
    </rPh>
    <rPh sb="43" eb="45">
      <t>ジョガイ</t>
    </rPh>
    <phoneticPr fontId="3"/>
  </si>
  <si>
    <t>水回りの衛生を維持する</t>
    <rPh sb="0" eb="1">
      <t>ミズ</t>
    </rPh>
    <rPh sb="1" eb="2">
      <t>マワ</t>
    </rPh>
    <rPh sb="4" eb="6">
      <t>エイセイ</t>
    </rPh>
    <rPh sb="7" eb="9">
      <t>イジ</t>
    </rPh>
    <phoneticPr fontId="18"/>
  </si>
  <si>
    <t>給排水設備を維持管理する</t>
    <rPh sb="6" eb="8">
      <t>イジ</t>
    </rPh>
    <rPh sb="8" eb="10">
      <t>カンリ</t>
    </rPh>
    <phoneticPr fontId="18"/>
  </si>
  <si>
    <t>給排水・衛生設備の業務手順書を用意</t>
    <rPh sb="9" eb="11">
      <t>ギョウム</t>
    </rPh>
    <rPh sb="11" eb="14">
      <t>テジュンショ</t>
    </rPh>
    <rPh sb="15" eb="17">
      <t>ヨウイ</t>
    </rPh>
    <phoneticPr fontId="44"/>
  </si>
  <si>
    <t>3.4.3維持管理
評価する取組み、3)業務手順、設備管理における業務標準手順書で加点を考慮するように修正、Ⅱ建築物衛生法以外も同様
→＋1</t>
    <phoneticPr fontId="3"/>
  </si>
  <si>
    <t>エネルギー使用量を削減する</t>
    <rPh sb="5" eb="8">
      <t>シヨウリョウ</t>
    </rPh>
    <rPh sb="9" eb="11">
      <t>サクゲン</t>
    </rPh>
    <phoneticPr fontId="18"/>
  </si>
  <si>
    <t>空調、換気、照明、給湯、昇降機の使用エネルギー量削減に資する取組をしている</t>
    <rPh sb="0" eb="2">
      <t>クウチョウ</t>
    </rPh>
    <rPh sb="3" eb="5">
      <t>カンキ</t>
    </rPh>
    <rPh sb="6" eb="8">
      <t>ショウメイ</t>
    </rPh>
    <rPh sb="9" eb="11">
      <t>キュウトウ</t>
    </rPh>
    <rPh sb="12" eb="14">
      <t>ショウコウ</t>
    </rPh>
    <phoneticPr fontId="44"/>
  </si>
  <si>
    <t>7-3</t>
  </si>
  <si>
    <t>パッシブデザインに取り組む</t>
    <rPh sb="9" eb="10">
      <t>ト</t>
    </rPh>
    <rPh sb="11" eb="12">
      <t>ク</t>
    </rPh>
    <phoneticPr fontId="18"/>
  </si>
  <si>
    <t>以下の取組に取り組んでいる
〇昼光利用（自然採光・昼光利用設備）
〇自然換気性能
〇眺望・視環境</t>
    <rPh sb="15" eb="17">
      <t>チュウコウ</t>
    </rPh>
    <rPh sb="17" eb="19">
      <t>リヨウ</t>
    </rPh>
    <rPh sb="20" eb="22">
      <t>シゼン</t>
    </rPh>
    <rPh sb="22" eb="24">
      <t>サイコウ</t>
    </rPh>
    <rPh sb="25" eb="27">
      <t>チュウコウ</t>
    </rPh>
    <rPh sb="27" eb="29">
      <t>リヨウ</t>
    </rPh>
    <rPh sb="29" eb="31">
      <t>セツビ</t>
    </rPh>
    <rPh sb="34" eb="36">
      <t>シゼン</t>
    </rPh>
    <rPh sb="36" eb="38">
      <t>カンキ</t>
    </rPh>
    <rPh sb="38" eb="40">
      <t>セイノウ</t>
    </rPh>
    <rPh sb="42" eb="44">
      <t>チョウボウ</t>
    </rPh>
    <rPh sb="45" eb="46">
      <t>シ</t>
    </rPh>
    <rPh sb="46" eb="48">
      <t>カンキョウ</t>
    </rPh>
    <phoneticPr fontId="44"/>
  </si>
  <si>
    <t>7-4</t>
  </si>
  <si>
    <t>1.4自然エネルギー
レベル3→+1
レベル4,5→+2</t>
    <rPh sb="3" eb="5">
      <t>シゼン</t>
    </rPh>
    <phoneticPr fontId="3"/>
  </si>
  <si>
    <t>エネルギーを管理する</t>
    <rPh sb="6" eb="8">
      <t>カンリ</t>
    </rPh>
    <phoneticPr fontId="18"/>
  </si>
  <si>
    <t>以下の取組に取り組んでいる（該当項目1つ以上）、取り組んでいない（該当項目0）
○エネルギー消費量の目標設定
○モニタリングの実施
○運用管理体制の構築</t>
    <rPh sb="67" eb="69">
      <t>ウンヨウ</t>
    </rPh>
    <rPh sb="69" eb="71">
      <t>カンリ</t>
    </rPh>
    <rPh sb="71" eb="73">
      <t>タイセイ</t>
    </rPh>
    <rPh sb="74" eb="76">
      <t>コウチク</t>
    </rPh>
    <phoneticPr fontId="44"/>
  </si>
  <si>
    <t>1エネルギー【必須】
②エネルギー消費量の目標設定
③モニタリングの実施
③運用管理体制の構築
の確認→+2</t>
    <phoneticPr fontId="3"/>
  </si>
  <si>
    <t>非常時にエネルギーを確保する</t>
    <rPh sb="0" eb="2">
      <t>ヒジョウ</t>
    </rPh>
    <rPh sb="2" eb="3">
      <t>ジ</t>
    </rPh>
    <rPh sb="10" eb="12">
      <t>カクホ</t>
    </rPh>
    <phoneticPr fontId="18"/>
  </si>
  <si>
    <t>3.4.2設備(電力等)の自給率向上
レベル2→+1
レベル3～5→+2</t>
    <rPh sb="5" eb="7">
      <t>セツビ</t>
    </rPh>
    <rPh sb="8" eb="10">
      <t>デンリョク</t>
    </rPh>
    <rPh sb="10" eb="11">
      <t>トウ</t>
    </rPh>
    <rPh sb="13" eb="16">
      <t>ジキュウリツ</t>
    </rPh>
    <rPh sb="16" eb="18">
      <t>コウジョウ</t>
    </rPh>
    <phoneticPr fontId="3"/>
  </si>
  <si>
    <t>地球温暖化対策に関する取組をしている</t>
    <rPh sb="8" eb="9">
      <t>カン</t>
    </rPh>
    <phoneticPr fontId="18"/>
  </si>
  <si>
    <t>5.1.1自然採光　レベル4以上→+1
5.1.2昼光利用設備　レベル4以上→+1</t>
    <rPh sb="5" eb="7">
      <t>シゼン</t>
    </rPh>
    <rPh sb="7" eb="9">
      <t>サイコウ</t>
    </rPh>
    <rPh sb="14" eb="16">
      <t>イジョウ</t>
    </rPh>
    <rPh sb="25" eb="27">
      <t>チュウコウ</t>
    </rPh>
    <rPh sb="27" eb="29">
      <t>リヨウ</t>
    </rPh>
    <rPh sb="29" eb="31">
      <t>セツビ</t>
    </rPh>
    <rPh sb="36" eb="38">
      <t>イジョウ</t>
    </rPh>
    <phoneticPr fontId="3"/>
  </si>
  <si>
    <t>5.1.1.1自然採光　レベル2以上→＋1
5.1.1.2昼光利用設備　レベル３→+１</t>
    <rPh sb="7" eb="9">
      <t>シゼン</t>
    </rPh>
    <rPh sb="9" eb="11">
      <t>サイコウ</t>
    </rPh>
    <phoneticPr fontId="3"/>
  </si>
  <si>
    <t>適切な換気対策をする</t>
    <phoneticPr fontId="3"/>
  </si>
  <si>
    <t>室内の空気質について対策する</t>
  </si>
  <si>
    <t>(対象外)</t>
    <rPh sb="1" eb="3">
      <t>タイショウ</t>
    </rPh>
    <rPh sb="3" eb="4">
      <t>ガイ</t>
    </rPh>
    <phoneticPr fontId="3"/>
  </si>
  <si>
    <t>8-7</t>
  </si>
  <si>
    <t>知的生産性を高める場を創る</t>
    <rPh sb="9" eb="10">
      <t>バ</t>
    </rPh>
    <rPh sb="11" eb="12">
      <t>ツク</t>
    </rPh>
    <phoneticPr fontId="18"/>
  </si>
  <si>
    <t>(対象外)</t>
    <rPh sb="1" eb="4">
      <t>タイショウガイ</t>
    </rPh>
    <phoneticPr fontId="3"/>
  </si>
  <si>
    <t>8-9</t>
  </si>
  <si>
    <t>建築躯体等を継続して使用する</t>
  </si>
  <si>
    <t>既存建築躯体を再利用している</t>
  </si>
  <si>
    <t>8-10</t>
  </si>
  <si>
    <t>躯体材料においてリサイクル材を使用する</t>
  </si>
  <si>
    <t>構造耐力上主要な部分にリサイクル材資材を用いている</t>
    <rPh sb="0" eb="2">
      <t>コウゾウ</t>
    </rPh>
    <rPh sb="2" eb="4">
      <t>タイリョク</t>
    </rPh>
    <rPh sb="4" eb="5">
      <t>ジョウ</t>
    </rPh>
    <rPh sb="5" eb="7">
      <t>シュヨウ</t>
    </rPh>
    <rPh sb="8" eb="10">
      <t>ブブン</t>
    </rPh>
    <rPh sb="16" eb="17">
      <t>ザイ</t>
    </rPh>
    <rPh sb="17" eb="19">
      <t>シザイ</t>
    </rPh>
    <phoneticPr fontId="18"/>
  </si>
  <si>
    <t>躯体材料以外においてリサイクル材を使用する</t>
  </si>
  <si>
    <t>躯体材料以外の部分にリサイクル材資材を用いている</t>
  </si>
  <si>
    <t>3.2.1再生材利用率・地域材・木材利用
②非構造材料におけるリサイクル材・地域材・木材の使用
レベル3→+1、レベル4以上→+2</t>
    <rPh sb="5" eb="7">
      <t>サイセイ</t>
    </rPh>
    <rPh sb="7" eb="8">
      <t>ザイ</t>
    </rPh>
    <rPh sb="8" eb="11">
      <t>リヨウリツ</t>
    </rPh>
    <rPh sb="12" eb="14">
      <t>チイキ</t>
    </rPh>
    <rPh sb="14" eb="15">
      <t>ザイ</t>
    </rPh>
    <rPh sb="16" eb="18">
      <t>モクザイ</t>
    </rPh>
    <rPh sb="18" eb="20">
      <t>リヨウ</t>
    </rPh>
    <rPh sb="22" eb="23">
      <t>ヒ</t>
    </rPh>
    <rPh sb="23" eb="25">
      <t>コウゾウ</t>
    </rPh>
    <rPh sb="25" eb="27">
      <t>ザイリョウ</t>
    </rPh>
    <rPh sb="36" eb="37">
      <t>ザイ</t>
    </rPh>
    <rPh sb="38" eb="40">
      <t>チイキ</t>
    </rPh>
    <rPh sb="40" eb="41">
      <t>ザイ</t>
    </rPh>
    <rPh sb="42" eb="44">
      <t>モクザイ</t>
    </rPh>
    <rPh sb="45" eb="47">
      <t>シヨウ</t>
    </rPh>
    <phoneticPr fontId="3"/>
  </si>
  <si>
    <t>持続可能な森林から産出された木材を使用する</t>
  </si>
  <si>
    <t>持続可能な森林から産出された木材を使用している</t>
    <rPh sb="0" eb="2">
      <t>ジゾク</t>
    </rPh>
    <rPh sb="2" eb="4">
      <t>カノウ</t>
    </rPh>
    <rPh sb="5" eb="7">
      <t>シンリン</t>
    </rPh>
    <rPh sb="9" eb="11">
      <t>サンシュツ</t>
    </rPh>
    <rPh sb="14" eb="16">
      <t>モクザイ</t>
    </rPh>
    <phoneticPr fontId="18"/>
  </si>
  <si>
    <t>躯体材料を長く使う</t>
  </si>
  <si>
    <t>躯体の耐用年数を長く設定している</t>
    <rPh sb="0" eb="2">
      <t>クタイ</t>
    </rPh>
    <rPh sb="3" eb="5">
      <t>タイヨウ</t>
    </rPh>
    <rPh sb="5" eb="7">
      <t>ネンスウ</t>
    </rPh>
    <rPh sb="8" eb="9">
      <t>ナガ</t>
    </rPh>
    <rPh sb="10" eb="12">
      <t>セッテイ</t>
    </rPh>
    <phoneticPr fontId="1"/>
  </si>
  <si>
    <t>3.3躯体材料の耐用年数
レベル3→+1
レベル4,5→+2</t>
    <rPh sb="3" eb="5">
      <t>クタイ</t>
    </rPh>
    <rPh sb="5" eb="7">
      <t>ザイリョウ</t>
    </rPh>
    <rPh sb="8" eb="10">
      <t>タイヨウ</t>
    </rPh>
    <rPh sb="10" eb="12">
      <t>ネンスウ</t>
    </rPh>
    <phoneticPr fontId="3"/>
  </si>
  <si>
    <t>自然災害に耐える</t>
  </si>
  <si>
    <t>以下の取組に取り組んでいる
○ハザードマップ等により、敷地のハザードを確認
○リスクがある場合の対策を講じている（水害、液状化、津波、地震動、斜面災害、落雷）</t>
    <rPh sb="45" eb="47">
      <t>バアイ</t>
    </rPh>
    <rPh sb="48" eb="50">
      <t>タイサク</t>
    </rPh>
    <rPh sb="51" eb="52">
      <t>コウ</t>
    </rPh>
    <rPh sb="57" eb="59">
      <t>スイガイ</t>
    </rPh>
    <rPh sb="60" eb="63">
      <t>エキジョウカ</t>
    </rPh>
    <rPh sb="64" eb="66">
      <t>ツナミ</t>
    </rPh>
    <rPh sb="67" eb="70">
      <t>ジシンドウ</t>
    </rPh>
    <rPh sb="71" eb="73">
      <t>シャメン</t>
    </rPh>
    <rPh sb="73" eb="75">
      <t>サイガイ</t>
    </rPh>
    <rPh sb="76" eb="78">
      <t>ラクライ</t>
    </rPh>
    <phoneticPr fontId="44"/>
  </si>
  <si>
    <t>4.4自然災害リスク対策
レベル3→+1
レベル4,5→+2</t>
    <rPh sb="3" eb="5">
      <t>シゼン</t>
    </rPh>
    <rPh sb="5" eb="7">
      <t>サイガイ</t>
    </rPh>
    <rPh sb="10" eb="12">
      <t>タイサク</t>
    </rPh>
    <phoneticPr fontId="3"/>
  </si>
  <si>
    <t>エネルギーに関する最新の技術を採用する</t>
    <rPh sb="6" eb="7">
      <t>カン</t>
    </rPh>
    <rPh sb="9" eb="11">
      <t>サイシン</t>
    </rPh>
    <rPh sb="12" eb="14">
      <t>ギジュツ</t>
    </rPh>
    <rPh sb="15" eb="17">
      <t>サイヨウ</t>
    </rPh>
    <phoneticPr fontId="1"/>
  </si>
  <si>
    <t>以下の取組に取り組んでいる（該当項目3つ以上）、部分的に取り組んでいる（該当項目1つor2つ）、取り組んでいない（該当項目0）
○太陽光発電の工夫
○燃料電池の工夫
○蓄電池の工夫
○その他</t>
  </si>
  <si>
    <t>リフレッシュスペースを確保する</t>
    <rPh sb="11" eb="13">
      <t>カクホ</t>
    </rPh>
    <phoneticPr fontId="18"/>
  </si>
  <si>
    <t>快適なオフィス生活に必要なリフレッシュスペース等の工夫をしている</t>
  </si>
  <si>
    <t>主要設備機器を長く使う</t>
  </si>
  <si>
    <t>主要設備機器の更新・交換などの必要間隔を長くするための工夫をしている</t>
  </si>
  <si>
    <t>3.4.1主要設備の更新必要間隔
レベル3→+1
レベル4,5→+2</t>
    <rPh sb="5" eb="7">
      <t>シュヨウ</t>
    </rPh>
    <rPh sb="7" eb="9">
      <t>セツビ</t>
    </rPh>
    <rPh sb="10" eb="12">
      <t>コウシン</t>
    </rPh>
    <rPh sb="12" eb="14">
      <t>ヒツヨウ</t>
    </rPh>
    <rPh sb="14" eb="16">
      <t>カンカク</t>
    </rPh>
    <phoneticPr fontId="44"/>
  </si>
  <si>
    <t>敷地のハザードを確認し、情報を共有する</t>
  </si>
  <si>
    <t>4.4自然災害リスク対策
レベル3→+1
レベル4,5→+2</t>
    <rPh sb="3" eb="5">
      <t>シゼン</t>
    </rPh>
    <rPh sb="5" eb="7">
      <t>サイガイ</t>
    </rPh>
    <rPh sb="10" eb="12">
      <t>タイサク</t>
    </rPh>
    <phoneticPr fontId="44"/>
  </si>
  <si>
    <t>11-1</t>
    <phoneticPr fontId="3"/>
  </si>
  <si>
    <t>3.4.1主要設備の更新必要間隔
レベル3→+1
レベル4,5→+2</t>
    <rPh sb="5" eb="7">
      <t>シュヨウ</t>
    </rPh>
    <rPh sb="7" eb="9">
      <t>セツビ</t>
    </rPh>
    <rPh sb="10" eb="12">
      <t>コウシン</t>
    </rPh>
    <rPh sb="12" eb="14">
      <t>ヒツヨウ</t>
    </rPh>
    <rPh sb="14" eb="16">
      <t>カンカク</t>
    </rPh>
    <phoneticPr fontId="3"/>
  </si>
  <si>
    <t>11-2</t>
  </si>
  <si>
    <t>交通負荷を抑える</t>
    <rPh sb="0" eb="2">
      <t>コウツウ</t>
    </rPh>
    <rPh sb="2" eb="4">
      <t>フカ</t>
    </rPh>
    <rPh sb="5" eb="6">
      <t>オサ</t>
    </rPh>
    <phoneticPr fontId="18"/>
  </si>
  <si>
    <t>建物の利用者が公共交通機関を利用している</t>
    <rPh sb="0" eb="2">
      <t>タテモノ</t>
    </rPh>
    <rPh sb="3" eb="6">
      <t>リヨウシャ</t>
    </rPh>
    <rPh sb="7" eb="9">
      <t>コウキョウ</t>
    </rPh>
    <rPh sb="9" eb="11">
      <t>コウツウ</t>
    </rPh>
    <rPh sb="11" eb="13">
      <t>キカン</t>
    </rPh>
    <rPh sb="14" eb="16">
      <t>リヨウ</t>
    </rPh>
    <phoneticPr fontId="44"/>
  </si>
  <si>
    <t>4.3.1公共交通機関の接近性
レベル3→+1
レベル5→+2</t>
    <rPh sb="5" eb="7">
      <t>コウキョウ</t>
    </rPh>
    <rPh sb="7" eb="9">
      <t>コウツウ</t>
    </rPh>
    <rPh sb="9" eb="11">
      <t>キカン</t>
    </rPh>
    <rPh sb="12" eb="14">
      <t>セッキン</t>
    </rPh>
    <rPh sb="14" eb="15">
      <t>セイ</t>
    </rPh>
    <phoneticPr fontId="3"/>
  </si>
  <si>
    <t>2.2水使用量(仕様評価)
3)雨水利用の採用→+2</t>
    <rPh sb="3" eb="4">
      <t>ミズ</t>
    </rPh>
    <rPh sb="4" eb="6">
      <t>シヨウ</t>
    </rPh>
    <rPh sb="6" eb="7">
      <t>リョウ</t>
    </rPh>
    <rPh sb="8" eb="10">
      <t>シヨウ</t>
    </rPh>
    <rPh sb="10" eb="12">
      <t>ヒョウカ</t>
    </rPh>
    <rPh sb="16" eb="18">
      <t>ウスイ</t>
    </rPh>
    <rPh sb="18" eb="20">
      <t>リヨウ</t>
    </rPh>
    <rPh sb="21" eb="23">
      <t>サイヨウ</t>
    </rPh>
    <phoneticPr fontId="3"/>
  </si>
  <si>
    <t>4.2土壌環境品質・ブラウンフィールド再生
レベル4以上→+2
(対象外の場合は分母から除外)</t>
    <rPh sb="3" eb="5">
      <t>ドジョウ</t>
    </rPh>
    <rPh sb="5" eb="7">
      <t>カンキョウ</t>
    </rPh>
    <rPh sb="7" eb="9">
      <t>ヒンシツ</t>
    </rPh>
    <rPh sb="19" eb="21">
      <t>サイセイ</t>
    </rPh>
    <rPh sb="33" eb="36">
      <t>タイショウガイ</t>
    </rPh>
    <rPh sb="37" eb="39">
      <t>バアイ</t>
    </rPh>
    <rPh sb="40" eb="42">
      <t>ブンボ</t>
    </rPh>
    <rPh sb="44" eb="46">
      <t>ジョガイ</t>
    </rPh>
    <phoneticPr fontId="3"/>
  </si>
  <si>
    <t>躯体材料を長く使う</t>
    <rPh sb="0" eb="2">
      <t>クタイ</t>
    </rPh>
    <rPh sb="2" eb="4">
      <t>ザイリョウ</t>
    </rPh>
    <rPh sb="5" eb="6">
      <t>ナガ</t>
    </rPh>
    <rPh sb="7" eb="8">
      <t>ツカ</t>
    </rPh>
    <phoneticPr fontId="18"/>
  </si>
  <si>
    <t>敷地のハザードを確認し、情報を共有する</t>
    <rPh sb="0" eb="2">
      <t>シキチ</t>
    </rPh>
    <rPh sb="8" eb="10">
      <t>カクニン</t>
    </rPh>
    <rPh sb="12" eb="14">
      <t>ジョウホウ</t>
    </rPh>
    <rPh sb="15" eb="17">
      <t>キョウユウ</t>
    </rPh>
    <phoneticPr fontId="18"/>
  </si>
  <si>
    <t>防犯対策を施す</t>
    <rPh sb="0" eb="2">
      <t>ボウハン</t>
    </rPh>
    <rPh sb="2" eb="4">
      <t>タイサク</t>
    </rPh>
    <rPh sb="5" eb="6">
      <t>ホドコ</t>
    </rPh>
    <phoneticPr fontId="44"/>
  </si>
  <si>
    <t>5.3防犯対策
レベル2→+1
レベル3→+2</t>
    <rPh sb="3" eb="5">
      <t>ボウハン</t>
    </rPh>
    <rPh sb="5" eb="7">
      <t>タイサク</t>
    </rPh>
    <phoneticPr fontId="3"/>
  </si>
  <si>
    <t>生物環境を守る</t>
    <rPh sb="0" eb="2">
      <t>セイブツ</t>
    </rPh>
    <rPh sb="2" eb="4">
      <t>カンキョウ</t>
    </rPh>
    <rPh sb="5" eb="6">
      <t>マモ</t>
    </rPh>
    <phoneticPr fontId="18"/>
  </si>
  <si>
    <t>生物環境の保全と創出に関する配慮をしている（生物環境）</t>
    <rPh sb="22" eb="24">
      <t>セイブツ</t>
    </rPh>
    <rPh sb="24" eb="26">
      <t>カンキョウ</t>
    </rPh>
    <phoneticPr fontId="44"/>
  </si>
  <si>
    <t>4.1生物多様性能の向上
①評価・認証の取得→+2
②取組み表による評価
　1)自然資源の保全→+1
　2)種の多様性→+1
　5)生物資源の管理と利用→+1</t>
    <rPh sb="3" eb="5">
      <t>セイブツ</t>
    </rPh>
    <rPh sb="5" eb="7">
      <t>タヨウ</t>
    </rPh>
    <rPh sb="7" eb="9">
      <t>セイノウ</t>
    </rPh>
    <rPh sb="10" eb="12">
      <t>コウジョウ</t>
    </rPh>
    <phoneticPr fontId="3"/>
  </si>
  <si>
    <t>環境配慮建築のラベリング・認証を活用する</t>
    <rPh sb="0" eb="2">
      <t>カンキョウ</t>
    </rPh>
    <rPh sb="2" eb="4">
      <t>ハイリョ</t>
    </rPh>
    <rPh sb="4" eb="6">
      <t>ケンチク</t>
    </rPh>
    <rPh sb="13" eb="15">
      <t>ニンショウ</t>
    </rPh>
    <rPh sb="16" eb="18">
      <t>カツヨウ</t>
    </rPh>
    <phoneticPr fontId="3"/>
  </si>
  <si>
    <t>12-6</t>
  </si>
  <si>
    <t>持続可能な森林から木材を調達する</t>
    <rPh sb="0" eb="2">
      <t>ジゾク</t>
    </rPh>
    <rPh sb="2" eb="4">
      <t>カノウ</t>
    </rPh>
    <rPh sb="5" eb="7">
      <t>シンリン</t>
    </rPh>
    <rPh sb="9" eb="11">
      <t>モクザイ</t>
    </rPh>
    <rPh sb="12" eb="14">
      <t>チョウタツ</t>
    </rPh>
    <phoneticPr fontId="18"/>
  </si>
  <si>
    <t>持続可能な森林から産出された木材を使用している</t>
    <rPh sb="0" eb="2">
      <t>ジゾク</t>
    </rPh>
    <rPh sb="2" eb="4">
      <t>カノウ</t>
    </rPh>
    <rPh sb="5" eb="7">
      <t>シンリン</t>
    </rPh>
    <rPh sb="9" eb="11">
      <t>サンシュツ</t>
    </rPh>
    <rPh sb="14" eb="16">
      <t>モクザイ</t>
    </rPh>
    <phoneticPr fontId="1"/>
  </si>
  <si>
    <t>躯体材料においてリサイクル材を使用する</t>
    <rPh sb="15" eb="17">
      <t>シヨウ</t>
    </rPh>
    <phoneticPr fontId="18"/>
  </si>
  <si>
    <t>躯体材料以外においてリサイクル材を使用する</t>
    <rPh sb="0" eb="2">
      <t>ユウガイ</t>
    </rPh>
    <rPh sb="2" eb="4">
      <t>ブッシツ</t>
    </rPh>
    <rPh sb="8" eb="10">
      <t>タイサク</t>
    </rPh>
    <phoneticPr fontId="18"/>
  </si>
  <si>
    <t>節水機器を採用する</t>
    <rPh sb="0" eb="2">
      <t>セッスイ</t>
    </rPh>
    <rPh sb="2" eb="4">
      <t>キキ</t>
    </rPh>
    <rPh sb="5" eb="7">
      <t>サイヨウ</t>
    </rPh>
    <phoneticPr fontId="18"/>
  </si>
  <si>
    <t>2.1水使用量(計算値)
使用量算定ソフトで大便器の吐水量が6L/回以下→+2</t>
    <phoneticPr fontId="3"/>
  </si>
  <si>
    <t>廃棄物の発生を抑える</t>
    <rPh sb="0" eb="3">
      <t>ハイキブツ</t>
    </rPh>
    <rPh sb="4" eb="6">
      <t>ハッセイ</t>
    </rPh>
    <rPh sb="7" eb="8">
      <t>オサ</t>
    </rPh>
    <phoneticPr fontId="18"/>
  </si>
  <si>
    <t>地球温暖化対策に関する取組をしている</t>
    <rPh sb="0" eb="2">
      <t>チキュウ</t>
    </rPh>
    <rPh sb="2" eb="5">
      <t>オンダンカ</t>
    </rPh>
    <rPh sb="5" eb="7">
      <t>タイサク</t>
    </rPh>
    <rPh sb="8" eb="9">
      <t>カン</t>
    </rPh>
    <rPh sb="11" eb="13">
      <t>トリクミ</t>
    </rPh>
    <phoneticPr fontId="18"/>
  </si>
  <si>
    <t>地球温暖化対策に関する取組をしている</t>
    <rPh sb="8" eb="9">
      <t>カン</t>
    </rPh>
    <rPh sb="11" eb="13">
      <t>トリクミ</t>
    </rPh>
    <phoneticPr fontId="18"/>
  </si>
  <si>
    <t>快適な室温を確保する</t>
    <rPh sb="0" eb="2">
      <t>カイテキ</t>
    </rPh>
    <rPh sb="3" eb="5">
      <t>シツオン</t>
    </rPh>
    <rPh sb="6" eb="8">
      <t>カクホ</t>
    </rPh>
    <phoneticPr fontId="18"/>
  </si>
  <si>
    <t>耐風・飛来物対策、水害対策、土砂災害対策をする</t>
    <phoneticPr fontId="44"/>
  </si>
  <si>
    <t>敷地内を積極的に緑化する</t>
    <rPh sb="0" eb="2">
      <t>シキチ</t>
    </rPh>
    <rPh sb="2" eb="3">
      <t>ナイ</t>
    </rPh>
    <rPh sb="4" eb="7">
      <t>セッキョクテキ</t>
    </rPh>
    <rPh sb="8" eb="10">
      <t>リョッカ</t>
    </rPh>
    <phoneticPr fontId="18"/>
  </si>
  <si>
    <t>建築が生物環境の保全と創出に関して配慮している</t>
    <rPh sb="0" eb="2">
      <t>ケンチク</t>
    </rPh>
    <rPh sb="3" eb="5">
      <t>セイブツ</t>
    </rPh>
    <rPh sb="5" eb="7">
      <t>カンキョウ</t>
    </rPh>
    <rPh sb="8" eb="10">
      <t>ホゼン</t>
    </rPh>
    <rPh sb="11" eb="13">
      <t>ソウシュツ</t>
    </rPh>
    <rPh sb="14" eb="15">
      <t>カン</t>
    </rPh>
    <rPh sb="17" eb="19">
      <t>ハイリョ</t>
    </rPh>
    <phoneticPr fontId="18"/>
  </si>
  <si>
    <t>土壌汚染を防ぐ</t>
    <phoneticPr fontId="44"/>
  </si>
  <si>
    <t>15-3</t>
  </si>
  <si>
    <t>持続可能な森林から産出された木材の使用に関する工夫をしている</t>
  </si>
  <si>
    <t>17-1</t>
  </si>
  <si>
    <t>持続可能な生産体制の整った建材等の調達に取り組む</t>
    <phoneticPr fontId="3"/>
  </si>
  <si>
    <t>1．エネルギー【加点項目】
ビルオーナーと居住者やテナントが共同して運用エネ削減に取り組む→+2</t>
    <rPh sb="8" eb="10">
      <t>カテン</t>
    </rPh>
    <rPh sb="10" eb="12">
      <t>コウモク</t>
    </rPh>
    <rPh sb="21" eb="24">
      <t>キョジュウシャ</t>
    </rPh>
    <rPh sb="30" eb="32">
      <t>キョウドウ</t>
    </rPh>
    <rPh sb="34" eb="36">
      <t>ウンヨウ</t>
    </rPh>
    <rPh sb="38" eb="40">
      <t>サクゲン</t>
    </rPh>
    <rPh sb="41" eb="42">
      <t>ト</t>
    </rPh>
    <rPh sb="43" eb="44">
      <t>ク</t>
    </rPh>
    <phoneticPr fontId="44"/>
  </si>
  <si>
    <t>取り組んで
いない</t>
    <rPh sb="0" eb="1">
      <t>ト</t>
    </rPh>
    <rPh sb="2" eb="3">
      <t>ク</t>
    </rPh>
    <phoneticPr fontId="44"/>
  </si>
  <si>
    <t>取り組んでいる</t>
    <rPh sb="0" eb="1">
      <t>ト</t>
    </rPh>
    <rPh sb="2" eb="3">
      <t>ク</t>
    </rPh>
    <phoneticPr fontId="44"/>
  </si>
  <si>
    <t>特筆事項</t>
    <rPh sb="0" eb="2">
      <t>トクヒツ</t>
    </rPh>
    <rPh sb="2" eb="4">
      <t>ジコウ</t>
    </rPh>
    <phoneticPr fontId="44"/>
  </si>
  <si>
    <t>加点
要素</t>
    <rPh sb="0" eb="2">
      <t>カテン</t>
    </rPh>
    <rPh sb="3" eb="5">
      <t>ヨウソ</t>
    </rPh>
    <phoneticPr fontId="3"/>
  </si>
  <si>
    <t>オフィス</t>
    <phoneticPr fontId="3"/>
  </si>
  <si>
    <t>3.4.3維持管理
I-8)水回りの衛生、又はII-7)水回りの衛生に該当する場合には、加点要素にチェック</t>
    <rPh sb="5" eb="7">
      <t>イジ</t>
    </rPh>
    <rPh sb="7" eb="9">
      <t>カンリ</t>
    </rPh>
    <rPh sb="14" eb="15">
      <t>ミズ</t>
    </rPh>
    <rPh sb="15" eb="16">
      <t>マワ</t>
    </rPh>
    <rPh sb="18" eb="20">
      <t>エイセイ</t>
    </rPh>
    <rPh sb="21" eb="22">
      <t>マタ</t>
    </rPh>
    <rPh sb="28" eb="29">
      <t>ミズ</t>
    </rPh>
    <rPh sb="29" eb="30">
      <t>マワ</t>
    </rPh>
    <rPh sb="32" eb="34">
      <t>エイセイ</t>
    </rPh>
    <rPh sb="35" eb="37">
      <t>ガイトウ</t>
    </rPh>
    <rPh sb="39" eb="41">
      <t>バアイ</t>
    </rPh>
    <rPh sb="44" eb="46">
      <t>カテン</t>
    </rPh>
    <rPh sb="46" eb="48">
      <t>ヨウソ</t>
    </rPh>
    <phoneticPr fontId="3"/>
  </si>
  <si>
    <t>【物流】【集合住宅】
2.2水使用量(仕様評価)
2)節水型便器に適合する場合には、加点要素にチェック</t>
    <rPh sb="27" eb="30">
      <t>セッスイガタ</t>
    </rPh>
    <rPh sb="30" eb="32">
      <t>ベンキ</t>
    </rPh>
    <phoneticPr fontId="3"/>
  </si>
  <si>
    <t>【物流】【集合住宅】
2.2水使用量(仕様評価)
3)雨水利用の採用（集合住宅の場合には、4)雨水利用の採用）に該当する場合には、加点要素にチェック</t>
    <rPh sb="27" eb="29">
      <t>ウスイ</t>
    </rPh>
    <rPh sb="29" eb="31">
      <t>リヨウ</t>
    </rPh>
    <rPh sb="32" eb="34">
      <t>サイヨウ</t>
    </rPh>
    <rPh sb="35" eb="37">
      <t>シュウゴウ</t>
    </rPh>
    <rPh sb="37" eb="39">
      <t>ジュウタク</t>
    </rPh>
    <rPh sb="40" eb="42">
      <t>バアイ</t>
    </rPh>
    <rPh sb="47" eb="49">
      <t>ウスイ</t>
    </rPh>
    <rPh sb="49" eb="51">
      <t>リヨウ</t>
    </rPh>
    <rPh sb="52" eb="54">
      <t>サイヨウ</t>
    </rPh>
    <rPh sb="56" eb="58">
      <t>ガイトウ</t>
    </rPh>
    <phoneticPr fontId="3"/>
  </si>
  <si>
    <t>4.1生物多様性の向上
①評価・認証の取得(レベル4以上)に該当する場合には、加点要素にチェック</t>
    <rPh sb="26" eb="28">
      <t>イジョウ</t>
    </rPh>
    <rPh sb="30" eb="32">
      <t>ガイトウ</t>
    </rPh>
    <rPh sb="34" eb="36">
      <t>バアイ</t>
    </rPh>
    <rPh sb="39" eb="43">
      <t>カテンヨウソ</t>
    </rPh>
    <phoneticPr fontId="3"/>
  </si>
  <si>
    <t>②取組み表による評価
4)トータルの緑地規模に該当する場合には、加点要素にチェック</t>
    <rPh sb="23" eb="25">
      <t>ガイトウ</t>
    </rPh>
    <rPh sb="27" eb="29">
      <t>バアイ</t>
    </rPh>
    <rPh sb="32" eb="36">
      <t>カテンヨウソ</t>
    </rPh>
    <phoneticPr fontId="3"/>
  </si>
  <si>
    <t>②取組み表による評価
1)自然資源の保全に該当する場合には、加点要素にチェック</t>
    <rPh sb="21" eb="23">
      <t>ガイトウ</t>
    </rPh>
    <rPh sb="25" eb="27">
      <t>バアイ</t>
    </rPh>
    <rPh sb="30" eb="34">
      <t>カテンヨウソ</t>
    </rPh>
    <phoneticPr fontId="3"/>
  </si>
  <si>
    <t>3.4.3維持管理
I-3)業務手順(またはII-3)手順)において、給排水設備の維持管理業務手順書を整備している場合には、加点要素にチェック</t>
    <rPh sb="27" eb="29">
      <t>テジュン</t>
    </rPh>
    <rPh sb="35" eb="38">
      <t>キュウハイスイ</t>
    </rPh>
    <rPh sb="41" eb="43">
      <t>イジ</t>
    </rPh>
    <rPh sb="43" eb="45">
      <t>カンリ</t>
    </rPh>
    <rPh sb="45" eb="47">
      <t>ギョウム</t>
    </rPh>
    <rPh sb="47" eb="49">
      <t>テジュン</t>
    </rPh>
    <rPh sb="49" eb="50">
      <t>ショ</t>
    </rPh>
    <rPh sb="51" eb="53">
      <t>セイビ</t>
    </rPh>
    <rPh sb="57" eb="59">
      <t>バアイ</t>
    </rPh>
    <rPh sb="62" eb="64">
      <t>カテン</t>
    </rPh>
    <rPh sb="64" eb="66">
      <t>ヨウソ</t>
    </rPh>
    <phoneticPr fontId="3"/>
  </si>
  <si>
    <t>1エネルギー【必須項目】
②エネルギー消費量の目標設定
③モニタリングの実施
③運用管理体制の構築
の全てに該当する場合、加点要素にチェック</t>
    <rPh sb="9" eb="11">
      <t>コウモク</t>
    </rPh>
    <rPh sb="51" eb="52">
      <t>スベ</t>
    </rPh>
    <rPh sb="54" eb="56">
      <t>ガイトウ</t>
    </rPh>
    <rPh sb="58" eb="60">
      <t>バアイ</t>
    </rPh>
    <rPh sb="61" eb="65">
      <t>カテンヨウソ</t>
    </rPh>
    <phoneticPr fontId="3"/>
  </si>
  <si>
    <t>3.2.1再生材利用率・地域材・木材利用
①躯体材料において、木材利用により加点にする場合に、加点要素にチェック</t>
    <rPh sb="5" eb="7">
      <t>サイセイ</t>
    </rPh>
    <rPh sb="7" eb="8">
      <t>ザイ</t>
    </rPh>
    <rPh sb="8" eb="11">
      <t>リヨウリツ</t>
    </rPh>
    <rPh sb="12" eb="14">
      <t>チイキ</t>
    </rPh>
    <rPh sb="14" eb="15">
      <t>ザイ</t>
    </rPh>
    <rPh sb="16" eb="18">
      <t>モクザイ</t>
    </rPh>
    <rPh sb="18" eb="20">
      <t>リヨウ</t>
    </rPh>
    <rPh sb="22" eb="24">
      <t>クタイ</t>
    </rPh>
    <rPh sb="24" eb="26">
      <t>ザイリョウ</t>
    </rPh>
    <rPh sb="31" eb="33">
      <t>モクザイ</t>
    </rPh>
    <rPh sb="33" eb="35">
      <t>リヨウ</t>
    </rPh>
    <rPh sb="38" eb="40">
      <t>カテン</t>
    </rPh>
    <rPh sb="43" eb="45">
      <t>バアイ</t>
    </rPh>
    <rPh sb="47" eb="51">
      <t>カテンヨウソ</t>
    </rPh>
    <phoneticPr fontId="3"/>
  </si>
  <si>
    <t>3.2.1再生材利用率・地域材・木材利用
②非構造材料において、木材利用により加点にする場合に、加点要素にチェック</t>
    <rPh sb="5" eb="7">
      <t>サイセイ</t>
    </rPh>
    <rPh sb="7" eb="8">
      <t>ザイ</t>
    </rPh>
    <rPh sb="8" eb="11">
      <t>リヨウリツ</t>
    </rPh>
    <rPh sb="12" eb="14">
      <t>チイキ</t>
    </rPh>
    <rPh sb="14" eb="15">
      <t>ザイ</t>
    </rPh>
    <rPh sb="16" eb="18">
      <t>モクザイ</t>
    </rPh>
    <rPh sb="18" eb="20">
      <t>リヨウ</t>
    </rPh>
    <rPh sb="22" eb="23">
      <t>ヒ</t>
    </rPh>
    <rPh sb="23" eb="25">
      <t>コウゾウ</t>
    </rPh>
    <phoneticPr fontId="3"/>
  </si>
  <si>
    <r>
      <t xml:space="preserve">4.3.1公共交通機関の接近性
</t>
    </r>
    <r>
      <rPr>
        <sz val="9"/>
        <color rgb="FFFF0000"/>
        <rFont val="Yu Gothic Medium"/>
        <family val="3"/>
        <charset val="128"/>
      </rPr>
      <t>レベル3→+1
レベル5→+2</t>
    </r>
    <rPh sb="5" eb="7">
      <t>コウキョウ</t>
    </rPh>
    <rPh sb="7" eb="9">
      <t>コウツウ</t>
    </rPh>
    <rPh sb="9" eb="11">
      <t>キカン</t>
    </rPh>
    <rPh sb="12" eb="14">
      <t>セッキン</t>
    </rPh>
    <rPh sb="14" eb="15">
      <t>セイ</t>
    </rPh>
    <phoneticPr fontId="3"/>
  </si>
  <si>
    <t>②取組み表による評価
2)種の多様性の保全に該当する場合には、加点要素にチェック</t>
    <rPh sb="13" eb="14">
      <t>シュ</t>
    </rPh>
    <rPh sb="15" eb="18">
      <t>タヨウセイ</t>
    </rPh>
    <rPh sb="19" eb="21">
      <t>ホゼン</t>
    </rPh>
    <rPh sb="22" eb="24">
      <t>ガイトウ</t>
    </rPh>
    <rPh sb="26" eb="28">
      <t>バアイ</t>
    </rPh>
    <rPh sb="31" eb="33">
      <t>カテン</t>
    </rPh>
    <rPh sb="33" eb="35">
      <t>ヨウソ</t>
    </rPh>
    <phoneticPr fontId="3"/>
  </si>
  <si>
    <t>②取組み表による評価
5)生物資源の管理と利用に該当する場合には、加点要素にチェック</t>
    <rPh sb="13" eb="15">
      <t>セイブツ</t>
    </rPh>
    <rPh sb="15" eb="17">
      <t>シゲン</t>
    </rPh>
    <rPh sb="18" eb="20">
      <t>カンリ</t>
    </rPh>
    <rPh sb="21" eb="23">
      <t>リヨウ</t>
    </rPh>
    <rPh sb="24" eb="26">
      <t>ガイトウ</t>
    </rPh>
    <rPh sb="28" eb="30">
      <t>バアイ</t>
    </rPh>
    <rPh sb="33" eb="37">
      <t>カテンヨウソ</t>
    </rPh>
    <phoneticPr fontId="3"/>
  </si>
  <si>
    <r>
      <t xml:space="preserve">2.1水使用量（計算値）
使用量算定ソフトで大便器の吐水量が6L/回以下→+2
</t>
    </r>
    <r>
      <rPr>
        <sz val="9"/>
        <color rgb="FFFF0000"/>
        <rFont val="Yu Gothic Medium"/>
        <family val="3"/>
        <charset val="128"/>
      </rPr>
      <t>（全ての便器の吐水量が６L/回以下の場合に加点とする）</t>
    </r>
    <phoneticPr fontId="3"/>
  </si>
  <si>
    <t>3.2.2廃棄物処理負荷抑制
レベル2→+1、レベル３以上→+2</t>
    <rPh sb="5" eb="8">
      <t>ハイキブツ</t>
    </rPh>
    <rPh sb="8" eb="10">
      <t>ショリ</t>
    </rPh>
    <rPh sb="10" eb="12">
      <t>フカ</t>
    </rPh>
    <rPh sb="12" eb="14">
      <t>ヨクセイ</t>
    </rPh>
    <phoneticPr fontId="3"/>
  </si>
  <si>
    <t>3.2.1①木材の加点の工夫
3.2.1②木材の加点の工夫
①と②のレベル大きな方をとる
レベル3→+1、レベル4以上→+2</t>
    <phoneticPr fontId="3"/>
  </si>
  <si>
    <t>6-1の評価結果により自動転記</t>
    <rPh sb="4" eb="6">
      <t>ヒョウカ</t>
    </rPh>
    <rPh sb="6" eb="8">
      <t>ケッカ</t>
    </rPh>
    <rPh sb="11" eb="13">
      <t>ジドウ</t>
    </rPh>
    <rPh sb="13" eb="15">
      <t>テンキ</t>
    </rPh>
    <phoneticPr fontId="3"/>
  </si>
  <si>
    <t xml:space="preserve">3.2.1①木材の加点の工夫
3.2.1②木材の加点の工夫
①と②のレベル大きな方をとる
レベル3→+1、レベル4以上→+2
</t>
    <phoneticPr fontId="3"/>
  </si>
  <si>
    <t>6-2の評価により自動転記</t>
    <rPh sb="4" eb="6">
      <t>ヒョウカ</t>
    </rPh>
    <rPh sb="9" eb="13">
      <t>ジドウテンキ</t>
    </rPh>
    <phoneticPr fontId="3"/>
  </si>
  <si>
    <t>得点欄</t>
    <rPh sb="0" eb="2">
      <t>トクテン</t>
    </rPh>
    <rPh sb="2" eb="3">
      <t>ラン</t>
    </rPh>
    <phoneticPr fontId="3"/>
  </si>
  <si>
    <t>【オフィス(改修)】</t>
    <rPh sb="6" eb="8">
      <t>カイシュウ</t>
    </rPh>
    <phoneticPr fontId="3"/>
  </si>
  <si>
    <t>【集合住宅】</t>
    <rPh sb="1" eb="3">
      <t>シュウゴウ</t>
    </rPh>
    <rPh sb="3" eb="5">
      <t>ジュウタク</t>
    </rPh>
    <phoneticPr fontId="3"/>
  </si>
  <si>
    <t>共同住宅</t>
    <rPh sb="0" eb="2">
      <t>キョウドウ</t>
    </rPh>
    <rPh sb="2" eb="4">
      <t>ジュウタク</t>
    </rPh>
    <phoneticPr fontId="3"/>
  </si>
  <si>
    <t>【店舗(改修)】</t>
    <rPh sb="1" eb="3">
      <t>テンポ</t>
    </rPh>
    <rPh sb="4" eb="6">
      <t>カイシュウ</t>
    </rPh>
    <phoneticPr fontId="3"/>
  </si>
  <si>
    <t>5. 屋内環境(必須項目)
①または③に適合→+2</t>
    <rPh sb="20" eb="22">
      <t>テキゴウ</t>
    </rPh>
    <phoneticPr fontId="3"/>
  </si>
  <si>
    <t>オフィス改修</t>
    <rPh sb="4" eb="6">
      <t>カイシュウ</t>
    </rPh>
    <phoneticPr fontId="3"/>
  </si>
  <si>
    <t>専有部の省エネ対策</t>
    <rPh sb="0" eb="3">
      <t>センユウブ</t>
    </rPh>
    <rPh sb="4" eb="5">
      <t>ショウ</t>
    </rPh>
    <rPh sb="7" eb="9">
      <t>タイサク</t>
    </rPh>
    <phoneticPr fontId="3"/>
  </si>
  <si>
    <t>共用部の評価</t>
    <rPh sb="0" eb="2">
      <t>キョウヨウ</t>
    </rPh>
    <rPh sb="2" eb="3">
      <t>ブ</t>
    </rPh>
    <rPh sb="4" eb="6">
      <t>ヒョウカ</t>
    </rPh>
    <phoneticPr fontId="3"/>
  </si>
  <si>
    <t>自然利用</t>
    <rPh sb="0" eb="2">
      <t>シゼン</t>
    </rPh>
    <rPh sb="2" eb="4">
      <t>リヨウ</t>
    </rPh>
    <phoneticPr fontId="3"/>
  </si>
  <si>
    <t>5.1.1.1</t>
    <phoneticPr fontId="3"/>
  </si>
  <si>
    <t>5.1.1.2</t>
    <phoneticPr fontId="3"/>
  </si>
  <si>
    <t>通風・排熱</t>
    <rPh sb="0" eb="2">
      <t>ツウフウ</t>
    </rPh>
    <rPh sb="3" eb="5">
      <t>ハイネツ</t>
    </rPh>
    <phoneticPr fontId="3"/>
  </si>
  <si>
    <t>5.1.3</t>
    <phoneticPr fontId="3"/>
  </si>
  <si>
    <t>眺望・ゆとり</t>
    <phoneticPr fontId="3"/>
  </si>
  <si>
    <t>健康・快適</t>
    <rPh sb="0" eb="2">
      <t>ケンコウ</t>
    </rPh>
    <rPh sb="3" eb="5">
      <t>カイテキ</t>
    </rPh>
    <phoneticPr fontId="3"/>
  </si>
  <si>
    <t>5.2.1</t>
    <phoneticPr fontId="3"/>
  </si>
  <si>
    <t>暑さ・寒さ</t>
    <rPh sb="0" eb="1">
      <t>アツ</t>
    </rPh>
    <rPh sb="3" eb="4">
      <t>サム</t>
    </rPh>
    <phoneticPr fontId="3"/>
  </si>
  <si>
    <t>5.2.2</t>
    <phoneticPr fontId="3"/>
  </si>
  <si>
    <t>主要な居室の冷房・暖房</t>
    <rPh sb="0" eb="2">
      <t>シュヨウ</t>
    </rPh>
    <rPh sb="3" eb="5">
      <t>キョシツ</t>
    </rPh>
    <rPh sb="6" eb="8">
      <t>レイボウ</t>
    </rPh>
    <rPh sb="9" eb="11">
      <t>ダンボウ</t>
    </rPh>
    <phoneticPr fontId="3"/>
  </si>
  <si>
    <t>5.2.3</t>
    <phoneticPr fontId="3"/>
  </si>
  <si>
    <t>化学汚染物質対策・適切換気</t>
    <rPh sb="0" eb="2">
      <t>カガク</t>
    </rPh>
    <rPh sb="2" eb="4">
      <t>オセン</t>
    </rPh>
    <rPh sb="4" eb="6">
      <t>ブッシツ</t>
    </rPh>
    <rPh sb="6" eb="8">
      <t>タイサク</t>
    </rPh>
    <rPh sb="9" eb="11">
      <t>テキセツ</t>
    </rPh>
    <rPh sb="11" eb="13">
      <t>カンキ</t>
    </rPh>
    <phoneticPr fontId="3"/>
  </si>
  <si>
    <t>5.2.4</t>
    <phoneticPr fontId="3"/>
  </si>
  <si>
    <t>騒音・遮音</t>
    <rPh sb="0" eb="2">
      <t>ソウオン</t>
    </rPh>
    <rPh sb="3" eb="5">
      <t>シャオン</t>
    </rPh>
    <phoneticPr fontId="3"/>
  </si>
  <si>
    <t>改修による屋内環境向上</t>
    <rPh sb="0" eb="2">
      <t>カイシュウ</t>
    </rPh>
    <rPh sb="5" eb="7">
      <t>オクナイ</t>
    </rPh>
    <rPh sb="7" eb="9">
      <t>カンキョウ</t>
    </rPh>
    <rPh sb="9" eb="11">
      <t>コウジョウ</t>
    </rPh>
    <phoneticPr fontId="3"/>
  </si>
  <si>
    <t>対象外</t>
    <rPh sb="0" eb="3">
      <t>タイショウガイ</t>
    </rPh>
    <phoneticPr fontId="3"/>
  </si>
  <si>
    <t>3.4.3維持管理
レベル３以上→＋１
評価する取組み、施設清掃の取組み点：
水回りの衛生（排水口、衛生器具の清掃）で加点を考慮するように修正、Ⅱ建築物衛生法以外も同様
→取組みがある場合＋1加点</t>
    <rPh sb="5" eb="7">
      <t>イジ</t>
    </rPh>
    <rPh sb="7" eb="9">
      <t>カンリ</t>
    </rPh>
    <rPh sb="14" eb="16">
      <t>イジョウ</t>
    </rPh>
    <rPh sb="20" eb="22">
      <t>ヒョウカ</t>
    </rPh>
    <rPh sb="24" eb="26">
      <t>トリク</t>
    </rPh>
    <rPh sb="28" eb="30">
      <t>シセツ</t>
    </rPh>
    <rPh sb="30" eb="32">
      <t>セイソウ</t>
    </rPh>
    <rPh sb="33" eb="35">
      <t>トリク</t>
    </rPh>
    <rPh sb="36" eb="37">
      <t>テン</t>
    </rPh>
    <rPh sb="39" eb="40">
      <t>ミズ</t>
    </rPh>
    <rPh sb="40" eb="41">
      <t>マワ</t>
    </rPh>
    <rPh sb="43" eb="45">
      <t>エイセイ</t>
    </rPh>
    <rPh sb="46" eb="49">
      <t>ハイスイコウ</t>
    </rPh>
    <rPh sb="50" eb="52">
      <t>エイセイ</t>
    </rPh>
    <rPh sb="52" eb="54">
      <t>キグ</t>
    </rPh>
    <rPh sb="55" eb="57">
      <t>セイソウ</t>
    </rPh>
    <rPh sb="59" eb="61">
      <t>カテン</t>
    </rPh>
    <rPh sb="62" eb="64">
      <t>コウリョ</t>
    </rPh>
    <rPh sb="69" eb="71">
      <t>シュウセイ</t>
    </rPh>
    <rPh sb="86" eb="88">
      <t>トリク</t>
    </rPh>
    <rPh sb="92" eb="94">
      <t>バアイ</t>
    </rPh>
    <rPh sb="96" eb="98">
      <t>カテン</t>
    </rPh>
    <phoneticPr fontId="44"/>
  </si>
  <si>
    <r>
      <t>3.4.3維持管理
レベル３以上→＋１
評価する取組み、施設清掃の取組み点：
水回りの衛生（排水口、衛生器具の清掃）で加点を考慮するように修正、Ⅱ建築物衛生法以外も同様</t>
    </r>
    <r>
      <rPr>
        <sz val="9"/>
        <color rgb="FFFF0000"/>
        <rFont val="Yu Gothic Medium"/>
        <family val="3"/>
        <charset val="128"/>
      </rPr>
      <t>（集合住宅では共用部のみ評価対象）</t>
    </r>
    <r>
      <rPr>
        <sz val="9"/>
        <rFont val="Yu Gothic Medium"/>
        <family val="3"/>
        <charset val="128"/>
      </rPr>
      <t xml:space="preserve">
→取組みがある場合＋1加点</t>
    </r>
    <rPh sb="113" eb="115">
      <t>カテン</t>
    </rPh>
    <phoneticPr fontId="3"/>
  </si>
  <si>
    <t>【集合住宅】
2.2水使用量(仕様評価)
3)節湯器具に該当する場合には、加点要素にチェック</t>
    <rPh sb="23" eb="24">
      <t>セツ</t>
    </rPh>
    <rPh sb="24" eb="25">
      <t>ユ</t>
    </rPh>
    <rPh sb="25" eb="27">
      <t>キグ</t>
    </rPh>
    <rPh sb="28" eb="30">
      <t>ガイトウ</t>
    </rPh>
    <rPh sb="32" eb="34">
      <t>バアイ</t>
    </rPh>
    <rPh sb="37" eb="41">
      <t>カテンヨウソ</t>
    </rPh>
    <phoneticPr fontId="3"/>
  </si>
  <si>
    <t>【物流】【集合住宅】
2.2水使用量(仕様評価)
1)水栓類の節水に適合する場合には、加点要素にチェック</t>
    <rPh sb="1" eb="3">
      <t>ブツリュウ</t>
    </rPh>
    <rPh sb="5" eb="7">
      <t>シュウゴウ</t>
    </rPh>
    <rPh sb="7" eb="9">
      <t>ジュウタク</t>
    </rPh>
    <rPh sb="14" eb="15">
      <t>ミズ</t>
    </rPh>
    <rPh sb="15" eb="17">
      <t>シヨウ</t>
    </rPh>
    <rPh sb="17" eb="18">
      <t>リョウ</t>
    </rPh>
    <rPh sb="19" eb="21">
      <t>シヨウ</t>
    </rPh>
    <rPh sb="21" eb="23">
      <t>ヒョウカ</t>
    </rPh>
    <rPh sb="27" eb="29">
      <t>スイセン</t>
    </rPh>
    <rPh sb="29" eb="30">
      <t>ルイ</t>
    </rPh>
    <rPh sb="31" eb="33">
      <t>セッスイ</t>
    </rPh>
    <rPh sb="34" eb="36">
      <t>テキゴウ</t>
    </rPh>
    <rPh sb="38" eb="40">
      <t>バアイ</t>
    </rPh>
    <rPh sb="43" eb="45">
      <t>カテン</t>
    </rPh>
    <rPh sb="45" eb="47">
      <t>ヨウソ</t>
    </rPh>
    <phoneticPr fontId="3"/>
  </si>
  <si>
    <t>3.4.3維持管理
レベル3以上→＋１
評価する取組みに施設清掃の取組み点を追加：水回りの衛生（排水口、衛生器具の清掃）→＋1加点</t>
    <rPh sb="14" eb="16">
      <t>イジョウ</t>
    </rPh>
    <rPh sb="38" eb="40">
      <t>ツイカ</t>
    </rPh>
    <rPh sb="63" eb="65">
      <t>カテン</t>
    </rPh>
    <phoneticPr fontId="3"/>
  </si>
  <si>
    <t>1.1エネルギー使用（計算値）
→22点以上で＋2、18点以上で＋1
1.2エネルギー（実績値）
→レベル4以上で＋2、レベル3以上で＋1
1.1と1.2の得点を25：５で加重平均</t>
    <rPh sb="8" eb="10">
      <t>シヨウ</t>
    </rPh>
    <rPh sb="11" eb="14">
      <t>ケイサンチ</t>
    </rPh>
    <rPh sb="19" eb="20">
      <t>テン</t>
    </rPh>
    <rPh sb="20" eb="22">
      <t>イジョウ</t>
    </rPh>
    <rPh sb="28" eb="29">
      <t>テン</t>
    </rPh>
    <rPh sb="29" eb="31">
      <t>イジョウ</t>
    </rPh>
    <rPh sb="54" eb="56">
      <t>イジョウ</t>
    </rPh>
    <rPh sb="64" eb="66">
      <t>イジョウ</t>
    </rPh>
    <rPh sb="78" eb="80">
      <t>トクテン</t>
    </rPh>
    <rPh sb="86" eb="88">
      <t>カジュウ</t>
    </rPh>
    <rPh sb="88" eb="90">
      <t>ヘイキン</t>
    </rPh>
    <phoneticPr fontId="3"/>
  </si>
  <si>
    <t>1.1エネルギー使用・排出原単位(計算値)
→22点以上で＋2、18点以上で＋1</t>
    <rPh sb="8" eb="10">
      <t>シヨウ</t>
    </rPh>
    <rPh sb="11" eb="13">
      <t>ハイシュツ</t>
    </rPh>
    <rPh sb="13" eb="16">
      <t>ゲンタンイ</t>
    </rPh>
    <rPh sb="17" eb="20">
      <t>ケイサンチ</t>
    </rPh>
    <rPh sb="25" eb="28">
      <t>テンイジョウ</t>
    </rPh>
    <rPh sb="34" eb="35">
      <t>テン</t>
    </rPh>
    <rPh sb="35" eb="37">
      <t>イジョウ</t>
    </rPh>
    <phoneticPr fontId="3"/>
  </si>
  <si>
    <t>1.4自然エネルギー
レベル3→+1
レベル4,5→+2</t>
  </si>
  <si>
    <t>1.1.エネルギー使用（計算値）と1.2.エネルギー使用（実績値）のCO2排出欄の記載がある場合に、7-1の点数で評価</t>
    <rPh sb="46" eb="48">
      <t>バアイ</t>
    </rPh>
    <rPh sb="54" eb="56">
      <t>テンスウ</t>
    </rPh>
    <rPh sb="57" eb="59">
      <t>ヒョウカ</t>
    </rPh>
    <phoneticPr fontId="3"/>
  </si>
  <si>
    <t>1.1.エネルギー使用（計算値）のCO2排出欄の記載がある場合に、7-1の点数で評価</t>
    <rPh sb="29" eb="31">
      <t>バアイ</t>
    </rPh>
    <rPh sb="37" eb="39">
      <t>テンスウ</t>
    </rPh>
    <rPh sb="40" eb="42">
      <t>ヒョウカ</t>
    </rPh>
    <phoneticPr fontId="3"/>
  </si>
  <si>
    <t>3.2.1再生材利用率・地域材・木材利用
①躯体材料におけるリサイクル材の使用
→既存建築躯体を使用している場合には、加点要素にチェック</t>
    <rPh sb="5" eb="7">
      <t>サイセイ</t>
    </rPh>
    <rPh sb="7" eb="8">
      <t>ザイ</t>
    </rPh>
    <rPh sb="8" eb="11">
      <t>リヨウリツ</t>
    </rPh>
    <rPh sb="12" eb="14">
      <t>チイキ</t>
    </rPh>
    <rPh sb="14" eb="15">
      <t>ザイ</t>
    </rPh>
    <rPh sb="16" eb="18">
      <t>モクザイ</t>
    </rPh>
    <rPh sb="18" eb="20">
      <t>リヨウ</t>
    </rPh>
    <rPh sb="22" eb="24">
      <t>クタイ</t>
    </rPh>
    <rPh sb="24" eb="26">
      <t>ザイリョウ</t>
    </rPh>
    <rPh sb="35" eb="36">
      <t>ザイ</t>
    </rPh>
    <rPh sb="37" eb="39">
      <t>シヨウ</t>
    </rPh>
    <rPh sb="41" eb="43">
      <t>キソン</t>
    </rPh>
    <rPh sb="43" eb="45">
      <t>ケンチク</t>
    </rPh>
    <rPh sb="45" eb="47">
      <t>クタイ</t>
    </rPh>
    <rPh sb="48" eb="50">
      <t>シヨウ</t>
    </rPh>
    <rPh sb="54" eb="56">
      <t>バアイ</t>
    </rPh>
    <rPh sb="59" eb="61">
      <t>カテン</t>
    </rPh>
    <rPh sb="61" eb="63">
      <t>ヨウソ</t>
    </rPh>
    <phoneticPr fontId="3"/>
  </si>
  <si>
    <r>
      <t xml:space="preserve">3.2.1再生材利用率・地域材・木材利用
①躯体材料におけるリサイクル材の使用
既存建築躯体を含める評価基準の修正
</t>
    </r>
    <r>
      <rPr>
        <sz val="9"/>
        <color rgb="FFFF0000"/>
        <rFont val="Yu Gothic Medium"/>
        <family val="3"/>
        <charset val="128"/>
      </rPr>
      <t>→既存建築躯体を使用している場合＋１</t>
    </r>
    <phoneticPr fontId="3"/>
  </si>
  <si>
    <t>3.2.1再生材利用率・地域材・木材利用
①躯体材料におけるリサイクル材の使用
レベル4以上→＋1</t>
    <rPh sb="5" eb="7">
      <t>サイセイ</t>
    </rPh>
    <rPh sb="7" eb="8">
      <t>ザイ</t>
    </rPh>
    <rPh sb="8" eb="11">
      <t>リヨウリツ</t>
    </rPh>
    <rPh sb="12" eb="14">
      <t>チイキ</t>
    </rPh>
    <rPh sb="14" eb="15">
      <t>ザイ</t>
    </rPh>
    <rPh sb="16" eb="18">
      <t>モクザイ</t>
    </rPh>
    <rPh sb="18" eb="20">
      <t>リヨウ</t>
    </rPh>
    <rPh sb="22" eb="24">
      <t>クタイ</t>
    </rPh>
    <rPh sb="24" eb="26">
      <t>ザイリョウ</t>
    </rPh>
    <rPh sb="35" eb="36">
      <t>ザイ</t>
    </rPh>
    <rPh sb="37" eb="39">
      <t>シヨウ</t>
    </rPh>
    <rPh sb="44" eb="46">
      <t>イジョウ</t>
    </rPh>
    <phoneticPr fontId="3"/>
  </si>
  <si>
    <t>2.2水使用量（仕様評価）
1)水栓類の節水→+1
2)節水型便器→+1
3)節湯器具等→+1</t>
    <rPh sb="3" eb="4">
      <t>ミズ</t>
    </rPh>
    <rPh sb="4" eb="6">
      <t>シヨウ</t>
    </rPh>
    <rPh sb="6" eb="7">
      <t>リョウ</t>
    </rPh>
    <rPh sb="8" eb="10">
      <t>シヨウ</t>
    </rPh>
    <rPh sb="10" eb="12">
      <t>ヒョウカ</t>
    </rPh>
    <rPh sb="16" eb="18">
      <t>スイセン</t>
    </rPh>
    <rPh sb="18" eb="19">
      <t>ルイ</t>
    </rPh>
    <rPh sb="20" eb="22">
      <t>セッスイ</t>
    </rPh>
    <rPh sb="28" eb="31">
      <t>セッスイガタ</t>
    </rPh>
    <rPh sb="31" eb="33">
      <t>ベンキ</t>
    </rPh>
    <phoneticPr fontId="3"/>
  </si>
  <si>
    <t>吉澤・高井</t>
    <rPh sb="0" eb="2">
      <t>ヨシザワ</t>
    </rPh>
    <rPh sb="3" eb="5">
      <t>タカイ</t>
    </rPh>
    <phoneticPr fontId="3"/>
  </si>
  <si>
    <t>建築物移動等円滑化基準を満たした上で、全ての人が不自由なく建築物を利用することができる工夫をしている</t>
    <phoneticPr fontId="3"/>
  </si>
  <si>
    <t>雨水、雑排水の利用に関する取組をしている</t>
    <phoneticPr fontId="3"/>
  </si>
  <si>
    <t>省エネ性能の高い設備機器を採用をしている</t>
    <phoneticPr fontId="3"/>
  </si>
  <si>
    <t>1エネルギー【必須】
②エネルギー消費量の目標設定
③モニタリングの実施
④運用管理体制の構築
の確認→+2</t>
    <phoneticPr fontId="3"/>
  </si>
  <si>
    <t>電気設備の信頼性向上に向けた取組をしている
（非常用発電設備・無停電電源設備を備えているか、地下空間への設置を避けているか等）</t>
    <phoneticPr fontId="3"/>
  </si>
  <si>
    <t>○○ショッピングセンター</t>
    <phoneticPr fontId="3"/>
  </si>
  <si>
    <t>○○マンション</t>
    <phoneticPr fontId="3"/>
  </si>
  <si>
    <t>○○ショッピングセンター</t>
    <phoneticPr fontId="3"/>
  </si>
  <si>
    <t>（加点する場合には特筆事項を記入）</t>
    <rPh sb="1" eb="3">
      <t>カテン</t>
    </rPh>
    <rPh sb="5" eb="7">
      <t>バアイ</t>
    </rPh>
    <rPh sb="9" eb="11">
      <t>トクヒツ</t>
    </rPh>
    <rPh sb="11" eb="13">
      <t>ジコウ</t>
    </rPh>
    <rPh sb="14" eb="16">
      <t>キニュウ</t>
    </rPh>
    <phoneticPr fontId="3"/>
  </si>
  <si>
    <t>積極的に取り組んでいる</t>
    <rPh sb="0" eb="3">
      <t>セッキョクテキ</t>
    </rPh>
    <rPh sb="4" eb="5">
      <t>ト</t>
    </rPh>
    <rPh sb="6" eb="7">
      <t>ク</t>
    </rPh>
    <phoneticPr fontId="44"/>
  </si>
  <si>
    <t>←評価する建物の用途の入力(プルダウンメニュー)</t>
    <rPh sb="1" eb="3">
      <t>ヒョウカ</t>
    </rPh>
    <rPh sb="5" eb="7">
      <t>タテモノ</t>
    </rPh>
    <rPh sb="8" eb="10">
      <t>ヨウト</t>
    </rPh>
    <rPh sb="11" eb="13">
      <t>ニュウリョク</t>
    </rPh>
    <phoneticPr fontId="3"/>
  </si>
  <si>
    <t>5.1.2通風・排熱　レベル2→＋1、レベル3→+2</t>
    <rPh sb="5" eb="7">
      <t>ツウフウ</t>
    </rPh>
    <rPh sb="8" eb="10">
      <t>ハイネツ</t>
    </rPh>
    <phoneticPr fontId="3"/>
  </si>
  <si>
    <t>5.2.3化学汚染物質対策・適切換気
レベル2→＋2</t>
    <rPh sb="5" eb="7">
      <t>カガク</t>
    </rPh>
    <rPh sb="7" eb="9">
      <t>オセン</t>
    </rPh>
    <rPh sb="9" eb="11">
      <t>ブッシツ</t>
    </rPh>
    <rPh sb="11" eb="13">
      <t>タイサク</t>
    </rPh>
    <rPh sb="14" eb="16">
      <t>テキセツ</t>
    </rPh>
    <rPh sb="16" eb="18">
      <t>カンキ</t>
    </rPh>
    <phoneticPr fontId="3"/>
  </si>
  <si>
    <t>3.4.4バリアフリー計画
レベル2,3で→＋１、レベル4,5で→＋2</t>
    <rPh sb="11" eb="13">
      <t>ケイカク</t>
    </rPh>
    <phoneticPr fontId="3"/>
  </si>
  <si>
    <t>既存建築躯体を再利用している</t>
    <phoneticPr fontId="3"/>
  </si>
  <si>
    <t>建築躯体等を継続して使用する</t>
    <phoneticPr fontId="3"/>
  </si>
  <si>
    <t>←SDGs評価を選択しない場合の選択</t>
    <rPh sb="5" eb="7">
      <t>ヒョウカ</t>
    </rPh>
    <rPh sb="8" eb="10">
      <t>センタク</t>
    </rPh>
    <rPh sb="13" eb="15">
      <t>バアイ</t>
    </rPh>
    <rPh sb="16" eb="18">
      <t>センタク</t>
    </rPh>
    <phoneticPr fontId="3"/>
  </si>
  <si>
    <t>建築物衛生管理基準に準拠して室内の温度、湿度、浮遊粉じん、一酸化炭素、二酸化炭素を管理している</t>
    <rPh sb="0" eb="3">
      <t>ケンチクブツ</t>
    </rPh>
    <rPh sb="3" eb="5">
      <t>エイセイ</t>
    </rPh>
    <rPh sb="5" eb="7">
      <t>カンリ</t>
    </rPh>
    <rPh sb="7" eb="9">
      <t>キジュン</t>
    </rPh>
    <rPh sb="10" eb="12">
      <t>ジュンキョ</t>
    </rPh>
    <rPh sb="14" eb="16">
      <t>シツナイ</t>
    </rPh>
    <rPh sb="17" eb="19">
      <t>オンド</t>
    </rPh>
    <rPh sb="20" eb="22">
      <t>シツド</t>
    </rPh>
    <rPh sb="23" eb="25">
      <t>フユウ</t>
    </rPh>
    <rPh sb="25" eb="26">
      <t>フン</t>
    </rPh>
    <rPh sb="29" eb="32">
      <t>イッサンカ</t>
    </rPh>
    <rPh sb="32" eb="34">
      <t>タンソ</t>
    </rPh>
    <rPh sb="35" eb="38">
      <t>ニサンカ</t>
    </rPh>
    <rPh sb="38" eb="40">
      <t>タンソ</t>
    </rPh>
    <rPh sb="41" eb="43">
      <t>カンリ</t>
    </rPh>
    <phoneticPr fontId="44"/>
  </si>
  <si>
    <t>汚水を正しく処理する</t>
    <phoneticPr fontId="3"/>
  </si>
  <si>
    <t>建物運用時における廃棄物の発生抑制、分別措置、減容・減量化の取組をしている</t>
    <phoneticPr fontId="3"/>
  </si>
  <si>
    <t>5.1.2通風・排熱
レベル2以上→＋2</t>
    <rPh sb="5" eb="7">
      <t>ツウフウ</t>
    </rPh>
    <rPh sb="8" eb="10">
      <t>ハイネツ</t>
    </rPh>
    <rPh sb="15" eb="17">
      <t>イジョウ</t>
    </rPh>
    <phoneticPr fontId="3"/>
  </si>
  <si>
    <t>5.2.3化学汚染物質対策・適切換気
レベル2以上→＋2</t>
    <rPh sb="5" eb="7">
      <t>カガク</t>
    </rPh>
    <rPh sb="7" eb="9">
      <t>オセン</t>
    </rPh>
    <rPh sb="9" eb="11">
      <t>ブッシツ</t>
    </rPh>
    <rPh sb="11" eb="13">
      <t>タイサク</t>
    </rPh>
    <rPh sb="14" eb="16">
      <t>テキセツ</t>
    </rPh>
    <rPh sb="16" eb="18">
      <t>カンキ</t>
    </rPh>
    <phoneticPr fontId="3"/>
  </si>
  <si>
    <r>
      <t xml:space="preserve">5.1.2通風・排熱
</t>
    </r>
    <r>
      <rPr>
        <sz val="9"/>
        <color rgb="FFFF0000"/>
        <rFont val="Yu Gothic Medium"/>
        <family val="3"/>
        <charset val="128"/>
      </rPr>
      <t>レベル2以上→＋2</t>
    </r>
    <rPh sb="5" eb="7">
      <t>ツウフウ</t>
    </rPh>
    <rPh sb="8" eb="10">
      <t>ハイネツ</t>
    </rPh>
    <rPh sb="15" eb="17">
      <t>イジョウ</t>
    </rPh>
    <phoneticPr fontId="3"/>
  </si>
  <si>
    <t>3.4.1主要設備の更新必要間隔
長期保全計画書を作成している場合は、加点要素にチェック</t>
    <rPh sb="5" eb="7">
      <t>シュヨウ</t>
    </rPh>
    <rPh sb="7" eb="9">
      <t>セツビ</t>
    </rPh>
    <rPh sb="10" eb="12">
      <t>コウシン</t>
    </rPh>
    <rPh sb="12" eb="14">
      <t>ヒツヨウ</t>
    </rPh>
    <rPh sb="14" eb="16">
      <t>カンカク</t>
    </rPh>
    <rPh sb="17" eb="19">
      <t>チョウキ</t>
    </rPh>
    <rPh sb="19" eb="21">
      <t>ホゼン</t>
    </rPh>
    <rPh sb="21" eb="23">
      <t>ケイカク</t>
    </rPh>
    <rPh sb="23" eb="24">
      <t>ショ</t>
    </rPh>
    <rPh sb="25" eb="27">
      <t>サクセイ</t>
    </rPh>
    <rPh sb="31" eb="33">
      <t>バアイ</t>
    </rPh>
    <rPh sb="35" eb="37">
      <t>カテン</t>
    </rPh>
    <rPh sb="37" eb="39">
      <t>ヨウソ</t>
    </rPh>
    <phoneticPr fontId="3"/>
  </si>
  <si>
    <t>←加重平均のためｓ小数点以下あり</t>
    <rPh sb="1" eb="3">
      <t>カジュウ</t>
    </rPh>
    <rPh sb="3" eb="5">
      <t>ヘイキン</t>
    </rPh>
    <rPh sb="9" eb="12">
      <t>ショウスウテン</t>
    </rPh>
    <rPh sb="12" eb="14">
      <t>イカ</t>
    </rPh>
    <phoneticPr fontId="3"/>
  </si>
  <si>
    <t>3-2</t>
    <phoneticPr fontId="3"/>
  </si>
  <si>
    <t>3-3</t>
    <phoneticPr fontId="3"/>
  </si>
  <si>
    <t>4-1</t>
    <phoneticPr fontId="3"/>
  </si>
  <si>
    <t>4-2</t>
    <phoneticPr fontId="3"/>
  </si>
  <si>
    <t>4-3</t>
    <phoneticPr fontId="3"/>
  </si>
  <si>
    <t>4-4</t>
  </si>
  <si>
    <t>5-1</t>
    <phoneticPr fontId="3"/>
  </si>
  <si>
    <t>5-2</t>
    <phoneticPr fontId="3"/>
  </si>
  <si>
    <t>6-1</t>
    <phoneticPr fontId="3"/>
  </si>
  <si>
    <t>6-3</t>
    <phoneticPr fontId="3"/>
  </si>
  <si>
    <t>6-4</t>
    <phoneticPr fontId="3"/>
  </si>
  <si>
    <t>6-5</t>
    <phoneticPr fontId="3"/>
  </si>
  <si>
    <t>6-6</t>
    <phoneticPr fontId="3"/>
  </si>
  <si>
    <t>7-1</t>
    <phoneticPr fontId="3"/>
  </si>
  <si>
    <t>7-2</t>
    <phoneticPr fontId="3"/>
  </si>
  <si>
    <t>8-1</t>
    <phoneticPr fontId="3"/>
  </si>
  <si>
    <t>8-2</t>
    <phoneticPr fontId="3"/>
  </si>
  <si>
    <t>8-8</t>
  </si>
  <si>
    <t>9-1</t>
    <phoneticPr fontId="3"/>
  </si>
  <si>
    <t>9-2</t>
    <phoneticPr fontId="3"/>
  </si>
  <si>
    <t>11-3</t>
    <phoneticPr fontId="3"/>
  </si>
  <si>
    <t>11-4</t>
    <phoneticPr fontId="3"/>
  </si>
  <si>
    <t>12-1</t>
    <phoneticPr fontId="3"/>
  </si>
  <si>
    <t>12-2</t>
    <phoneticPr fontId="3"/>
  </si>
  <si>
    <t>12-3</t>
  </si>
  <si>
    <t>12-7</t>
  </si>
  <si>
    <t>12-8</t>
  </si>
  <si>
    <t>12-9</t>
  </si>
  <si>
    <t>13-1</t>
    <phoneticPr fontId="3"/>
  </si>
  <si>
    <t>13-4</t>
    <phoneticPr fontId="3"/>
  </si>
  <si>
    <t>13-5</t>
    <phoneticPr fontId="3"/>
  </si>
  <si>
    <t>13-6</t>
    <phoneticPr fontId="3"/>
  </si>
  <si>
    <t>15-1</t>
    <phoneticPr fontId="3"/>
  </si>
  <si>
    <t>15-2</t>
    <phoneticPr fontId="3"/>
  </si>
  <si>
    <t>17-2</t>
    <phoneticPr fontId="3"/>
  </si>
  <si>
    <t>8-10の評価により自動転記</t>
    <rPh sb="5" eb="7">
      <t>ヒョウカ</t>
    </rPh>
    <rPh sb="10" eb="14">
      <t>ジドウテンキ</t>
    </rPh>
    <phoneticPr fontId="3"/>
  </si>
  <si>
    <t>8-7の評価により自動転記</t>
    <rPh sb="4" eb="6">
      <t>ヒョウカ</t>
    </rPh>
    <rPh sb="9" eb="11">
      <t>ジドウ</t>
    </rPh>
    <rPh sb="11" eb="13">
      <t>テンキ</t>
    </rPh>
    <phoneticPr fontId="3"/>
  </si>
  <si>
    <t>8-10の評価により自動転記</t>
    <rPh sb="5" eb="7">
      <t>ヒョウカ</t>
    </rPh>
    <rPh sb="10" eb="12">
      <t>ジドウ</t>
    </rPh>
    <rPh sb="12" eb="14">
      <t>テンキ</t>
    </rPh>
    <phoneticPr fontId="3"/>
  </si>
  <si>
    <t>得点</t>
    <rPh sb="0" eb="2">
      <t>トクテン</t>
    </rPh>
    <phoneticPr fontId="3"/>
  </si>
  <si>
    <t>ゴール1の内容はゴール12 等に集約されています</t>
  </si>
  <si>
    <t>ゴール2の内容はゴール12 等に集約されています</t>
    <phoneticPr fontId="3"/>
  </si>
  <si>
    <t>ゴール 2.
飢餓をゼロに</t>
    <phoneticPr fontId="3"/>
  </si>
  <si>
    <t>本評価で対象とする用途</t>
    <rPh sb="0" eb="1">
      <t>ホン</t>
    </rPh>
    <rPh sb="1" eb="3">
      <t>ヒョウカ</t>
    </rPh>
    <rPh sb="4" eb="6">
      <t>タイショウ</t>
    </rPh>
    <rPh sb="9" eb="11">
      <t>ヨウト</t>
    </rPh>
    <phoneticPr fontId="3"/>
  </si>
  <si>
    <t>本評価の実施有無</t>
    <rPh sb="0" eb="1">
      <t>ホン</t>
    </rPh>
    <rPh sb="1" eb="3">
      <t>ヒョウカ</t>
    </rPh>
    <rPh sb="4" eb="6">
      <t>ジッシ</t>
    </rPh>
    <rPh sb="6" eb="8">
      <t>ウム</t>
    </rPh>
    <phoneticPr fontId="3"/>
  </si>
  <si>
    <t>ゴール 1.
貧困を
なくそう</t>
    <rPh sb="7" eb="9">
      <t>ヒンコン</t>
    </rPh>
    <phoneticPr fontId="44"/>
  </si>
  <si>
    <t>ゴール 3.
すべての人に健康と福祉を</t>
    <phoneticPr fontId="44"/>
  </si>
  <si>
    <t>ゴール 4. 
質の高い教育をみんなに</t>
    <phoneticPr fontId="44"/>
  </si>
  <si>
    <t>ゴール 5. 
ジェンダー
平等を実現
しよう</t>
    <phoneticPr fontId="44"/>
  </si>
  <si>
    <t>ゴール 6.
安全な水と
トイレを
世界中に</t>
    <phoneticPr fontId="44"/>
  </si>
  <si>
    <t>ゴール 7.
エネルギーをみんなに
そして
クリーンに</t>
    <phoneticPr fontId="44"/>
  </si>
  <si>
    <t>ゴール 8.
働きがいも
経済成長も</t>
    <phoneticPr fontId="44"/>
  </si>
  <si>
    <r>
      <t xml:space="preserve">ゴール 9.
</t>
    </r>
    <r>
      <rPr>
        <sz val="8.8000000000000007"/>
        <color theme="1"/>
        <rFont val="Yu Gothic Medium"/>
        <family val="3"/>
        <charset val="128"/>
      </rPr>
      <t>産業と
技術革新の
基盤を
つくろう</t>
    </r>
    <rPh sb="11" eb="13">
      <t>ギジュツ</t>
    </rPh>
    <phoneticPr fontId="44"/>
  </si>
  <si>
    <t>ゴール 10.
人や国の
不平等を
なくそう</t>
    <phoneticPr fontId="44"/>
  </si>
  <si>
    <t>ゴール 11.
住み続け
られる
まちづくりを</t>
    <rPh sb="8" eb="9">
      <t>ス</t>
    </rPh>
    <rPh sb="10" eb="11">
      <t>ツヅ</t>
    </rPh>
    <phoneticPr fontId="44"/>
  </si>
  <si>
    <t>ゴール 12.
つくる責任
つかう責任</t>
    <phoneticPr fontId="44"/>
  </si>
  <si>
    <t>ゴール 13.
気候変動に
具体的な
対策を</t>
    <phoneticPr fontId="44"/>
  </si>
  <si>
    <t>ゴール 14.
海の豊かさを守ろう</t>
    <phoneticPr fontId="44"/>
  </si>
  <si>
    <t>ゴール 15.
陸の豊かさを守ろう</t>
    <phoneticPr fontId="44"/>
  </si>
  <si>
    <t>ゴール 16.
平和と公正をすべての人に</t>
    <phoneticPr fontId="44"/>
  </si>
  <si>
    <t>ゴール 17.
パートナーシップで目標を達成しよう</t>
    <phoneticPr fontId="44"/>
  </si>
  <si>
    <t>ゴール4</t>
  </si>
  <si>
    <t>ゴール5</t>
  </si>
  <si>
    <t>ゴール6</t>
  </si>
  <si>
    <t>ゴール7</t>
  </si>
  <si>
    <t>ゴール8</t>
  </si>
  <si>
    <t>ゴール9</t>
  </si>
  <si>
    <t>ゴール3</t>
  </si>
  <si>
    <t>ゴール11</t>
    <phoneticPr fontId="3"/>
  </si>
  <si>
    <t>ゴール12</t>
    <phoneticPr fontId="3"/>
  </si>
  <si>
    <t>ゴール13</t>
    <phoneticPr fontId="3"/>
  </si>
  <si>
    <t>ゴール15</t>
    <phoneticPr fontId="3"/>
  </si>
  <si>
    <t>ゴール17</t>
    <phoneticPr fontId="3"/>
  </si>
  <si>
    <t>ゴール11</t>
  </si>
  <si>
    <t>ゴール12</t>
  </si>
  <si>
    <t>ゴール13</t>
  </si>
  <si>
    <t>ゴール15</t>
  </si>
  <si>
    <t>ゴール17</t>
  </si>
  <si>
    <t>SDGsRank</t>
  </si>
  <si>
    <t>SDGsRank(Ring)</t>
  </si>
  <si>
    <t>(BlankRing)</t>
  </si>
  <si>
    <t>スコア</t>
    <phoneticPr fontId="3"/>
  </si>
  <si>
    <t>店舗改修</t>
    <rPh sb="0" eb="2">
      <t>テンポ</t>
    </rPh>
    <rPh sb="2" eb="4">
      <t>カイシュウ</t>
    </rPh>
    <phoneticPr fontId="3"/>
  </si>
  <si>
    <t>表示有無</t>
    <rPh sb="0" eb="2">
      <t>ヒョウジ</t>
    </rPh>
    <rPh sb="2" eb="4">
      <t>ウム</t>
    </rPh>
    <phoneticPr fontId="3"/>
  </si>
  <si>
    <t>ゴール10の内容はゴール5 等に集約されています</t>
    <phoneticPr fontId="3"/>
  </si>
  <si>
    <t>ゴール16の内容はゴール12 等に集約されています</t>
    <phoneticPr fontId="3"/>
  </si>
  <si>
    <t>ゴール14の内容はゴール12 等に集約されています</t>
    <phoneticPr fontId="3"/>
  </si>
  <si>
    <t>8-11</t>
    <phoneticPr fontId="3"/>
  </si>
  <si>
    <t>8-12</t>
    <phoneticPr fontId="3"/>
  </si>
  <si>
    <t>雨水流出を抑制する工夫をしている（貯留槽、浸透桝等）</t>
    <rPh sb="17" eb="20">
      <t>チョリュウソウ</t>
    </rPh>
    <rPh sb="21" eb="23">
      <t>シントウ</t>
    </rPh>
    <rPh sb="23" eb="24">
      <t>マス</t>
    </rPh>
    <rPh sb="24" eb="25">
      <t>ナド</t>
    </rPh>
    <phoneticPr fontId="3"/>
  </si>
  <si>
    <t>以下の取組に取り組んでいる（該当項目2つ以上）、部分的に取り組んでいる（該当項目1つ）、取り組んでいない（該当項目0）
○知的生産性を高めるという観点を考慮して計画・整備した作業スペースの有無
○フォーマル、インフォーマルなコミュニケーションのスぺースの有無
○リフレッシュスペース等の確保</t>
    <phoneticPr fontId="3"/>
  </si>
  <si>
    <t>主要設備機器の更新・交換などの必要間隔を長くするための工夫をしている。修繕・更新費の平準化に資する取組</t>
    <rPh sb="0" eb="2">
      <t>シュヨウ</t>
    </rPh>
    <rPh sb="2" eb="4">
      <t>セツビ</t>
    </rPh>
    <phoneticPr fontId="44"/>
  </si>
  <si>
    <t>良好なパートナーシップ</t>
    <phoneticPr fontId="1"/>
  </si>
  <si>
    <t>以下の取組に取り組んでいる
○建物関係者による省エネパートナーシップ</t>
    <rPh sb="15" eb="17">
      <t>タテモノ</t>
    </rPh>
    <rPh sb="17" eb="20">
      <t>カンケイシャ</t>
    </rPh>
    <rPh sb="23" eb="24">
      <t>ショウ</t>
    </rPh>
    <phoneticPr fontId="44"/>
  </si>
  <si>
    <t>環境配慮建築を示すラベリング・認証制度を積極的に活用し、取得している、または取得予定である。
（CASBEE-不動産、CASBEE-建築、CASBEEウェルネスオフィス、BELS、ZEBのいずれかの認証）</t>
    <phoneticPr fontId="18"/>
  </si>
  <si>
    <t>適切な湿度管理をする</t>
    <rPh sb="0" eb="2">
      <t>テキセツ</t>
    </rPh>
    <rPh sb="3" eb="5">
      <t>シツド</t>
    </rPh>
    <rPh sb="5" eb="7">
      <t>カンリ</t>
    </rPh>
    <phoneticPr fontId="3"/>
  </si>
  <si>
    <t>3-9</t>
    <phoneticPr fontId="3"/>
  </si>
  <si>
    <t>3-10</t>
    <phoneticPr fontId="3"/>
  </si>
  <si>
    <t>快適な室温を確保する</t>
    <rPh sb="0" eb="2">
      <t>カイテキ</t>
    </rPh>
    <phoneticPr fontId="3"/>
  </si>
  <si>
    <t>室内の明るさを高める</t>
    <rPh sb="3" eb="4">
      <t>アカ</t>
    </rPh>
    <phoneticPr fontId="3"/>
  </si>
  <si>
    <t>3.4.3維持管理
評価する取組み、3)業務手順、設備管理における業務標準手順書で加点を考慮するように修正、Ⅱ建築物衛生法以外も同様
→＋2</t>
    <phoneticPr fontId="3"/>
  </si>
  <si>
    <t>建築環境SDGs(不動産)チェックリスト</t>
    <rPh sb="0" eb="2">
      <t>ケンチク</t>
    </rPh>
    <rPh sb="2" eb="4">
      <t>カンキョウ</t>
    </rPh>
    <rPh sb="9" eb="12">
      <t>フドウサン</t>
    </rPh>
    <phoneticPr fontId="3"/>
  </si>
  <si>
    <t>防犯対策を施す</t>
    <rPh sb="0" eb="2">
      <t>ボウハン</t>
    </rPh>
    <rPh sb="2" eb="4">
      <t>タイサク</t>
    </rPh>
    <rPh sb="5" eb="6">
      <t>ホドコ</t>
    </rPh>
    <phoneticPr fontId="3"/>
  </si>
  <si>
    <t>　建築環境SDGsチェックリスト評価結果</t>
    <rPh sb="1" eb="3">
      <t>ケンチク</t>
    </rPh>
    <rPh sb="3" eb="5">
      <t>カンキョウ</t>
    </rPh>
    <rPh sb="16" eb="18">
      <t>ヒョウカ</t>
    </rPh>
    <rPh sb="18" eb="20">
      <t>ケッカ</t>
    </rPh>
    <phoneticPr fontId="44"/>
  </si>
  <si>
    <t>事務所</t>
    <phoneticPr fontId="44"/>
  </si>
  <si>
    <t>館内の環境に関する管理者への職業教育を整備している場合には、加点要素にチェック</t>
    <rPh sb="0" eb="2">
      <t>カンナイ</t>
    </rPh>
    <rPh sb="3" eb="5">
      <t>カンキョウ</t>
    </rPh>
    <rPh sb="6" eb="7">
      <t>カン</t>
    </rPh>
    <rPh sb="9" eb="12">
      <t>カンリシャ</t>
    </rPh>
    <rPh sb="14" eb="16">
      <t>ショクギョウ</t>
    </rPh>
    <rPh sb="16" eb="18">
      <t>キョウイク</t>
    </rPh>
    <rPh sb="19" eb="21">
      <t>セイビ</t>
    </rPh>
    <rPh sb="25" eb="27">
      <t>バアイ</t>
    </rPh>
    <rPh sb="30" eb="32">
      <t>カテン</t>
    </rPh>
    <rPh sb="32" eb="34">
      <t>ヨウソ</t>
    </rPh>
    <phoneticPr fontId="3"/>
  </si>
  <si>
    <t>統計平均値</t>
    <rPh sb="0" eb="2">
      <t>トウケイ</t>
    </rPh>
    <rPh sb="2" eb="5">
      <t>ヘイキンチ</t>
    </rPh>
    <phoneticPr fontId="3"/>
  </si>
  <si>
    <t>物販店舗</t>
    <rPh sb="0" eb="2">
      <t>ブッパン</t>
    </rPh>
    <rPh sb="2" eb="4">
      <t>テンポ</t>
    </rPh>
    <phoneticPr fontId="3"/>
  </si>
  <si>
    <t>飲食店舗</t>
    <rPh sb="0" eb="2">
      <t>インショク</t>
    </rPh>
    <rPh sb="2" eb="4">
      <t>テンポ</t>
    </rPh>
    <phoneticPr fontId="3"/>
  </si>
  <si>
    <t>デパート・スーパー</t>
    <phoneticPr fontId="3"/>
  </si>
  <si>
    <t>家電量販店</t>
    <rPh sb="0" eb="2">
      <t>カデン</t>
    </rPh>
    <rPh sb="2" eb="5">
      <t>リョウハンテン</t>
    </rPh>
    <phoneticPr fontId="3"/>
  </si>
  <si>
    <t>コンビニエンス・ストア</t>
    <phoneticPr fontId="3"/>
  </si>
  <si>
    <t>その他</t>
    <rPh sb="2" eb="3">
      <t>タ</t>
    </rPh>
    <phoneticPr fontId="3"/>
  </si>
  <si>
    <t>2,000㎡未満</t>
    <rPh sb="6" eb="8">
      <t>ミマン</t>
    </rPh>
    <phoneticPr fontId="3"/>
  </si>
  <si>
    <t>2,000～10,000㎡</t>
    <phoneticPr fontId="3"/>
  </si>
  <si>
    <t>10,000㎡以上</t>
    <rPh sb="7" eb="9">
      <t>イジョウ</t>
    </rPh>
    <phoneticPr fontId="3"/>
  </si>
  <si>
    <t>店舗の事務管理エリア</t>
    <rPh sb="0" eb="2">
      <t>テンポ</t>
    </rPh>
    <rPh sb="3" eb="5">
      <t>ジム</t>
    </rPh>
    <rPh sb="5" eb="7">
      <t>カンリ</t>
    </rPh>
    <phoneticPr fontId="3"/>
  </si>
  <si>
    <t>10,000～30,000㎡</t>
    <phoneticPr fontId="3"/>
  </si>
  <si>
    <t>30,000㎡以上</t>
    <rPh sb="7" eb="9">
      <t>イジョウ</t>
    </rPh>
    <phoneticPr fontId="3"/>
  </si>
  <si>
    <t>↑店舗全体の一次エネルギー消費量の実績値（MJ/㎡年）を入力</t>
    <rPh sb="1" eb="3">
      <t>テンポ</t>
    </rPh>
    <rPh sb="3" eb="5">
      <t>ゼンタイ</t>
    </rPh>
    <rPh sb="6" eb="8">
      <t>イチジ</t>
    </rPh>
    <rPh sb="13" eb="16">
      <t>ショウヒリョウ</t>
    </rPh>
    <rPh sb="17" eb="20">
      <t>ジッセキチ</t>
    </rPh>
    <rPh sb="25" eb="26">
      <t>ネン</t>
    </rPh>
    <rPh sb="28" eb="30">
      <t>ニュウリョク</t>
    </rPh>
    <phoneticPr fontId="3"/>
  </si>
  <si>
    <t>統計平均値</t>
    <rPh sb="0" eb="2">
      <t>トウケイ</t>
    </rPh>
    <rPh sb="2" eb="4">
      <t>ヘイキン</t>
    </rPh>
    <rPh sb="4" eb="5">
      <t>チ</t>
    </rPh>
    <phoneticPr fontId="3"/>
  </si>
  <si>
    <t>↑店舗全体の水消費量の実績値（L/㎡年）を入力</t>
    <rPh sb="1" eb="3">
      <t>テンポ</t>
    </rPh>
    <rPh sb="3" eb="5">
      <t>ゼンタイ</t>
    </rPh>
    <rPh sb="6" eb="7">
      <t>ミズ</t>
    </rPh>
    <rPh sb="7" eb="10">
      <t>ショウヒリョウ</t>
    </rPh>
    <rPh sb="11" eb="14">
      <t>ジッセキチ</t>
    </rPh>
    <rPh sb="18" eb="19">
      <t>ネン</t>
    </rPh>
    <rPh sb="21" eb="23">
      <t>ニュウリョク</t>
    </rPh>
    <phoneticPr fontId="3"/>
  </si>
  <si>
    <t>←用途別に評価結果（15～25点）を入力(注)</t>
    <rPh sb="1" eb="3">
      <t>ヨウト</t>
    </rPh>
    <rPh sb="3" eb="4">
      <t>ベツ</t>
    </rPh>
    <rPh sb="5" eb="7">
      <t>ヒョウカ</t>
    </rPh>
    <rPh sb="7" eb="9">
      <t>ケッカ</t>
    </rPh>
    <rPh sb="15" eb="16">
      <t>テン</t>
    </rPh>
    <rPh sb="18" eb="20">
      <t>ニュウリョク</t>
    </rPh>
    <rPh sb="21" eb="22">
      <t>チュウ</t>
    </rPh>
    <phoneticPr fontId="3"/>
  </si>
  <si>
    <t>←用途別に評価結果（1～5点）を入力(注)</t>
    <rPh sb="1" eb="3">
      <t>ヨウト</t>
    </rPh>
    <rPh sb="3" eb="4">
      <t>ベツ</t>
    </rPh>
    <rPh sb="5" eb="7">
      <t>ヒョウカ</t>
    </rPh>
    <rPh sb="7" eb="9">
      <t>ケッカ</t>
    </rPh>
    <rPh sb="13" eb="14">
      <t>テン</t>
    </rPh>
    <rPh sb="16" eb="18">
      <t>ニュウリョク</t>
    </rPh>
    <rPh sb="19" eb="20">
      <t>チュウ</t>
    </rPh>
    <phoneticPr fontId="3"/>
  </si>
  <si>
    <t>以下の取組みに取り組んでいない（該当項目なし）、取り組んでいる（該当項目1つ）、積極的に取り組んでいる（該当項目2つ以上）
〇集合住宅の住戸において、独立した学習スペースがある
〇集合住宅の住戸において、共用スペースの中に学習スペース・学習コーナーを配置している
〇集合住宅の住戸において、家族のステージ変化に合わせて活用できる学習スペースの工夫がある
〇集合住宅の共用部に学習スペース・学習コーナーがある</t>
    <phoneticPr fontId="3"/>
  </si>
  <si>
    <t>雨水・雑排水を利用する</t>
    <rPh sb="0" eb="2">
      <t>アマミズ</t>
    </rPh>
    <rPh sb="3" eb="6">
      <t>ザツハイスイ</t>
    </rPh>
    <rPh sb="7" eb="9">
      <t>リヨウ</t>
    </rPh>
    <phoneticPr fontId="18"/>
  </si>
  <si>
    <t>雨水の浸透に努める</t>
    <rPh sb="0" eb="2">
      <t>アマミズ</t>
    </rPh>
    <rPh sb="3" eb="5">
      <t>シントウ</t>
    </rPh>
    <rPh sb="6" eb="7">
      <t>ツト</t>
    </rPh>
    <phoneticPr fontId="18"/>
  </si>
  <si>
    <t>以下の取組みに取り組んでいない（該当項目なし）、取り組んでいる（該当項目1つ）、積極的に取り組んでいる（該当項目2つ以上）
○太陽光発電等と連携する蓄電池
○EV・PHV等の充電設備の設置
○蓄熱槽等の設置</t>
    <phoneticPr fontId="3"/>
  </si>
  <si>
    <t>以下の取組みに取り組んでいない（該当項目なし）、取り組んでいる（該当項目1つ）、積極的に取り組んでいる（該当項目2つ以上）
〇太陽熱利用（温水利用）等
〇太陽光利用（電力利用）等
〇未利用熱利用（地中熱利用/井水利用/河川水利用ヒートポンプ）等
〇その他（バイオマス、他）</t>
    <phoneticPr fontId="44"/>
  </si>
  <si>
    <t>蓄エネに取り組む</t>
    <rPh sb="4" eb="5">
      <t>ト</t>
    </rPh>
    <rPh sb="6" eb="7">
      <t>ク</t>
    </rPh>
    <phoneticPr fontId="18"/>
  </si>
  <si>
    <t>創エネに取り組む</t>
    <rPh sb="0" eb="1">
      <t>ソウ</t>
    </rPh>
    <rPh sb="4" eb="5">
      <t>ト</t>
    </rPh>
    <rPh sb="6" eb="7">
      <t>ク</t>
    </rPh>
    <phoneticPr fontId="18"/>
  </si>
  <si>
    <t>ZEH、ZEB化に取り組む</t>
    <phoneticPr fontId="3"/>
  </si>
  <si>
    <t>以下の取組みに取り組んでいない（該当項目なし）、取り組んでいる（該当項目1つ）
○ZEB Ready以上の取組みがなされている（集合住宅は対象外）</t>
    <phoneticPr fontId="3"/>
  </si>
  <si>
    <t>以下の取組に取り組んでいる
○エネルギー消費量の目標設定
○モニタリングの実施
○運用管理体制の構築</t>
    <rPh sb="41" eb="43">
      <t>ウンヨウ</t>
    </rPh>
    <rPh sb="43" eb="45">
      <t>カンリ</t>
    </rPh>
    <rPh sb="45" eb="47">
      <t>タイセイ</t>
    </rPh>
    <rPh sb="48" eb="50">
      <t>コウチク</t>
    </rPh>
    <phoneticPr fontId="44"/>
  </si>
  <si>
    <t>コミュニケーションスペースを確保する</t>
    <phoneticPr fontId="3"/>
  </si>
  <si>
    <t>以下の取組みに取り組んでいない（該当項目なし）、取り組んでいる（該当項目1つ）、積極的に取り組んでいる（該当項目2つ以上）
○知的生産性を高めるという観点を考慮して計画・整備した集中しやすいスペースの有無
○知的生産性を高めるという観点を考慮して計画・整備したフォーマルなコミュニケーションスペースの有無
○知的生産性を高めるという観点を考慮して計画・整備したインフォーマルなコミュニケーションスペースの有無</t>
    <phoneticPr fontId="3"/>
  </si>
  <si>
    <t>レジリエントデザインの導入</t>
    <phoneticPr fontId="3"/>
  </si>
  <si>
    <t>設備（電力等）の自給率向上に関する取組みを行っている</t>
    <rPh sb="14" eb="15">
      <t>カン</t>
    </rPh>
    <rPh sb="17" eb="19">
      <t>トリク</t>
    </rPh>
    <rPh sb="21" eb="22">
      <t>オコナ</t>
    </rPh>
    <phoneticPr fontId="3"/>
  </si>
  <si>
    <t>3.4.2設備(電力等の自給率向上)
レベル3→＋1
レベル4，5→＋2</t>
    <rPh sb="5" eb="7">
      <t>セツビ</t>
    </rPh>
    <rPh sb="8" eb="10">
      <t>デンリョク</t>
    </rPh>
    <rPh sb="10" eb="11">
      <t>トウ</t>
    </rPh>
    <rPh sb="12" eb="15">
      <t>ジキュウリツ</t>
    </rPh>
    <rPh sb="15" eb="17">
      <t>コウジョウ</t>
    </rPh>
    <phoneticPr fontId="3"/>
  </si>
  <si>
    <t>新設</t>
    <rPh sb="0" eb="2">
      <t>シンセツ</t>
    </rPh>
    <phoneticPr fontId="3"/>
  </si>
  <si>
    <t>ローコスト化、ランニングコストの低減に向け、環境性能を確保する</t>
    <rPh sb="5" eb="6">
      <t>カ</t>
    </rPh>
    <rPh sb="16" eb="18">
      <t>テイゲン</t>
    </rPh>
    <rPh sb="19" eb="20">
      <t>ム</t>
    </rPh>
    <rPh sb="22" eb="24">
      <t>カンキョウ</t>
    </rPh>
    <rPh sb="24" eb="26">
      <t>セイノウ</t>
    </rPh>
    <rPh sb="27" eb="29">
      <t>カクホ</t>
    </rPh>
    <phoneticPr fontId="3"/>
  </si>
  <si>
    <t>敷地のハザードを確認する</t>
    <rPh sb="0" eb="2">
      <t>シキチ</t>
    </rPh>
    <rPh sb="8" eb="10">
      <t>カクニン</t>
    </rPh>
    <phoneticPr fontId="18"/>
  </si>
  <si>
    <t>地域資源の活用に取り組む</t>
    <phoneticPr fontId="3"/>
  </si>
  <si>
    <t>地域性のある素材の使用（構造材、内装材、外装材、外構等へ）に関する工夫をしている</t>
    <phoneticPr fontId="3"/>
  </si>
  <si>
    <t>地域性のある素材の使用（構造材、内装材、外装材、外構等）を行っている場合には、加点要素にチェックする</t>
    <rPh sb="29" eb="30">
      <t>オコナ</t>
    </rPh>
    <rPh sb="34" eb="36">
      <t>バアイ</t>
    </rPh>
    <rPh sb="39" eb="41">
      <t>カテン</t>
    </rPh>
    <rPh sb="41" eb="43">
      <t>ヨウソ</t>
    </rPh>
    <phoneticPr fontId="3"/>
  </si>
  <si>
    <t>新規</t>
    <rPh sb="0" eb="2">
      <t>シンキ</t>
    </rPh>
    <phoneticPr fontId="3"/>
  </si>
  <si>
    <t>定期点検</t>
    <rPh sb="0" eb="2">
      <t>テイキ</t>
    </rPh>
    <rPh sb="2" eb="4">
      <t>テンケン</t>
    </rPh>
    <phoneticPr fontId="18"/>
  </si>
  <si>
    <t>維持管理において環境配慮の取組みを行っている</t>
    <rPh sb="0" eb="2">
      <t>イジ</t>
    </rPh>
    <rPh sb="2" eb="4">
      <t>カンリ</t>
    </rPh>
    <rPh sb="8" eb="10">
      <t>カンキョウ</t>
    </rPh>
    <rPh sb="10" eb="12">
      <t>ハイリョ</t>
    </rPh>
    <rPh sb="13" eb="15">
      <t>トリク</t>
    </rPh>
    <rPh sb="17" eb="18">
      <t>オコナ</t>
    </rPh>
    <phoneticPr fontId="3"/>
  </si>
  <si>
    <t>3.4.3維持管理
レベル3→＋1
レベル4，5→＋2</t>
    <rPh sb="5" eb="7">
      <t>イジ</t>
    </rPh>
    <rPh sb="7" eb="9">
      <t>カンリ</t>
    </rPh>
    <phoneticPr fontId="3"/>
  </si>
  <si>
    <t>地域性のある材料を使用している場合（チェック項目）→＋1</t>
    <rPh sb="0" eb="3">
      <t>チイキセイ</t>
    </rPh>
    <rPh sb="6" eb="8">
      <t>ザイリョウ</t>
    </rPh>
    <rPh sb="9" eb="11">
      <t>シヨウ</t>
    </rPh>
    <rPh sb="15" eb="17">
      <t>バアイ</t>
    </rPh>
    <rPh sb="22" eb="24">
      <t>コウモク</t>
    </rPh>
    <phoneticPr fontId="3"/>
  </si>
  <si>
    <t>周辺の熱的影響を低減する</t>
    <phoneticPr fontId="3"/>
  </si>
  <si>
    <t>以下の項目に積極的に取り組んでいる（該当項目2つ以上）、取組んでいる（該当項目1つ）、取組んでいない（0項目）
○今後増大する可能性のある強風被害に対する備えを行っている（建築基準法以上の設計、合わせガラス・雨戸・シャッター等の開口部の飛来物対策）
○今後増大する可能性のある水害に対する備えを行っている（被災の可能性が低い地域、電気設備等の配慮、避難方法の確認）
○今後増大する可能性のある土砂災害に対する備えを行っている　（被災の可能性が低い地域、避難方法の確認）
○災害時の高齢者等弱者の避難への対応（余裕を持った避難勧告の実施、移動方法、薬等の準備 等）</t>
    <rPh sb="0" eb="2">
      <t>イカ</t>
    </rPh>
    <rPh sb="3" eb="5">
      <t>コウモク</t>
    </rPh>
    <rPh sb="6" eb="9">
      <t>セッキョクテキ</t>
    </rPh>
    <rPh sb="18" eb="20">
      <t>ガイトウ</t>
    </rPh>
    <rPh sb="20" eb="22">
      <t>コウモク</t>
    </rPh>
    <rPh sb="24" eb="26">
      <t>イジョウ</t>
    </rPh>
    <rPh sb="28" eb="30">
      <t>トリク</t>
    </rPh>
    <rPh sb="35" eb="37">
      <t>ガイトウ</t>
    </rPh>
    <rPh sb="37" eb="39">
      <t>コウモク</t>
    </rPh>
    <rPh sb="43" eb="45">
      <t>トリク</t>
    </rPh>
    <rPh sb="52" eb="54">
      <t>コウモク</t>
    </rPh>
    <rPh sb="254" eb="256">
      <t>ヨユウ</t>
    </rPh>
    <rPh sb="257" eb="258">
      <t>モ</t>
    </rPh>
    <rPh sb="260" eb="262">
      <t>ヒナン</t>
    </rPh>
    <rPh sb="262" eb="264">
      <t>カンコク</t>
    </rPh>
    <rPh sb="265" eb="267">
      <t>ジッシ</t>
    </rPh>
    <rPh sb="268" eb="270">
      <t>イドウ</t>
    </rPh>
    <rPh sb="270" eb="272">
      <t>ホウホウ</t>
    </rPh>
    <rPh sb="279" eb="280">
      <t>トウ</t>
    </rPh>
    <phoneticPr fontId="44"/>
  </si>
  <si>
    <t>3-8</t>
    <phoneticPr fontId="3"/>
  </si>
  <si>
    <t>3-4</t>
    <phoneticPr fontId="3"/>
  </si>
  <si>
    <t>3-5</t>
    <phoneticPr fontId="3"/>
  </si>
  <si>
    <t>3-6</t>
    <phoneticPr fontId="3"/>
  </si>
  <si>
    <t>3-7</t>
    <phoneticPr fontId="3"/>
  </si>
  <si>
    <t>7-5</t>
    <phoneticPr fontId="3"/>
  </si>
  <si>
    <t>7-6</t>
    <phoneticPr fontId="3"/>
  </si>
  <si>
    <t>7-7</t>
    <phoneticPr fontId="3"/>
  </si>
  <si>
    <t>7-8</t>
    <phoneticPr fontId="3"/>
  </si>
  <si>
    <t>7-9</t>
    <phoneticPr fontId="3"/>
  </si>
  <si>
    <t>8-3</t>
    <phoneticPr fontId="3"/>
  </si>
  <si>
    <t>8-4</t>
    <phoneticPr fontId="3"/>
  </si>
  <si>
    <t>8-5</t>
    <phoneticPr fontId="3"/>
  </si>
  <si>
    <t>8-6</t>
    <phoneticPr fontId="3"/>
  </si>
  <si>
    <t>9-3</t>
    <phoneticPr fontId="3"/>
  </si>
  <si>
    <t>9-4</t>
    <phoneticPr fontId="3"/>
  </si>
  <si>
    <t>9-5</t>
    <phoneticPr fontId="3"/>
  </si>
  <si>
    <t>9-6</t>
    <phoneticPr fontId="3"/>
  </si>
  <si>
    <t>11-5</t>
    <phoneticPr fontId="3"/>
  </si>
  <si>
    <t>11-6</t>
    <phoneticPr fontId="3"/>
  </si>
  <si>
    <t>11-7</t>
    <phoneticPr fontId="3"/>
  </si>
  <si>
    <t>11-8</t>
    <phoneticPr fontId="3"/>
  </si>
  <si>
    <t>11-9</t>
    <phoneticPr fontId="3"/>
  </si>
  <si>
    <t>12-4</t>
    <phoneticPr fontId="3"/>
  </si>
  <si>
    <t>12-5</t>
    <phoneticPr fontId="3"/>
  </si>
  <si>
    <t>12-10</t>
    <phoneticPr fontId="3"/>
  </si>
  <si>
    <t>12-11</t>
    <phoneticPr fontId="3"/>
  </si>
  <si>
    <t>12-12</t>
    <phoneticPr fontId="3"/>
  </si>
  <si>
    <t>12-13</t>
    <phoneticPr fontId="3"/>
  </si>
  <si>
    <t>12-14</t>
    <phoneticPr fontId="3"/>
  </si>
  <si>
    <t>13-2</t>
    <phoneticPr fontId="3"/>
  </si>
  <si>
    <t>13-3</t>
    <phoneticPr fontId="3"/>
  </si>
  <si>
    <t>15-4</t>
    <phoneticPr fontId="3"/>
  </si>
  <si>
    <t>3.4.4バリアフリー対策
レベル2,3→+1
レベル4以上→+2</t>
    <phoneticPr fontId="3"/>
  </si>
  <si>
    <t>集合住宅は対象外とするか？
→オフィスのある施設ということで対象外</t>
    <rPh sb="0" eb="2">
      <t>シュウゴウ</t>
    </rPh>
    <rPh sb="2" eb="4">
      <t>ジュウタク</t>
    </rPh>
    <rPh sb="5" eb="8">
      <t>タイショウガイ</t>
    </rPh>
    <rPh sb="22" eb="24">
      <t>シセツ</t>
    </rPh>
    <rPh sb="30" eb="33">
      <t>タイショウガイ</t>
    </rPh>
    <phoneticPr fontId="3"/>
  </si>
  <si>
    <t>集合住宅は対象外とするか？
→集合住宅には管理組合や自治会のためのコミュニケーションスペースは存在するが、対象外としてよい</t>
    <rPh sb="0" eb="2">
      <t>シュウゴウ</t>
    </rPh>
    <rPh sb="2" eb="4">
      <t>ジュウタク</t>
    </rPh>
    <rPh sb="5" eb="8">
      <t>タイショウガイ</t>
    </rPh>
    <rPh sb="15" eb="19">
      <t>シュウゴウジュウタク</t>
    </rPh>
    <rPh sb="21" eb="25">
      <t>カンリクミアイ</t>
    </rPh>
    <rPh sb="26" eb="29">
      <t>ジチカイ</t>
    </rPh>
    <rPh sb="47" eb="49">
      <t>ソンザイ</t>
    </rPh>
    <rPh sb="53" eb="56">
      <t>タイショウガイ</t>
    </rPh>
    <phoneticPr fontId="3"/>
  </si>
  <si>
    <t>旧11-5(躯体材料を長く使う)を削除し、旧11-6(主要設備機器を長く使う)をレジリエントデザインの内容に修正。旧11-6を残す必要はありますか？→残す</t>
    <rPh sb="0" eb="1">
      <t>キュウ</t>
    </rPh>
    <rPh sb="6" eb="8">
      <t>クタイ</t>
    </rPh>
    <rPh sb="8" eb="10">
      <t>ザイリョウ</t>
    </rPh>
    <rPh sb="11" eb="12">
      <t>ナガ</t>
    </rPh>
    <rPh sb="13" eb="14">
      <t>ツカ</t>
    </rPh>
    <rPh sb="17" eb="19">
      <t>サクジョ</t>
    </rPh>
    <rPh sb="21" eb="22">
      <t>キュウ</t>
    </rPh>
    <rPh sb="27" eb="29">
      <t>シュヨウ</t>
    </rPh>
    <rPh sb="29" eb="31">
      <t>セツビ</t>
    </rPh>
    <rPh sb="31" eb="33">
      <t>キキ</t>
    </rPh>
    <rPh sb="34" eb="35">
      <t>ナガ</t>
    </rPh>
    <rPh sb="36" eb="37">
      <t>ツカ</t>
    </rPh>
    <rPh sb="51" eb="53">
      <t>ナイヨウ</t>
    </rPh>
    <rPh sb="54" eb="56">
      <t>シュウセイ</t>
    </rPh>
    <rPh sb="57" eb="58">
      <t>キュウ</t>
    </rPh>
    <rPh sb="63" eb="64">
      <t>ノコ</t>
    </rPh>
    <rPh sb="65" eb="67">
      <t>ヒツヨウ</t>
    </rPh>
    <rPh sb="75" eb="76">
      <t>ノコ</t>
    </rPh>
    <phoneticPr fontId="3"/>
  </si>
  <si>
    <t>旧13-6(主要設備機器を長く使う)を残す必要はありますか？→ゴール13の主旨から残さない</t>
    <rPh sb="0" eb="1">
      <t>キュウ</t>
    </rPh>
    <rPh sb="6" eb="8">
      <t>シュヨウ</t>
    </rPh>
    <rPh sb="8" eb="10">
      <t>セツビ</t>
    </rPh>
    <rPh sb="10" eb="12">
      <t>キキ</t>
    </rPh>
    <rPh sb="13" eb="14">
      <t>ナガ</t>
    </rPh>
    <rPh sb="15" eb="16">
      <t>ツカ</t>
    </rPh>
    <rPh sb="19" eb="20">
      <t>ノコ</t>
    </rPh>
    <rPh sb="21" eb="23">
      <t>ヒツヨウ</t>
    </rPh>
    <rPh sb="37" eb="39">
      <t>シュシ</t>
    </rPh>
    <rPh sb="41" eb="42">
      <t>ノコ</t>
    </rPh>
    <phoneticPr fontId="3"/>
  </si>
  <si>
    <t>高井修正</t>
    <rPh sb="0" eb="2">
      <t>タカイ</t>
    </rPh>
    <rPh sb="2" eb="4">
      <t>シュウセイ</t>
    </rPh>
    <phoneticPr fontId="3"/>
  </si>
  <si>
    <t>以下の取組に取り組んでいる（該当項目2つ）、部分的に取り組んでいる（該当項目1つ）、取り組んでいない（該当項目0）
○入居者への建物の省エネ状況や取組みの通知
○来館者、入居者への建物の省エネ状況や取組みの表示</t>
    <rPh sb="59" eb="62">
      <t>ニュウキョシャ</t>
    </rPh>
    <rPh sb="64" eb="66">
      <t>タテモノ</t>
    </rPh>
    <rPh sb="67" eb="68">
      <t>ショウ</t>
    </rPh>
    <rPh sb="70" eb="72">
      <t>ジョウキョウ</t>
    </rPh>
    <rPh sb="73" eb="75">
      <t>トリク</t>
    </rPh>
    <rPh sb="77" eb="79">
      <t>ツウチ</t>
    </rPh>
    <phoneticPr fontId="44"/>
  </si>
  <si>
    <t>以下の取組みに取り組んでいない（該当項目なし）、取り組んでいる（該当項目1つ）、積極的に取り組んでいる（該当項目2つ以上）
1) 家事負担の軽減・キッチン等の複数人で家事を行いやすい空間計画（複数の家事動線、複数人作
業への対応）・洗濯干し導線をコンパクトにする工夫（隣接している、同一フロア等）
2) 子育て負担の軽減・乳幼児の事故・けが等に配慮した建具等・乳幼児に目の届きやすい空間の配慮
3) 介護負担の軽減・介護時の移動の容易性への配慮（トイレ、リビング、お出かけ、庭）（建具の有効幅 3枚引戸 段差処理の工夫、介護対応改修への備え）・介護者が介添えできる空間確保（トイレ、浴室、ベッド回り等）</t>
    <phoneticPr fontId="3"/>
  </si>
  <si>
    <t>土壌汚染を防ぐ</t>
    <phoneticPr fontId="3"/>
  </si>
  <si>
    <t>3.4.1主要設備機器の更新必要間隔
レベル3→+1
レベル4,5→+2</t>
    <rPh sb="5" eb="7">
      <t>シュヨウ</t>
    </rPh>
    <rPh sb="7" eb="9">
      <t>セツビ</t>
    </rPh>
    <rPh sb="9" eb="11">
      <t>キキ</t>
    </rPh>
    <rPh sb="12" eb="14">
      <t>コウシン</t>
    </rPh>
    <rPh sb="14" eb="16">
      <t>ヒツヨウ</t>
    </rPh>
    <rPh sb="16" eb="18">
      <t>カンカク</t>
    </rPh>
    <phoneticPr fontId="3"/>
  </si>
  <si>
    <t>旧11-6を復活</t>
    <rPh sb="0" eb="1">
      <t>キュウ</t>
    </rPh>
    <rPh sb="6" eb="8">
      <t>フッカツ</t>
    </rPh>
    <phoneticPr fontId="3"/>
  </si>
  <si>
    <t>雨水・雑排水を利用する</t>
    <rPh sb="0" eb="2">
      <t>ウスイ</t>
    </rPh>
    <rPh sb="3" eb="6">
      <t>ザツハイスイ</t>
    </rPh>
    <rPh sb="7" eb="9">
      <t>リヨウ</t>
    </rPh>
    <phoneticPr fontId="3"/>
  </si>
  <si>
    <t>11-10</t>
    <phoneticPr fontId="3"/>
  </si>
  <si>
    <t>8-8の評価により自動転記</t>
    <rPh sb="4" eb="6">
      <t>ヒョウカ</t>
    </rPh>
    <rPh sb="9" eb="11">
      <t>ジドウ</t>
    </rPh>
    <rPh sb="11" eb="13">
      <t>テンキ</t>
    </rPh>
    <phoneticPr fontId="3"/>
  </si>
  <si>
    <t>8-9の評価により自動転記</t>
    <rPh sb="4" eb="6">
      <t>ヒョウカ</t>
    </rPh>
    <rPh sb="9" eb="11">
      <t>ジドウ</t>
    </rPh>
    <rPh sb="11" eb="13">
      <t>テンキ</t>
    </rPh>
    <phoneticPr fontId="3"/>
  </si>
  <si>
    <t>11-4の評価により自動転記</t>
    <rPh sb="5" eb="7">
      <t>ヒョウカ</t>
    </rPh>
    <rPh sb="10" eb="12">
      <t>ジドウ</t>
    </rPh>
    <rPh sb="12" eb="14">
      <t>テンキ</t>
    </rPh>
    <phoneticPr fontId="3"/>
  </si>
  <si>
    <t>9-6の評価により自動転記</t>
    <rPh sb="4" eb="6">
      <t>ヒョウカ</t>
    </rPh>
    <rPh sb="9" eb="11">
      <t>ジドウ</t>
    </rPh>
    <rPh sb="11" eb="13">
      <t>テンキ</t>
    </rPh>
    <phoneticPr fontId="3"/>
  </si>
  <si>
    <t>3-1の評価により自動転記</t>
    <rPh sb="4" eb="6">
      <t>ヒョウカ</t>
    </rPh>
    <rPh sb="9" eb="11">
      <t>ジドウ</t>
    </rPh>
    <rPh sb="11" eb="13">
      <t>テンキ</t>
    </rPh>
    <phoneticPr fontId="3"/>
  </si>
  <si>
    <t>9-4の評価により自動転記</t>
    <rPh sb="4" eb="6">
      <t>ヒョウカ</t>
    </rPh>
    <rPh sb="9" eb="11">
      <t>ジドウ</t>
    </rPh>
    <rPh sb="11" eb="13">
      <t>テンキ</t>
    </rPh>
    <phoneticPr fontId="3"/>
  </si>
  <si>
    <t>11-4の評価により自動転記</t>
    <rPh sb="5" eb="7">
      <t>ヒョウカ</t>
    </rPh>
    <rPh sb="10" eb="14">
      <t>ジドウテンキ</t>
    </rPh>
    <phoneticPr fontId="3"/>
  </si>
  <si>
    <t>3-6の評価により自動転記</t>
    <rPh sb="4" eb="6">
      <t>ヒョウカ</t>
    </rPh>
    <rPh sb="9" eb="11">
      <t>ジドウ</t>
    </rPh>
    <rPh sb="11" eb="13">
      <t>テンキ</t>
    </rPh>
    <phoneticPr fontId="3"/>
  </si>
  <si>
    <t>省エネ性能の高い設備機器・システムを採用する</t>
    <rPh sb="18" eb="20">
      <t>サイヨウ</t>
    </rPh>
    <phoneticPr fontId="18"/>
  </si>
  <si>
    <t>カーボンニュートラルに向けて取り組む</t>
    <phoneticPr fontId="18"/>
  </si>
  <si>
    <t>カーボンニュートラルに向けて取り組む</t>
    <phoneticPr fontId="3"/>
  </si>
  <si>
    <t>7-6の評価により自動転記</t>
    <rPh sb="4" eb="6">
      <t>ヒョウカ</t>
    </rPh>
    <rPh sb="9" eb="11">
      <t>ジドウ</t>
    </rPh>
    <rPh sb="11" eb="13">
      <t>テンキ</t>
    </rPh>
    <phoneticPr fontId="3"/>
  </si>
  <si>
    <t>7-9の評価により自動転記</t>
    <rPh sb="4" eb="6">
      <t>ヒョウカ</t>
    </rPh>
    <rPh sb="9" eb="11">
      <t>ジドウ</t>
    </rPh>
    <rPh sb="11" eb="13">
      <t>テンキ</t>
    </rPh>
    <phoneticPr fontId="3"/>
  </si>
  <si>
    <t>12-5の評価により自動転記</t>
    <rPh sb="5" eb="7">
      <t>ヒョウカ</t>
    </rPh>
    <rPh sb="10" eb="12">
      <t>ジドウ</t>
    </rPh>
    <rPh sb="12" eb="14">
      <t>テンキ</t>
    </rPh>
    <phoneticPr fontId="3"/>
  </si>
  <si>
    <t>3.2.1と3.2.2の平均で評価する</t>
    <rPh sb="12" eb="14">
      <t>ヘイキン</t>
    </rPh>
    <rPh sb="15" eb="17">
      <t>ヒョウカ</t>
    </rPh>
    <phoneticPr fontId="3"/>
  </si>
  <si>
    <r>
      <t>3.4.1,3.4.2,3.4.3,3.4.4</t>
    </r>
    <r>
      <rPr>
        <sz val="10"/>
        <rFont val="ＭＳ Ｐゴシック"/>
        <family val="3"/>
        <charset val="128"/>
      </rPr>
      <t>の平均</t>
    </r>
    <rPh sb="24" eb="26">
      <t>ヘイキン</t>
    </rPh>
    <phoneticPr fontId="3"/>
  </si>
  <si>
    <t>主要設備機器の更新必要間隔／設備の自給率向上／維持管理／バリアフリー</t>
    <phoneticPr fontId="3"/>
  </si>
  <si>
    <t>　改修して改善した項目数</t>
    <rPh sb="1" eb="3">
      <t>カイシュウ</t>
    </rPh>
    <rPh sb="5" eb="7">
      <t>カイゼン</t>
    </rPh>
    <rPh sb="9" eb="11">
      <t>コウモク</t>
    </rPh>
    <rPh sb="11" eb="12">
      <t>スウ</t>
    </rPh>
    <phoneticPr fontId="3"/>
  </si>
  <si>
    <t>【ホテル】</t>
    <phoneticPr fontId="3"/>
  </si>
  <si>
    <t>○○ホテル</t>
    <phoneticPr fontId="3"/>
  </si>
  <si>
    <t>ホテル</t>
    <phoneticPr fontId="3"/>
  </si>
  <si>
    <t>ホテルの水使用量算定</t>
    <rPh sb="4" eb="5">
      <t>ミズ</t>
    </rPh>
    <rPh sb="5" eb="7">
      <t>シヨウ</t>
    </rPh>
    <rPh sb="7" eb="8">
      <t>リョウ</t>
    </rPh>
    <rPh sb="8" eb="10">
      <t>サンテイ</t>
    </rPh>
    <phoneticPr fontId="3"/>
  </si>
  <si>
    <t>宿泊者</t>
    <rPh sb="0" eb="3">
      <t>シュクハクシャ</t>
    </rPh>
    <phoneticPr fontId="3"/>
  </si>
  <si>
    <t>㎡/人</t>
    <rPh sb="2" eb="3">
      <t>ヒト</t>
    </rPh>
    <phoneticPr fontId="3"/>
  </si>
  <si>
    <t>(宿泊者）</t>
    <rPh sb="1" eb="3">
      <t>シュクハク</t>
    </rPh>
    <rPh sb="3" eb="4">
      <t>シャ</t>
    </rPh>
    <phoneticPr fontId="3"/>
  </si>
  <si>
    <t>②宿泊者による便所・洗面</t>
    <rPh sb="1" eb="3">
      <t>シュクハク</t>
    </rPh>
    <rPh sb="3" eb="4">
      <t>シャ</t>
    </rPh>
    <rPh sb="7" eb="9">
      <t>ベンジョ</t>
    </rPh>
    <rPh sb="10" eb="12">
      <t>センメン</t>
    </rPh>
    <phoneticPr fontId="3"/>
  </si>
  <si>
    <t>④浴室用給水</t>
    <rPh sb="1" eb="3">
      <t>ヨクシツ</t>
    </rPh>
    <rPh sb="3" eb="4">
      <t>ヨウ</t>
    </rPh>
    <rPh sb="4" eb="6">
      <t>キュウスイ</t>
    </rPh>
    <phoneticPr fontId="3"/>
  </si>
  <si>
    <t>宿泊者1人あたりの水量</t>
    <rPh sb="0" eb="3">
      <t>シュクハクシャ</t>
    </rPh>
    <phoneticPr fontId="3"/>
  </si>
  <si>
    <t>人=</t>
    <rPh sb="0" eb="1">
      <t>ニン</t>
    </rPh>
    <phoneticPr fontId="3"/>
  </si>
  <si>
    <t>バス、シャワー、洗面</t>
    <rPh sb="8" eb="10">
      <t>センメン</t>
    </rPh>
    <phoneticPr fontId="3"/>
  </si>
  <si>
    <t>男女合計の大浴場の容積</t>
    <rPh sb="0" eb="2">
      <t>ダンジョ</t>
    </rPh>
    <rPh sb="2" eb="4">
      <t>ゴウケイ</t>
    </rPh>
    <rPh sb="5" eb="8">
      <t>ダイヨクジョウ</t>
    </rPh>
    <rPh sb="9" eb="11">
      <t>ヨウセキ</t>
    </rPh>
    <phoneticPr fontId="3"/>
  </si>
  <si>
    <t>m3</t>
    <phoneticPr fontId="3"/>
  </si>
  <si>
    <t>⑤飲食店舗</t>
    <rPh sb="1" eb="3">
      <t>インショク</t>
    </rPh>
    <rPh sb="3" eb="5">
      <t>テンポ</t>
    </rPh>
    <phoneticPr fontId="3"/>
  </si>
  <si>
    <t>WC、浴室</t>
    <rPh sb="3" eb="5">
      <t>ヨクシツ</t>
    </rPh>
    <phoneticPr fontId="3"/>
  </si>
  <si>
    <t>宿泊者当り</t>
    <rPh sb="0" eb="3">
      <t>シュクハクシャ</t>
    </rPh>
    <rPh sb="3" eb="4">
      <t>アタ</t>
    </rPh>
    <phoneticPr fontId="3"/>
  </si>
  <si>
    <t>L/㎡・日</t>
    <rPh sb="4" eb="5">
      <t>ヒ</t>
    </rPh>
    <phoneticPr fontId="3"/>
  </si>
  <si>
    <t>SHASE提案値</t>
    <rPh sb="5" eb="7">
      <t>テイアン</t>
    </rPh>
    <rPh sb="7" eb="8">
      <t>チ</t>
    </rPh>
    <phoneticPr fontId="3"/>
  </si>
  <si>
    <t>WC、浴室、飲食</t>
    <rPh sb="3" eb="5">
      <t>ヨクシツ</t>
    </rPh>
    <rPh sb="6" eb="8">
      <t>インショク</t>
    </rPh>
    <phoneticPr fontId="3"/>
  </si>
  <si>
    <t>清掃用水、散水を含まず</t>
    <rPh sb="0" eb="2">
      <t>セイソウ</t>
    </rPh>
    <rPh sb="2" eb="4">
      <t>ヨウスイ</t>
    </rPh>
    <rPh sb="5" eb="7">
      <t>サンスイ</t>
    </rPh>
    <rPh sb="8" eb="9">
      <t>フク</t>
    </rPh>
    <phoneticPr fontId="3"/>
  </si>
  <si>
    <t>L/人・日</t>
    <rPh sb="2" eb="3">
      <t>ニン</t>
    </rPh>
    <rPh sb="4" eb="5">
      <t>ニチ</t>
    </rPh>
    <phoneticPr fontId="3"/>
  </si>
  <si>
    <t>5)国交省官庁営繕部監修 建築設備設計基準（令和3年版）各種衛生器具・水栓の特徴, P623</t>
    <rPh sb="2" eb="5">
      <t>コッコウショウ</t>
    </rPh>
    <rPh sb="5" eb="7">
      <t>カンチョウ</t>
    </rPh>
    <rPh sb="7" eb="10">
      <t>エイゼンブ</t>
    </rPh>
    <rPh sb="10" eb="12">
      <t>カンシュウ</t>
    </rPh>
    <rPh sb="13" eb="15">
      <t>ケンチク</t>
    </rPh>
    <rPh sb="15" eb="17">
      <t>セツビ</t>
    </rPh>
    <rPh sb="17" eb="19">
      <t>セッケイ</t>
    </rPh>
    <rPh sb="19" eb="21">
      <t>キジュン</t>
    </rPh>
    <rPh sb="22" eb="24">
      <t>レイワ</t>
    </rPh>
    <rPh sb="25" eb="26">
      <t>ネン</t>
    </rPh>
    <rPh sb="26" eb="27">
      <t>バン</t>
    </rPh>
    <rPh sb="28" eb="30">
      <t>カクシュ</t>
    </rPh>
    <rPh sb="30" eb="32">
      <t>エイセイ</t>
    </rPh>
    <rPh sb="32" eb="34">
      <t>キグ</t>
    </rPh>
    <rPh sb="35" eb="37">
      <t>スイセン</t>
    </rPh>
    <rPh sb="38" eb="40">
      <t>トクチョウ</t>
    </rPh>
    <phoneticPr fontId="3"/>
  </si>
  <si>
    <t>6)空気調和・衛生工学 学会誌 2024年5月号 ネット・ゼロ・ウォータの実現に向けて ｰ水の新しい原単位の提案ｰ P425</t>
    <rPh sb="2" eb="4">
      <t>クウキ</t>
    </rPh>
    <rPh sb="4" eb="6">
      <t>チョウワ</t>
    </rPh>
    <rPh sb="7" eb="9">
      <t>エイセイ</t>
    </rPh>
    <rPh sb="9" eb="11">
      <t>コウガク</t>
    </rPh>
    <rPh sb="12" eb="15">
      <t>ガッカイシ</t>
    </rPh>
    <rPh sb="20" eb="21">
      <t>ネン</t>
    </rPh>
    <rPh sb="22" eb="24">
      <t>ガツゴウ</t>
    </rPh>
    <rPh sb="37" eb="39">
      <t>ジツゲン</t>
    </rPh>
    <rPh sb="40" eb="41">
      <t>ム</t>
    </rPh>
    <rPh sb="45" eb="46">
      <t>ミズ</t>
    </rPh>
    <rPh sb="47" eb="48">
      <t>アタラ</t>
    </rPh>
    <rPh sb="50" eb="53">
      <t>ゲンタンイ</t>
    </rPh>
    <rPh sb="54" eb="56">
      <t>テイアン</t>
    </rPh>
    <phoneticPr fontId="3"/>
  </si>
  <si>
    <t>自然エネルギー（間接利用）</t>
    <rPh sb="8" eb="10">
      <t>カンセツ</t>
    </rPh>
    <rPh sb="10" eb="12">
      <t>リヨウ</t>
    </rPh>
    <phoneticPr fontId="3"/>
  </si>
  <si>
    <t>DECC2019年公開データ【最新データ年度のみ】</t>
    <phoneticPr fontId="3"/>
  </si>
  <si>
    <t>A1-A5</t>
    <phoneticPr fontId="44"/>
  </si>
  <si>
    <r>
      <rPr>
        <sz val="10"/>
        <rFont val="Yu Gothic"/>
        <family val="2"/>
        <charset val="128"/>
      </rPr>
      <t>取組項目数：</t>
    </r>
    <r>
      <rPr>
        <sz val="10"/>
        <rFont val="Arial"/>
        <family val="2"/>
      </rPr>
      <t>A1-A5</t>
    </r>
    <rPh sb="0" eb="2">
      <t>トリクミ</t>
    </rPh>
    <rPh sb="2" eb="5">
      <t>コウモクスウ</t>
    </rPh>
    <phoneticPr fontId="44"/>
  </si>
  <si>
    <t>水消費（２０２１年版グラフ用見当値）</t>
    <rPh sb="0" eb="1">
      <t>ミズ</t>
    </rPh>
    <rPh sb="1" eb="3">
      <t>ショウヒ</t>
    </rPh>
    <rPh sb="8" eb="10">
      <t>ネンバン</t>
    </rPh>
    <rPh sb="13" eb="14">
      <t>ヨウ</t>
    </rPh>
    <rPh sb="14" eb="16">
      <t>ケントウ</t>
    </rPh>
    <rPh sb="16" eb="17">
      <t>チ</t>
    </rPh>
    <phoneticPr fontId="44"/>
  </si>
  <si>
    <t>取組数</t>
    <rPh sb="0" eb="3">
      <t>トリクミスウ</t>
    </rPh>
    <phoneticPr fontId="44"/>
  </si>
  <si>
    <t>C1-C4</t>
  </si>
  <si>
    <t>C1-C4</t>
    <phoneticPr fontId="44"/>
  </si>
  <si>
    <t>B1,B3-B5</t>
    <phoneticPr fontId="44"/>
  </si>
  <si>
    <t>緑星</t>
    <rPh sb="0" eb="2">
      <t>ミドリボシ</t>
    </rPh>
    <phoneticPr fontId="3"/>
  </si>
  <si>
    <r>
      <t>ポイントは小数点第</t>
    </r>
    <r>
      <rPr>
        <sz val="9"/>
        <rFont val="Arial"/>
        <family val="2"/>
      </rPr>
      <t>1</t>
    </r>
    <r>
      <rPr>
        <sz val="9"/>
        <rFont val="ＭＳ Ｐゴシック"/>
        <family val="3"/>
        <charset val="128"/>
      </rPr>
      <t>位までの表示とする</t>
    </r>
  </si>
  <si>
    <t>防犯対策</t>
    <rPh sb="0" eb="2">
      <t>ボウハン</t>
    </rPh>
    <rPh sb="2" eb="4">
      <t>タイサク</t>
    </rPh>
    <phoneticPr fontId="3"/>
  </si>
  <si>
    <t>↑評価しない場合は空欄</t>
    <rPh sb="6" eb="8">
      <t>バアイ</t>
    </rPh>
    <rPh sb="9" eb="11">
      <t>クウラン</t>
    </rPh>
    <phoneticPr fontId="44"/>
  </si>
  <si>
    <t>評価しない</t>
    <rPh sb="0" eb="2">
      <t>ヒョウカ</t>
    </rPh>
    <phoneticPr fontId="44"/>
  </si>
  <si>
    <t>；新耐震基準への適合またはIs値、If値</t>
  </si>
  <si>
    <t>5.1.1の点数×2/3＋5.1.2の点数×1/3</t>
    <phoneticPr fontId="3"/>
  </si>
  <si>
    <r>
      <rPr>
        <sz val="10"/>
        <rFont val="ＭＳ Ｐゴシック"/>
        <family val="3"/>
        <charset val="128"/>
      </rPr>
      <t>；省エネルギー基準への適合、目標設定、モニタリング、運用管理体制</t>
    </r>
  </si>
  <si>
    <r>
      <rPr>
        <sz val="10"/>
        <rFont val="ＭＳ Ｐゴシック"/>
        <family val="3"/>
        <charset val="128"/>
      </rPr>
      <t>評価しない</t>
    </r>
    <rPh sb="0" eb="2">
      <t>ヒョウカ</t>
    </rPh>
    <phoneticPr fontId="3"/>
  </si>
  <si>
    <r>
      <rPr>
        <sz val="10"/>
        <rFont val="ＭＳ Ｐゴシック"/>
        <family val="3"/>
        <charset val="128"/>
      </rPr>
      <t>；目標設定、モニタリング、運用管理体制</t>
    </r>
  </si>
  <si>
    <r>
      <rPr>
        <sz val="10"/>
        <rFont val="ＭＳ Ｐゴシック"/>
        <family val="3"/>
        <charset val="128"/>
      </rPr>
      <t>；新耐震基準への適合または</t>
    </r>
    <r>
      <rPr>
        <sz val="10"/>
        <rFont val="Arial"/>
        <family val="2"/>
      </rPr>
      <t>Is</t>
    </r>
    <r>
      <rPr>
        <sz val="10"/>
        <rFont val="ＭＳ Ｐゴシック"/>
        <family val="3"/>
        <charset val="128"/>
      </rPr>
      <t>値、</t>
    </r>
    <r>
      <rPr>
        <sz val="10"/>
        <rFont val="Arial"/>
        <family val="2"/>
      </rPr>
      <t>If</t>
    </r>
    <r>
      <rPr>
        <sz val="10"/>
        <rFont val="ＭＳ Ｐゴシック"/>
        <family val="3"/>
        <charset val="128"/>
      </rPr>
      <t>値</t>
    </r>
  </si>
  <si>
    <r>
      <t>3.1.1</t>
    </r>
    <r>
      <rPr>
        <sz val="10"/>
        <rFont val="ＭＳ Ｐゴシック"/>
        <family val="3"/>
        <charset val="128"/>
      </rPr>
      <t>と</t>
    </r>
    <r>
      <rPr>
        <sz val="10"/>
        <rFont val="Arial"/>
        <family val="2"/>
      </rPr>
      <t>3.1.2</t>
    </r>
    <r>
      <rPr>
        <sz val="10"/>
        <rFont val="ＭＳ Ｐゴシック"/>
        <family val="3"/>
        <charset val="128"/>
      </rPr>
      <t>の点数の高い方で評価</t>
    </r>
    <phoneticPr fontId="3"/>
  </si>
  <si>
    <r>
      <rPr>
        <sz val="10"/>
        <rFont val="ＭＳ Ｐゴシック"/>
        <family val="3"/>
        <charset val="128"/>
      </rPr>
      <t>①と②の平均で評価する</t>
    </r>
    <phoneticPr fontId="3"/>
  </si>
  <si>
    <r>
      <rPr>
        <sz val="10"/>
        <color theme="1"/>
        <rFont val="ＭＳ Ｐゴシック"/>
        <family val="3"/>
        <charset val="128"/>
      </rPr>
      <t>評価しない</t>
    </r>
    <rPh sb="0" eb="2">
      <t>ヒョウカ</t>
    </rPh>
    <phoneticPr fontId="3"/>
  </si>
  <si>
    <r>
      <rPr>
        <sz val="10"/>
        <rFont val="ＭＳ Ｐゴシック"/>
        <family val="3"/>
        <charset val="128"/>
      </rPr>
      <t>；特定外来生物・未判定外来生物・生態系被害防止外来種を使用しない</t>
    </r>
    <phoneticPr fontId="3"/>
  </si>
  <si>
    <r>
      <rPr>
        <sz val="10"/>
        <rFont val="ＭＳ Ｐゴシック"/>
        <family val="3"/>
        <charset val="128"/>
      </rPr>
      <t>；建築物衛生管理基準の準拠または質問票への適合</t>
    </r>
    <rPh sb="8" eb="10">
      <t>キジュン</t>
    </rPh>
    <rPh sb="11" eb="13">
      <t>ジュンキョ</t>
    </rPh>
    <rPh sb="16" eb="18">
      <t>シツモン</t>
    </rPh>
    <rPh sb="18" eb="19">
      <t>ヒョウ</t>
    </rPh>
    <rPh sb="21" eb="23">
      <t>テキゴウ</t>
    </rPh>
    <phoneticPr fontId="3"/>
  </si>
  <si>
    <t>節水型水栓、節水型便器、雨水利用</t>
    <rPh sb="0" eb="3">
      <t>セッスイガタ</t>
    </rPh>
    <rPh sb="3" eb="5">
      <t>スイセン</t>
    </rPh>
    <rPh sb="6" eb="9">
      <t>セッスイガタ</t>
    </rPh>
    <rPh sb="9" eb="11">
      <t>ベンキ</t>
    </rPh>
    <rPh sb="12" eb="16">
      <t>ウスイリヨウ</t>
    </rPh>
    <phoneticPr fontId="3"/>
  </si>
  <si>
    <t>店舗から排出されるゴミの計量、再資源化など</t>
    <rPh sb="0" eb="2">
      <t>テンポ</t>
    </rPh>
    <rPh sb="4" eb="6">
      <t>ハイシュツ</t>
    </rPh>
    <rPh sb="12" eb="14">
      <t>ケイリョウ</t>
    </rPh>
    <rPh sb="15" eb="19">
      <t>サイシゲンカ</t>
    </rPh>
    <phoneticPr fontId="3"/>
  </si>
  <si>
    <t>改修段階評価</t>
    <rPh sb="0" eb="2">
      <t>カイシュウ</t>
    </rPh>
    <rPh sb="2" eb="4">
      <t>ダンカイ</t>
    </rPh>
    <phoneticPr fontId="3"/>
  </si>
  <si>
    <t>改修段階評価</t>
    <rPh sb="0" eb="2">
      <t>カイシュウ</t>
    </rPh>
    <phoneticPr fontId="3"/>
  </si>
  <si>
    <t>常勤者・宿泊者</t>
    <rPh sb="0" eb="3">
      <t>ジョウキンシャ</t>
    </rPh>
    <rPh sb="4" eb="6">
      <t>シュクハク</t>
    </rPh>
    <rPh sb="6" eb="7">
      <t>シャ</t>
    </rPh>
    <phoneticPr fontId="3"/>
  </si>
  <si>
    <t xml:space="preserve">                ホールライフカーボンの評価</t>
    <phoneticPr fontId="44"/>
  </si>
  <si>
    <r>
      <t>　GHG排出量</t>
    </r>
    <r>
      <rPr>
        <sz val="10"/>
        <rFont val="Arial"/>
        <family val="2"/>
      </rPr>
      <t>(*)</t>
    </r>
    <phoneticPr fontId="3"/>
  </si>
  <si>
    <r>
      <t>kg-CO</t>
    </r>
    <r>
      <rPr>
        <vertAlign val="subscript"/>
        <sz val="10"/>
        <rFont val="Arial"/>
        <family val="2"/>
      </rPr>
      <t>2eq</t>
    </r>
    <r>
      <rPr>
        <sz val="10"/>
        <rFont val="Arial"/>
        <family val="2"/>
      </rPr>
      <t>/m</t>
    </r>
    <r>
      <rPr>
        <vertAlign val="superscript"/>
        <sz val="10"/>
        <rFont val="Arial"/>
        <family val="2"/>
      </rPr>
      <t>2</t>
    </r>
    <r>
      <rPr>
        <sz val="10"/>
        <rFont val="ＭＳ Ｐゴシック"/>
        <family val="3"/>
        <charset val="128"/>
      </rPr>
      <t>・年</t>
    </r>
    <phoneticPr fontId="3"/>
  </si>
  <si>
    <t>6．ホールライフカーボンの評価 [任意]</t>
    <rPh sb="17" eb="19">
      <t>ニンイ</t>
    </rPh>
    <phoneticPr fontId="44"/>
  </si>
  <si>
    <t>C/S</t>
    <phoneticPr fontId="44"/>
  </si>
  <si>
    <t>a（傾き）</t>
    <rPh sb="2" eb="3">
      <t>カタム</t>
    </rPh>
    <phoneticPr fontId="3"/>
  </si>
  <si>
    <t>ｂ（切片）</t>
    <rPh sb="2" eb="4">
      <t>セッペン</t>
    </rPh>
    <phoneticPr fontId="3"/>
  </si>
  <si>
    <t>最大</t>
    <rPh sb="0" eb="2">
      <t>サイダイ</t>
    </rPh>
    <phoneticPr fontId="44"/>
  </si>
  <si>
    <t>最小</t>
    <rPh sb="0" eb="2">
      <t>サイショウ</t>
    </rPh>
    <phoneticPr fontId="44"/>
  </si>
  <si>
    <t>点数</t>
    <rPh sb="0" eb="2">
      <t>テンスウ</t>
    </rPh>
    <phoneticPr fontId="44"/>
  </si>
  <si>
    <t>＝C/S</t>
    <phoneticPr fontId="44"/>
  </si>
  <si>
    <t>点</t>
    <rPh sb="0" eb="1">
      <t>テン</t>
    </rPh>
    <phoneticPr fontId="44"/>
  </si>
  <si>
    <t>BEI＋</t>
    <phoneticPr fontId="44"/>
  </si>
  <si>
    <t>＝BEI+</t>
    <phoneticPr fontId="44"/>
  </si>
  <si>
    <t>1.1.1の得点</t>
    <rPh sb="6" eb="8">
      <t>トクテン</t>
    </rPh>
    <phoneticPr fontId="44"/>
  </si>
  <si>
    <t>1.1.2の得点</t>
    <rPh sb="6" eb="8">
      <t>トクテン</t>
    </rPh>
    <phoneticPr fontId="44"/>
  </si>
  <si>
    <t>参考</t>
    <rPh sb="0" eb="2">
      <t>サンコウ</t>
    </rPh>
    <phoneticPr fontId="44"/>
  </si>
  <si>
    <r>
      <t>CASBEE-</t>
    </r>
    <r>
      <rPr>
        <sz val="10"/>
        <rFont val="Yu Gothic"/>
        <family val="2"/>
        <charset val="128"/>
      </rPr>
      <t xml:space="preserve">不動産 </t>
    </r>
    <r>
      <rPr>
        <sz val="10"/>
        <rFont val="Arial"/>
        <family val="2"/>
      </rPr>
      <t>2024</t>
    </r>
    <r>
      <rPr>
        <sz val="10"/>
        <rFont val="Yu Gothic"/>
        <family val="2"/>
        <charset val="128"/>
      </rPr>
      <t>年版</t>
    </r>
    <phoneticPr fontId="3"/>
  </si>
  <si>
    <t>オフィス</t>
    <phoneticPr fontId="44"/>
  </si>
  <si>
    <t>店舗</t>
    <rPh sb="0" eb="2">
      <t>テンポ</t>
    </rPh>
    <phoneticPr fontId="44"/>
  </si>
  <si>
    <t>物流</t>
    <rPh sb="0" eb="2">
      <t>ブツリュウ</t>
    </rPh>
    <phoneticPr fontId="44"/>
  </si>
  <si>
    <t>ホテル</t>
    <phoneticPr fontId="44"/>
  </si>
  <si>
    <t>集合住宅</t>
    <rPh sb="0" eb="2">
      <t>シュウゴウ</t>
    </rPh>
    <rPh sb="2" eb="4">
      <t>ジュウタク</t>
    </rPh>
    <phoneticPr fontId="44"/>
  </si>
  <si>
    <t>BEIあり</t>
    <phoneticPr fontId="3"/>
  </si>
  <si>
    <t>BEIなし</t>
    <phoneticPr fontId="3"/>
  </si>
  <si>
    <t>人/日</t>
    <rPh sb="0" eb="1">
      <t>ヒト</t>
    </rPh>
    <rPh sb="2" eb="3">
      <t>ニチ</t>
    </rPh>
    <phoneticPr fontId="3"/>
  </si>
  <si>
    <t>←宿泊者は、年間宿泊人数を営業日数で割った値を入力する。難しい場合は、最大宿泊人数に年間の平均宿泊率を想定し、それを乗じて1日当たりの宿泊人数を入力する。</t>
    <rPh sb="1" eb="4">
      <t>シュクハクシャ</t>
    </rPh>
    <rPh sb="6" eb="8">
      <t>ネンカン</t>
    </rPh>
    <rPh sb="8" eb="10">
      <t>シュクハク</t>
    </rPh>
    <rPh sb="10" eb="12">
      <t>ニンズウ</t>
    </rPh>
    <rPh sb="13" eb="15">
      <t>エイギョウ</t>
    </rPh>
    <rPh sb="15" eb="17">
      <t>ニッスウ</t>
    </rPh>
    <rPh sb="18" eb="19">
      <t>ワ</t>
    </rPh>
    <rPh sb="21" eb="22">
      <t>アタイ</t>
    </rPh>
    <rPh sb="23" eb="25">
      <t>ニュウリョク</t>
    </rPh>
    <rPh sb="28" eb="29">
      <t>ムズカ</t>
    </rPh>
    <rPh sb="31" eb="33">
      <t>バアイ</t>
    </rPh>
    <rPh sb="35" eb="37">
      <t>サイダイ</t>
    </rPh>
    <rPh sb="37" eb="39">
      <t>シュクハク</t>
    </rPh>
    <rPh sb="39" eb="41">
      <t>ニンズウ</t>
    </rPh>
    <rPh sb="42" eb="44">
      <t>ネンカン</t>
    </rPh>
    <rPh sb="45" eb="47">
      <t>ヘイキン</t>
    </rPh>
    <rPh sb="47" eb="49">
      <t>シュクハク</t>
    </rPh>
    <rPh sb="49" eb="50">
      <t>リツ</t>
    </rPh>
    <rPh sb="51" eb="53">
      <t>ソウテイ</t>
    </rPh>
    <rPh sb="58" eb="59">
      <t>ジョウ</t>
    </rPh>
    <rPh sb="62" eb="63">
      <t>ニチ</t>
    </rPh>
    <rPh sb="63" eb="64">
      <t>ア</t>
    </rPh>
    <rPh sb="67" eb="69">
      <t>シュクハク</t>
    </rPh>
    <rPh sb="69" eb="71">
      <t>ニンズウ</t>
    </rPh>
    <rPh sb="72" eb="74">
      <t>ニュウリョク</t>
    </rPh>
    <phoneticPr fontId="3"/>
  </si>
  <si>
    <t>（注）1.1及び2.1について、業態別の計算値が無い（店舗全体しか計算していない）場合は、それぞれの用途の欄に同じ評価結果を入力すること。</t>
    <rPh sb="20" eb="22">
      <t>ケイサン</t>
    </rPh>
    <phoneticPr fontId="3"/>
  </si>
  <si>
    <t>20 / 15</t>
    <phoneticPr fontId="3"/>
  </si>
  <si>
    <t>- / 5</t>
    <phoneticPr fontId="3"/>
  </si>
  <si>
    <t xml:space="preserve">5 </t>
    <phoneticPr fontId="3"/>
  </si>
  <si>
    <t>BEI*=</t>
    <phoneticPr fontId="44"/>
  </si>
  <si>
    <t>最大(加点なし）</t>
    <rPh sb="0" eb="2">
      <t>サイダイ</t>
    </rPh>
    <rPh sb="3" eb="5">
      <t>カテン</t>
    </rPh>
    <phoneticPr fontId="44"/>
  </si>
  <si>
    <t>⑦その他（共用通路等；物販と同等とする）</t>
    <rPh sb="3" eb="4">
      <t>タ</t>
    </rPh>
    <rPh sb="5" eb="7">
      <t>キョウヨウ</t>
    </rPh>
    <rPh sb="7" eb="9">
      <t>ツウロ</t>
    </rPh>
    <rPh sb="9" eb="10">
      <t>トウ</t>
    </rPh>
    <rPh sb="11" eb="13">
      <t>ブッパン</t>
    </rPh>
    <rPh sb="14" eb="16">
      <t>ドウトウ</t>
    </rPh>
    <phoneticPr fontId="3"/>
  </si>
  <si>
    <t>⑦その他（通路等；物販と同等）</t>
    <rPh sb="3" eb="4">
      <t>タ</t>
    </rPh>
    <rPh sb="5" eb="7">
      <t>ツウロ</t>
    </rPh>
    <rPh sb="7" eb="8">
      <t>トウ</t>
    </rPh>
    <rPh sb="9" eb="11">
      <t>ブッパン</t>
    </rPh>
    <rPh sb="12" eb="14">
      <t>ドウトウ</t>
    </rPh>
    <phoneticPr fontId="3"/>
  </si>
  <si>
    <t>B6-B7</t>
    <phoneticPr fontId="44"/>
  </si>
  <si>
    <t>＝BEI＊</t>
    <phoneticPr fontId="44"/>
  </si>
  <si>
    <t>BEI＊</t>
    <phoneticPr fontId="44"/>
  </si>
  <si>
    <t>BEI=</t>
    <phoneticPr fontId="44"/>
  </si>
  <si>
    <t>5.1～5.3の合計点数が
11～15点→＋2
6～10点→＋1
0～5点→0</t>
  </si>
  <si>
    <t>5.1～5.3の合計点数が
11～15点→＋2
6～10点→＋1
0～5点→0</t>
    <phoneticPr fontId="44"/>
  </si>
  <si>
    <t>5.1.1～5.1.3の合計点数が
7～9点→＋2
4～6点→＋1
0～3点→0</t>
    <rPh sb="14" eb="16">
      <t>テンスウ</t>
    </rPh>
    <rPh sb="21" eb="22">
      <t>テン</t>
    </rPh>
    <rPh sb="29" eb="30">
      <t>テン</t>
    </rPh>
    <rPh sb="37" eb="38">
      <t>テン</t>
    </rPh>
    <phoneticPr fontId="3"/>
  </si>
  <si>
    <t>5.1～5.3の合計点数が
11～15点[7-9]→＋2
6～10点[4-6]→＋1
0～5点[0-3]→0</t>
    <rPh sb="10" eb="12">
      <t>テンスウ</t>
    </rPh>
    <rPh sb="19" eb="20">
      <t>テン</t>
    </rPh>
    <rPh sb="33" eb="34">
      <t>テン</t>
    </rPh>
    <rPh sb="46" eb="47">
      <t>テン</t>
    </rPh>
    <phoneticPr fontId="3"/>
  </si>
  <si>
    <t>5.1～5.3の合計点数が
8～10点[6-8]→＋2
5～7点[3-5]→＋1
0～4点[0-2]→0</t>
    <rPh sb="10" eb="12">
      <t>テンスウ</t>
    </rPh>
    <rPh sb="18" eb="19">
      <t>テン</t>
    </rPh>
    <rPh sb="31" eb="32">
      <t>テン</t>
    </rPh>
    <rPh sb="44" eb="45">
      <t>テン</t>
    </rPh>
    <phoneticPr fontId="3"/>
  </si>
  <si>
    <t>5.1.1自然採光がレベル4[Lv2]以上→+1
5.1.2昼光利用設備がレベル4[Lv2]以上→+1</t>
    <rPh sb="5" eb="7">
      <t>シゼン</t>
    </rPh>
    <rPh sb="7" eb="9">
      <t>サイコウ</t>
    </rPh>
    <rPh sb="19" eb="21">
      <t>イジョウ</t>
    </rPh>
    <rPh sb="30" eb="32">
      <t>チュウコウ</t>
    </rPh>
    <rPh sb="32" eb="34">
      <t>リヨウ</t>
    </rPh>
    <rPh sb="34" eb="36">
      <t>セツビ</t>
    </rPh>
    <rPh sb="46" eb="48">
      <t>イジョウ</t>
    </rPh>
    <phoneticPr fontId="44"/>
  </si>
  <si>
    <t>5.1.1自然採光がレベル4[Lv3]以上→+1
5.1.2昼光利用設備がレベル4[Lv3]以上→+1</t>
    <rPh sb="5" eb="7">
      <t>シゼン</t>
    </rPh>
    <rPh sb="7" eb="9">
      <t>サイコウ</t>
    </rPh>
    <rPh sb="19" eb="21">
      <t>イジョウ</t>
    </rPh>
    <rPh sb="30" eb="32">
      <t>チュウコウ</t>
    </rPh>
    <rPh sb="32" eb="34">
      <t>リヨウ</t>
    </rPh>
    <rPh sb="34" eb="36">
      <t>セツビ</t>
    </rPh>
    <rPh sb="46" eb="48">
      <t>イジョウ</t>
    </rPh>
    <phoneticPr fontId="44"/>
  </si>
  <si>
    <t>←加重平均のため小数点以下あり</t>
    <rPh sb="1" eb="3">
      <t>カジュウ</t>
    </rPh>
    <rPh sb="3" eb="5">
      <t>ヘイキン</t>
    </rPh>
    <rPh sb="8" eb="11">
      <t>ショウスウテン</t>
    </rPh>
    <rPh sb="11" eb="13">
      <t>イカ</t>
    </rPh>
    <phoneticPr fontId="3"/>
  </si>
  <si>
    <t>1.1エネルギー使用（計算値）＋1.3仕様評価
→17点以上で＋2、13点以上で＋1
1.2エネルギー（実績値）
→レベル4以上で＋2、レベル3以上で＋1
1.1と1.2の得点を20：５で加重平均</t>
    <rPh sb="19" eb="21">
      <t>シヨウ</t>
    </rPh>
    <rPh sb="21" eb="23">
      <t>ヒョウカ</t>
    </rPh>
    <phoneticPr fontId="3"/>
  </si>
  <si>
    <t>1.1エネルギー使用（計算値）＋1.3仕様評価
→17点以上で＋2、13点以上で＋1</t>
    <phoneticPr fontId="3"/>
  </si>
  <si>
    <t>1.1エネルギー使用（計算値）＋1.3仕様基準
→22点以上で＋2、18点以上で＋1
1.2エネルギー（実績値）
→レベル4以上で＋2、レベル3以上で＋1
1.1と1.2の得点を25：５で加重平均</t>
    <rPh sb="19" eb="23">
      <t>シヨウキジュン</t>
    </rPh>
    <phoneticPr fontId="3"/>
  </si>
  <si>
    <t>1.1エネルギー使用・排出原単位(計算値)＋1.3仕様基準
→22点以上で＋2、18点以上で＋1</t>
    <rPh sb="8" eb="10">
      <t>シヨウ</t>
    </rPh>
    <rPh sb="11" eb="13">
      <t>ハイシュツ</t>
    </rPh>
    <rPh sb="13" eb="16">
      <t>ゲンタンイ</t>
    </rPh>
    <rPh sb="17" eb="20">
      <t>ケイサンチ</t>
    </rPh>
    <rPh sb="25" eb="29">
      <t>シヨウキジュン</t>
    </rPh>
    <rPh sb="33" eb="36">
      <t>テンイジョウ</t>
    </rPh>
    <rPh sb="42" eb="43">
      <t>テン</t>
    </rPh>
    <rPh sb="43" eb="45">
      <t>イジョウ</t>
    </rPh>
    <phoneticPr fontId="3"/>
  </si>
  <si>
    <t>[ ]：オフィス改修、店舗改修の基準</t>
    <rPh sb="8" eb="10">
      <t>カイシュウ</t>
    </rPh>
    <rPh sb="11" eb="13">
      <t>テンポ</t>
    </rPh>
    <rPh sb="13" eb="15">
      <t>カイシュウ</t>
    </rPh>
    <rPh sb="16" eb="18">
      <t>キジュン</t>
    </rPh>
    <phoneticPr fontId="3"/>
  </si>
  <si>
    <t>緑セル：2025062　遠藤修正</t>
    <rPh sb="0" eb="1">
      <t>ミドリ</t>
    </rPh>
    <rPh sb="12" eb="14">
      <t>エンドウ</t>
    </rPh>
    <rPh sb="14" eb="16">
      <t>シュウセイ</t>
    </rPh>
    <phoneticPr fontId="44"/>
  </si>
  <si>
    <t>実施しない</t>
  </si>
  <si>
    <t>バリアフリー計画</t>
    <rPh sb="6" eb="8">
      <t>ケイカク</t>
    </rPh>
    <phoneticPr fontId="3"/>
  </si>
  <si>
    <t>再生材利用率 ・地域材・木材利用</t>
    <rPh sb="5" eb="6">
      <t>リツ</t>
    </rPh>
    <rPh sb="8" eb="11">
      <t>チイキザイ</t>
    </rPh>
    <rPh sb="12" eb="14">
      <t>モクザイ</t>
    </rPh>
    <rPh sb="14" eb="16">
      <t>リヨウ</t>
    </rPh>
    <phoneticPr fontId="3"/>
  </si>
  <si>
    <t>5.1.1.1の点数×2/3＋5.1.1.2の点数×1/3</t>
    <phoneticPr fontId="3"/>
  </si>
  <si>
    <r>
      <rPr>
        <sz val="8"/>
        <rFont val="ＭＳ Ｐゴシック"/>
        <family val="3"/>
        <charset val="128"/>
      </rPr>
      <t>※コンビニエンスストアは評価対象外。ただし、計算の便宜上、</t>
    </r>
    <r>
      <rPr>
        <sz val="8"/>
        <rFont val="Arial"/>
        <family val="2"/>
      </rPr>
      <t>5.1</t>
    </r>
    <r>
      <rPr>
        <sz val="8"/>
        <rFont val="游ゴシック"/>
        <family val="2"/>
        <charset val="128"/>
      </rPr>
      <t>昼光利用</t>
    </r>
    <r>
      <rPr>
        <sz val="8"/>
        <rFont val="ＭＳ Ｐゴシック"/>
        <family val="3"/>
        <charset val="128"/>
      </rPr>
      <t>と同じ数値を入力。</t>
    </r>
    <rPh sb="32" eb="34">
      <t>ヒルヒカリ</t>
    </rPh>
    <rPh sb="34" eb="36">
      <t>リヨウ</t>
    </rPh>
    <phoneticPr fontId="3"/>
  </si>
  <si>
    <t>物流</t>
    <rPh sb="0" eb="2">
      <t>ブツリュウ</t>
    </rPh>
    <phoneticPr fontId="3"/>
  </si>
  <si>
    <t>【複合用途ビルのスコア計算補助ワークシート】</t>
    <rPh sb="1" eb="3">
      <t>フクゴウ</t>
    </rPh>
    <rPh sb="3" eb="5">
      <t>ヨウト</t>
    </rPh>
    <rPh sb="11" eb="13">
      <t>ケイサン</t>
    </rPh>
    <rPh sb="13" eb="15">
      <t>ホジョ</t>
    </rPh>
    <phoneticPr fontId="3"/>
  </si>
  <si>
    <r>
      <t>cm</t>
    </r>
    <r>
      <rPr>
        <vertAlign val="superscript"/>
        <sz val="10"/>
        <rFont val="ＭＳ Ｐゴシック"/>
        <family val="3"/>
        <charset val="128"/>
      </rPr>
      <t>2</t>
    </r>
    <r>
      <rPr>
        <sz val="10"/>
        <rFont val="ＭＳ Ｐゴシック"/>
        <family val="3"/>
        <charset val="128"/>
      </rPr>
      <t>／㎡</t>
    </r>
    <phoneticPr fontId="3"/>
  </si>
  <si>
    <t>スコア/ランク</t>
    <phoneticPr fontId="3"/>
  </si>
  <si>
    <t>総合</t>
    <rPh sb="0" eb="2">
      <t>ソウゴウ</t>
    </rPh>
    <phoneticPr fontId="3"/>
  </si>
  <si>
    <t>部分評価の場合の特記事項</t>
    <rPh sb="0" eb="2">
      <t>ブブン</t>
    </rPh>
    <rPh sb="2" eb="4">
      <t>ヒョウカ</t>
    </rPh>
    <rPh sb="5" eb="7">
      <t>バアイ</t>
    </rPh>
    <rPh sb="8" eb="10">
      <t>トッキ</t>
    </rPh>
    <rPh sb="10" eb="12">
      <t>ジコウ</t>
    </rPh>
    <phoneticPr fontId="44"/>
  </si>
  <si>
    <t>例）建物全体延床面積○○㎡</t>
    <rPh sb="0" eb="1">
      <t>レイ</t>
    </rPh>
    <rPh sb="2" eb="4">
      <t>タテモノ</t>
    </rPh>
    <rPh sb="4" eb="6">
      <t>ゼンタイ</t>
    </rPh>
    <rPh sb="6" eb="7">
      <t>ノ</t>
    </rPh>
    <rPh sb="7" eb="10">
      <t>ユカメンセキ</t>
    </rPh>
    <phoneticPr fontId="44"/>
  </si>
  <si>
    <t>延床面積（評価対象分）</t>
    <rPh sb="5" eb="7">
      <t>ヒョウカ</t>
    </rPh>
    <rPh sb="7" eb="9">
      <t>タイショウ</t>
    </rPh>
    <rPh sb="9" eb="10">
      <t>ブン</t>
    </rPh>
    <phoneticPr fontId="44"/>
  </si>
  <si>
    <t>注1）</t>
    <rPh sb="0" eb="1">
      <t>チュウ</t>
    </rPh>
    <phoneticPr fontId="3"/>
  </si>
  <si>
    <r>
      <rPr>
        <sz val="10"/>
        <rFont val="ＭＳ Ｐゴシック"/>
        <family val="3"/>
        <charset val="128"/>
      </rPr>
      <t>注</t>
    </r>
    <r>
      <rPr>
        <sz val="10"/>
        <rFont val="Arial"/>
        <family val="2"/>
      </rPr>
      <t>1</t>
    </r>
    <r>
      <rPr>
        <sz val="10"/>
        <rFont val="ＭＳ Ｐゴシック"/>
        <family val="3"/>
        <charset val="128"/>
      </rPr>
      <t>）評価対象用途に集合住宅を含む場合、評価対象の面積が「区分所有法」の共用部分を含むため、</t>
    </r>
    <rPh sb="0" eb="1">
      <t>チュウ</t>
    </rPh>
    <rPh sb="3" eb="5">
      <t>ヒョウカ</t>
    </rPh>
    <rPh sb="5" eb="7">
      <t>タイショウ</t>
    </rPh>
    <rPh sb="7" eb="9">
      <t>ヨウト</t>
    </rPh>
    <rPh sb="10" eb="12">
      <t>シュウゴウ</t>
    </rPh>
    <rPh sb="12" eb="14">
      <t>ジュウタク</t>
    </rPh>
    <rPh sb="15" eb="16">
      <t>フク</t>
    </rPh>
    <rPh sb="17" eb="19">
      <t>バアイ</t>
    </rPh>
    <rPh sb="20" eb="22">
      <t>ヒョウカ</t>
    </rPh>
    <rPh sb="22" eb="24">
      <t>タイショウ</t>
    </rPh>
    <rPh sb="25" eb="27">
      <t>メンセキ</t>
    </rPh>
    <rPh sb="29" eb="31">
      <t>クブン</t>
    </rPh>
    <rPh sb="31" eb="33">
      <t>ショユウ</t>
    </rPh>
    <rPh sb="33" eb="34">
      <t>ホウ</t>
    </rPh>
    <rPh sb="36" eb="38">
      <t>キョウヨウ</t>
    </rPh>
    <rPh sb="38" eb="40">
      <t>ブブン</t>
    </rPh>
    <rPh sb="41" eb="42">
      <t>フク</t>
    </rPh>
    <phoneticPr fontId="3"/>
  </si>
  <si>
    <t>　　　表示方法によっては建築確認申請等の面積と異なる場合がございます。</t>
    <rPh sb="3" eb="5">
      <t>ヒョウジ</t>
    </rPh>
    <rPh sb="5" eb="7">
      <t>ホウホウ</t>
    </rPh>
    <rPh sb="12" eb="14">
      <t>ケンチク</t>
    </rPh>
    <rPh sb="14" eb="16">
      <t>カクニン</t>
    </rPh>
    <rPh sb="16" eb="18">
      <t>シンセイ</t>
    </rPh>
    <rPh sb="18" eb="19">
      <t>トウ</t>
    </rPh>
    <rPh sb="20" eb="22">
      <t>メンセキ</t>
    </rPh>
    <rPh sb="23" eb="24">
      <t>コト</t>
    </rPh>
    <rPh sb="26" eb="28">
      <t>バアイ</t>
    </rPh>
    <phoneticPr fontId="3"/>
  </si>
  <si>
    <t>対象面積</t>
    <rPh sb="0" eb="2">
      <t>タイショウ</t>
    </rPh>
    <rPh sb="2" eb="4">
      <t>メンセキ</t>
    </rPh>
    <phoneticPr fontId="3"/>
  </si>
  <si>
    <t>v1.21</t>
    <phoneticPr fontId="4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</si>
</sst>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yyyy&quot;年&quot;m&quot;月&quot;d&quot;日&quot;;@"/>
    <numFmt numFmtId="177" formatCode="0_ "/>
    <numFmt numFmtId="178" formatCode="#,##0_ "/>
    <numFmt numFmtId="179" formatCode="#,##0.0;[Red]\-#,##0.0"/>
    <numFmt numFmtId="180" formatCode="#,##0_);[Red]\(#,##0\)"/>
    <numFmt numFmtId="181" formatCode="0.0_ "/>
    <numFmt numFmtId="182" formatCode="0.00_ "/>
    <numFmt numFmtId="183" formatCode="0.0"/>
    <numFmt numFmtId="184" formatCode="#,##0.0\_x000a_&quot;・&quot;000"/>
    <numFmt numFmtId="185" formatCode="#,##0.0_ "/>
    <numFmt numFmtId="186" formatCode="#,##0.0_);[Red]\(#,##0.0\)"/>
    <numFmt numFmtId="187" formatCode="0.0_);[Red]\(0.0\)"/>
    <numFmt numFmtId="188" formatCode="0_);[Red]\(0\)"/>
  </numFmts>
  <fonts count="78">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0"/>
      <name val="Arial"/>
      <family val="2"/>
    </font>
    <font>
      <b/>
      <sz val="11"/>
      <name val="ＭＳ Ｐゴシック"/>
      <family val="3"/>
      <charset val="128"/>
    </font>
    <font>
      <sz val="10"/>
      <name val="ＭＳ Ｐゴシック"/>
      <family val="3"/>
      <charset val="128"/>
    </font>
    <font>
      <b/>
      <sz val="11"/>
      <color indexed="9"/>
      <name val="ＭＳ Ｐゴシック"/>
      <family val="3"/>
      <charset val="128"/>
    </font>
    <font>
      <sz val="11"/>
      <name val="Arial"/>
      <family val="2"/>
    </font>
    <font>
      <b/>
      <sz val="11"/>
      <color indexed="9"/>
      <name val="Arial"/>
      <family val="2"/>
    </font>
    <font>
      <b/>
      <sz val="10"/>
      <name val="ＭＳ Ｐゴシック"/>
      <family val="3"/>
      <charset val="128"/>
    </font>
    <font>
      <vertAlign val="superscript"/>
      <sz val="10"/>
      <name val="Arial"/>
      <family val="2"/>
    </font>
    <font>
      <sz val="10"/>
      <color indexed="10"/>
      <name val="ＭＳ Ｐゴシック"/>
      <family val="3"/>
      <charset val="128"/>
    </font>
    <font>
      <vertAlign val="subscript"/>
      <sz val="10"/>
      <name val="Arial"/>
      <family val="2"/>
    </font>
    <font>
      <sz val="9"/>
      <name val="ＭＳ Ｐゴシック"/>
      <family val="3"/>
      <charset val="128"/>
    </font>
    <font>
      <b/>
      <sz val="16"/>
      <name val="ＭＳ Ｐゴシック"/>
      <family val="3"/>
      <charset val="128"/>
    </font>
    <font>
      <b/>
      <sz val="9"/>
      <color indexed="81"/>
      <name val="ＭＳ Ｐゴシック"/>
      <family val="3"/>
      <charset val="128"/>
    </font>
    <font>
      <sz val="11"/>
      <name val="ＭＳ Ｐゴシック"/>
      <family val="3"/>
      <charset val="128"/>
    </font>
    <font>
      <sz val="11"/>
      <color indexed="8"/>
      <name val="ＭＳ Ｐゴシック"/>
      <family val="3"/>
      <charset val="128"/>
    </font>
    <font>
      <sz val="13"/>
      <name val="ＭＳ Ｐゴシック"/>
      <family val="3"/>
      <charset val="128"/>
    </font>
    <font>
      <sz val="11"/>
      <color indexed="10"/>
      <name val="ＭＳ Ｐゴシック"/>
      <family val="3"/>
      <charset val="128"/>
    </font>
    <font>
      <sz val="11"/>
      <color indexed="60"/>
      <name val="ＭＳ Ｐゴシック"/>
      <family val="3"/>
      <charset val="128"/>
    </font>
    <font>
      <sz val="9"/>
      <color indexed="60"/>
      <name val="ＭＳ Ｐゴシック"/>
      <family val="3"/>
      <charset val="128"/>
    </font>
    <font>
      <sz val="11"/>
      <color indexed="48"/>
      <name val="ＭＳ Ｐゴシック"/>
      <family val="3"/>
      <charset val="128"/>
    </font>
    <font>
      <sz val="9"/>
      <color indexed="48"/>
      <name val="ＭＳ Ｐゴシック"/>
      <family val="3"/>
      <charset val="128"/>
    </font>
    <font>
      <sz val="11"/>
      <color indexed="16"/>
      <name val="ＭＳ Ｐゴシック"/>
      <family val="3"/>
      <charset val="128"/>
    </font>
    <font>
      <sz val="16"/>
      <name val="ＭＳ Ｐゴシック"/>
      <family val="3"/>
      <charset val="128"/>
    </font>
    <font>
      <sz val="11"/>
      <color theme="1"/>
      <name val="ＭＳ Ｐゴシック"/>
      <family val="3"/>
      <charset val="128"/>
      <scheme val="minor"/>
    </font>
    <font>
      <sz val="10"/>
      <color theme="1"/>
      <name val="ＭＳ Ｐゴシック"/>
      <family val="3"/>
      <charset val="128"/>
      <scheme val="minor"/>
    </font>
    <font>
      <sz val="10"/>
      <color rgb="FFFF0000"/>
      <name val="ＭＳ Ｐゴシック"/>
      <family val="3"/>
      <charset val="128"/>
      <scheme val="minor"/>
    </font>
    <font>
      <sz val="10"/>
      <color rgb="FF0070C0"/>
      <name val="ＭＳ Ｐゴシック"/>
      <family val="3"/>
      <charset val="128"/>
      <scheme val="minor"/>
    </font>
    <font>
      <b/>
      <sz val="11"/>
      <color rgb="FFFF0000"/>
      <name val="ＭＳ Ｐゴシック"/>
      <family val="3"/>
      <charset val="128"/>
    </font>
    <font>
      <sz val="11"/>
      <color rgb="FFFF0000"/>
      <name val="ＭＳ Ｐゴシック"/>
      <family val="3"/>
      <charset val="128"/>
    </font>
    <font>
      <sz val="9"/>
      <name val="Arial"/>
      <family val="2"/>
    </font>
    <font>
      <b/>
      <sz val="28"/>
      <name val="ＭＳ Ｐゴシック"/>
      <family val="3"/>
      <charset val="128"/>
    </font>
    <font>
      <sz val="9"/>
      <color rgb="FFFF0000"/>
      <name val="ＭＳ Ｐゴシック"/>
      <family val="3"/>
      <charset val="128"/>
    </font>
    <font>
      <sz val="10"/>
      <color rgb="FFFF0000"/>
      <name val="ＭＳ Ｐゴシック"/>
      <family val="3"/>
      <charset val="128"/>
    </font>
    <font>
      <b/>
      <sz val="12"/>
      <name val="Yu Gothic Medium"/>
      <family val="3"/>
      <charset val="128"/>
    </font>
    <font>
      <sz val="9"/>
      <name val="Yu Gothic Medium"/>
      <family val="3"/>
      <charset val="128"/>
    </font>
    <font>
      <b/>
      <sz val="10"/>
      <name val="Yu Gothic Medium"/>
      <family val="3"/>
      <charset val="128"/>
    </font>
    <font>
      <b/>
      <sz val="7"/>
      <color theme="0"/>
      <name val="Yu Gothic Medium"/>
      <family val="3"/>
      <charset val="128"/>
    </font>
    <font>
      <b/>
      <sz val="9"/>
      <color theme="0"/>
      <name val="Yu Gothic Medium"/>
      <family val="3"/>
      <charset val="128"/>
    </font>
    <font>
      <sz val="9"/>
      <color theme="1"/>
      <name val="Yu Gothic Medium"/>
      <family val="3"/>
      <charset val="128"/>
    </font>
    <font>
      <sz val="9"/>
      <color rgb="FFFF0000"/>
      <name val="Yu Gothic Medium"/>
      <family val="3"/>
      <charset val="128"/>
    </font>
    <font>
      <sz val="6"/>
      <name val="ＭＳ Ｐゴシック"/>
      <family val="2"/>
      <charset val="128"/>
      <scheme val="minor"/>
    </font>
    <font>
      <sz val="9"/>
      <color rgb="FF00B050"/>
      <name val="Yu Gothic Medium"/>
      <family val="3"/>
      <charset val="128"/>
    </font>
    <font>
      <b/>
      <sz val="9"/>
      <color theme="0"/>
      <name val="Yu Gothic Medium"/>
      <family val="2"/>
      <charset val="128"/>
    </font>
    <font>
      <sz val="9"/>
      <color rgb="FF000000"/>
      <name val="Meiryo UI"/>
      <family val="3"/>
      <charset val="128"/>
    </font>
    <font>
      <sz val="10"/>
      <name val="Yu Gothic Medium"/>
      <family val="3"/>
      <charset val="128"/>
    </font>
    <font>
      <sz val="9"/>
      <name val="Yu Gothic Medium"/>
      <family val="2"/>
      <charset val="128"/>
    </font>
    <font>
      <b/>
      <sz val="9"/>
      <name val="Yu Gothic Medium"/>
      <family val="2"/>
      <charset val="128"/>
    </font>
    <font>
      <sz val="10"/>
      <color rgb="FFFF0000"/>
      <name val="Yu Gothic Medium"/>
      <family val="3"/>
      <charset val="128"/>
    </font>
    <font>
      <sz val="8.8000000000000007"/>
      <color theme="1"/>
      <name val="Yu Gothic Medium"/>
      <family val="3"/>
      <charset val="128"/>
    </font>
    <font>
      <b/>
      <sz val="11"/>
      <color theme="0"/>
      <name val="Yu Gothic Medium"/>
      <family val="2"/>
      <charset val="128"/>
    </font>
    <font>
      <sz val="11"/>
      <color theme="0"/>
      <name val="ＭＳ Ｐゴシック"/>
      <family val="3"/>
      <charset val="128"/>
    </font>
    <font>
      <b/>
      <sz val="11"/>
      <color theme="0"/>
      <name val="ＭＳ Ｐゴシック"/>
      <family val="3"/>
      <charset val="128"/>
    </font>
    <font>
      <sz val="9"/>
      <name val="ＭＳ Ｐゴシック"/>
      <family val="3"/>
      <charset val="128"/>
      <scheme val="minor"/>
    </font>
    <font>
      <sz val="8"/>
      <name val="ＭＳ Ｐゴシック"/>
      <family val="3"/>
      <charset val="128"/>
    </font>
    <font>
      <sz val="10"/>
      <color theme="1"/>
      <name val="ＭＳ Ｐゴシック"/>
      <family val="3"/>
      <charset val="128"/>
    </font>
    <font>
      <sz val="10"/>
      <color theme="1"/>
      <name val="Arial"/>
      <family val="2"/>
    </font>
    <font>
      <sz val="11"/>
      <color theme="1"/>
      <name val="ＭＳ Ｐゴシック"/>
      <family val="3"/>
      <charset val="128"/>
    </font>
    <font>
      <sz val="10"/>
      <name val="Yu Gothic"/>
      <family val="2"/>
      <charset val="128"/>
    </font>
    <font>
      <b/>
      <sz val="11"/>
      <color indexed="10"/>
      <name val="ＭＳ Ｐゴシック"/>
      <family val="3"/>
      <charset val="128"/>
    </font>
    <font>
      <sz val="10"/>
      <name val="ＭＳ Ｐゴシック"/>
      <family val="2"/>
      <charset val="128"/>
    </font>
    <font>
      <b/>
      <sz val="10"/>
      <color rgb="FF00B050"/>
      <name val="Arial"/>
      <family val="2"/>
    </font>
    <font>
      <b/>
      <sz val="14"/>
      <name val="ＭＳ Ｐゴシック"/>
      <family val="3"/>
      <charset val="128"/>
    </font>
    <font>
      <sz val="10"/>
      <name val="Yu Gothic"/>
      <family val="3"/>
      <charset val="128"/>
    </font>
    <font>
      <sz val="10"/>
      <name val="Arial"/>
      <family val="2"/>
      <charset val="128"/>
    </font>
    <font>
      <sz val="11"/>
      <color theme="1"/>
      <name val="Arial"/>
      <family val="2"/>
    </font>
    <font>
      <sz val="8"/>
      <name val="Arial"/>
      <family val="2"/>
    </font>
    <font>
      <sz val="10"/>
      <name val="Arial"/>
      <family val="3"/>
      <charset val="128"/>
    </font>
    <font>
      <b/>
      <sz val="10"/>
      <color indexed="9"/>
      <name val="ＭＳ Ｐゴシック"/>
      <family val="3"/>
      <charset val="128"/>
    </font>
    <font>
      <sz val="10"/>
      <name val="Arial"/>
      <family val="2"/>
      <charset val="129"/>
    </font>
    <font>
      <sz val="9"/>
      <color theme="1"/>
      <name val="ＭＳ Ｐゴシック"/>
      <family val="3"/>
      <charset val="128"/>
      <scheme val="minor"/>
    </font>
    <font>
      <sz val="11"/>
      <color rgb="FF0070C0"/>
      <name val="ＭＳ Ｐゴシック"/>
      <family val="3"/>
      <charset val="128"/>
    </font>
    <font>
      <sz val="8"/>
      <name val="游ゴシック"/>
      <family val="2"/>
      <charset val="128"/>
    </font>
    <font>
      <sz val="8"/>
      <name val="Arial"/>
      <family val="3"/>
      <charset val="128"/>
    </font>
    <font>
      <vertAlign val="superscript"/>
      <sz val="10"/>
      <name val="ＭＳ Ｐゴシック"/>
      <family val="3"/>
      <charset val="128"/>
    </font>
  </fonts>
  <fills count="44">
    <fill>
      <patternFill patternType="none"/>
    </fill>
    <fill>
      <patternFill patternType="gray125"/>
    </fill>
    <fill>
      <patternFill patternType="solid">
        <fgColor indexed="8"/>
        <bgColor indexed="64"/>
      </patternFill>
    </fill>
    <fill>
      <patternFill patternType="solid">
        <fgColor indexed="42"/>
        <bgColor indexed="64"/>
      </patternFill>
    </fill>
    <fill>
      <patternFill patternType="solid">
        <fgColor indexed="44"/>
        <bgColor indexed="64"/>
      </patternFill>
    </fill>
    <fill>
      <patternFill patternType="solid">
        <fgColor indexed="13"/>
        <bgColor indexed="64"/>
      </patternFill>
    </fill>
    <fill>
      <patternFill patternType="solid">
        <fgColor indexed="41"/>
        <bgColor indexed="64"/>
      </patternFill>
    </fill>
    <fill>
      <patternFill patternType="solid">
        <fgColor rgb="FFCCFFCC"/>
        <bgColor indexed="64"/>
      </patternFill>
    </fill>
    <fill>
      <patternFill patternType="solid">
        <fgColor theme="0"/>
        <bgColor indexed="64"/>
      </patternFill>
    </fill>
    <fill>
      <patternFill patternType="solid">
        <fgColor rgb="FFCCFFFF"/>
        <bgColor indexed="64"/>
      </patternFill>
    </fill>
    <fill>
      <patternFill patternType="solid">
        <fgColor rgb="FF92D050"/>
        <bgColor indexed="64"/>
      </patternFill>
    </fill>
    <fill>
      <patternFill patternType="solid">
        <fgColor rgb="FFFFFF00"/>
        <bgColor indexed="64"/>
      </patternFill>
    </fill>
    <fill>
      <patternFill patternType="solid">
        <fgColor rgb="FF99CCFF"/>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1" tint="0.34998626667073579"/>
        <bgColor indexed="64"/>
      </patternFill>
    </fill>
    <fill>
      <patternFill patternType="solid">
        <fgColor theme="4" tint="-0.249977111117893"/>
        <bgColor indexed="64"/>
      </patternFill>
    </fill>
    <fill>
      <patternFill patternType="solid">
        <fgColor theme="9" tint="-0.249977111117893"/>
        <bgColor indexed="64"/>
      </patternFill>
    </fill>
    <fill>
      <patternFill patternType="solid">
        <fgColor rgb="FF990000"/>
        <bgColor indexed="64"/>
      </patternFill>
    </fill>
    <fill>
      <patternFill patternType="solid">
        <fgColor rgb="FF78C965"/>
        <bgColor indexed="64"/>
      </patternFill>
    </fill>
    <fill>
      <patternFill patternType="solid">
        <fgColor rgb="FFEE7281"/>
        <bgColor indexed="64"/>
      </patternFill>
    </fill>
    <fill>
      <patternFill patternType="solid">
        <fgColor rgb="FFFE8676"/>
        <bgColor indexed="64"/>
      </patternFill>
    </fill>
    <fill>
      <patternFill patternType="solid">
        <fgColor rgb="FF86DAEE"/>
        <bgColor indexed="64"/>
      </patternFill>
    </fill>
    <fill>
      <patternFill patternType="solid">
        <fgColor rgb="FFFDDD77"/>
        <bgColor indexed="64"/>
      </patternFill>
    </fill>
    <fill>
      <patternFill patternType="solid">
        <fgColor rgb="FFE44A7A"/>
        <bgColor indexed="64"/>
      </patternFill>
    </fill>
    <fill>
      <patternFill patternType="solid">
        <fgColor rgb="FFFD8C59"/>
        <bgColor indexed="64"/>
      </patternFill>
    </fill>
    <fill>
      <patternFill patternType="solid">
        <fgColor rgb="FFFDBB6B"/>
        <bgColor indexed="64"/>
      </patternFill>
    </fill>
    <fill>
      <patternFill patternType="solid">
        <fgColor rgb="FFDBB36B"/>
        <bgColor indexed="64"/>
      </patternFill>
    </fill>
    <fill>
      <patternFill patternType="solid">
        <fgColor rgb="FF77BB7C"/>
        <bgColor indexed="64"/>
      </patternFill>
    </fill>
    <fill>
      <patternFill patternType="solid">
        <fgColor rgb="FF9BE27E"/>
        <bgColor indexed="64"/>
      </patternFill>
    </fill>
    <fill>
      <patternFill patternType="solid">
        <fgColor rgb="FF6DADDD"/>
        <bgColor indexed="64"/>
      </patternFill>
    </fill>
    <fill>
      <patternFill patternType="solid">
        <fgColor theme="0" tint="-0.249977111117893"/>
        <bgColor indexed="64"/>
      </patternFill>
    </fill>
    <fill>
      <patternFill patternType="solid">
        <fgColor theme="6" tint="-0.249977111117893"/>
        <bgColor indexed="64"/>
      </patternFill>
    </fill>
    <fill>
      <patternFill patternType="solid">
        <fgColor theme="3" tint="0.59999389629810485"/>
        <bgColor indexed="64"/>
      </patternFill>
    </fill>
    <fill>
      <patternFill patternType="solid">
        <fgColor theme="6" tint="0.59999389629810485"/>
        <bgColor indexed="64"/>
      </patternFill>
    </fill>
    <fill>
      <patternFill patternType="solid">
        <fgColor rgb="FFFF6C6F"/>
        <bgColor theme="0"/>
      </patternFill>
    </fill>
    <fill>
      <patternFill patternType="solid">
        <fgColor rgb="FFFF75AE"/>
        <bgColor indexed="64"/>
      </patternFill>
    </fill>
    <fill>
      <patternFill patternType="solid">
        <fgColor theme="4" tint="0.59996337778862885"/>
        <bgColor indexed="64"/>
      </patternFill>
    </fill>
    <fill>
      <patternFill patternType="solid">
        <fgColor theme="8" tint="0.39994506668294322"/>
        <bgColor indexed="64"/>
      </patternFill>
    </fill>
    <fill>
      <patternFill patternType="solid">
        <fgColor rgb="FFFFFF99"/>
        <bgColor indexed="64"/>
      </patternFill>
    </fill>
    <fill>
      <patternFill patternType="solid">
        <fgColor theme="1"/>
        <bgColor indexed="64"/>
      </patternFill>
    </fill>
    <fill>
      <patternFill patternType="solid">
        <fgColor theme="7" tint="0.39997558519241921"/>
        <bgColor indexed="64"/>
      </patternFill>
    </fill>
    <fill>
      <patternFill patternType="solid">
        <fgColor rgb="FFFFCCFF"/>
        <bgColor indexed="64"/>
      </patternFill>
    </fill>
    <fill>
      <patternFill patternType="solid">
        <fgColor rgb="FF00B050"/>
        <bgColor indexed="64"/>
      </patternFill>
    </fill>
  </fills>
  <borders count="7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9"/>
      </left>
      <right style="thin">
        <color indexed="9"/>
      </right>
      <top style="thin">
        <color indexed="9"/>
      </top>
      <bottom style="thin">
        <color indexed="9"/>
      </bottom>
      <diagonal/>
    </border>
    <border>
      <left/>
      <right style="thin">
        <color indexed="9"/>
      </right>
      <top style="thin">
        <color indexed="9"/>
      </top>
      <bottom style="thin">
        <color indexed="9"/>
      </bottom>
      <diagonal/>
    </border>
    <border>
      <left/>
      <right style="thick">
        <color indexed="10"/>
      </right>
      <top style="thick">
        <color indexed="9"/>
      </top>
      <bottom style="thick">
        <color indexed="10"/>
      </bottom>
      <diagonal/>
    </border>
    <border>
      <left/>
      <right/>
      <top/>
      <bottom style="thick">
        <color indexed="10"/>
      </bottom>
      <diagonal/>
    </border>
    <border>
      <left style="thick">
        <color indexed="10"/>
      </left>
      <right/>
      <top/>
      <bottom style="thick">
        <color indexed="10"/>
      </bottom>
      <diagonal/>
    </border>
    <border>
      <left/>
      <right style="thick">
        <color indexed="10"/>
      </right>
      <top style="thick">
        <color indexed="10"/>
      </top>
      <bottom style="thick">
        <color indexed="9"/>
      </bottom>
      <diagonal/>
    </border>
    <border>
      <left/>
      <right/>
      <top style="thick">
        <color indexed="10"/>
      </top>
      <bottom/>
      <diagonal/>
    </border>
    <border>
      <left style="thick">
        <color indexed="10"/>
      </left>
      <right/>
      <top style="thick">
        <color indexed="10"/>
      </top>
      <bottom style="thick">
        <color indexed="9"/>
      </bottom>
      <diagonal/>
    </border>
    <border>
      <left style="thin">
        <color indexed="9"/>
      </left>
      <right style="thin">
        <color indexed="9"/>
      </right>
      <top style="thin">
        <color indexed="9"/>
      </top>
      <bottom/>
      <diagonal/>
    </border>
    <border>
      <left style="thin">
        <color indexed="9"/>
      </left>
      <right style="thin">
        <color indexed="9"/>
      </right>
      <top/>
      <bottom style="thin">
        <color indexed="9"/>
      </bottom>
      <diagonal/>
    </border>
    <border>
      <left style="thick">
        <color indexed="10"/>
      </left>
      <right style="thick">
        <color indexed="10"/>
      </right>
      <top style="thick">
        <color indexed="10"/>
      </top>
      <bottom style="thick">
        <color indexed="10"/>
      </bottom>
      <diagonal/>
    </border>
    <border>
      <left/>
      <right style="thick">
        <color indexed="12"/>
      </right>
      <top style="thick">
        <color indexed="9"/>
      </top>
      <bottom style="thick">
        <color indexed="12"/>
      </bottom>
      <diagonal/>
    </border>
    <border>
      <left/>
      <right/>
      <top/>
      <bottom style="thick">
        <color indexed="12"/>
      </bottom>
      <diagonal/>
    </border>
    <border>
      <left style="thick">
        <color indexed="12"/>
      </left>
      <right/>
      <top/>
      <bottom style="thick">
        <color indexed="12"/>
      </bottom>
      <diagonal/>
    </border>
    <border>
      <left style="thick">
        <color indexed="9"/>
      </left>
      <right style="thick">
        <color indexed="12"/>
      </right>
      <top style="thick">
        <color indexed="9"/>
      </top>
      <bottom style="thick">
        <color indexed="9"/>
      </bottom>
      <diagonal/>
    </border>
    <border>
      <left style="thin">
        <color indexed="9"/>
      </left>
      <right/>
      <top style="thin">
        <color indexed="9"/>
      </top>
      <bottom style="thin">
        <color indexed="9"/>
      </bottom>
      <diagonal/>
    </border>
    <border>
      <left/>
      <right style="thick">
        <color indexed="12"/>
      </right>
      <top style="thick">
        <color indexed="12"/>
      </top>
      <bottom style="thick">
        <color indexed="9"/>
      </bottom>
      <diagonal/>
    </border>
    <border>
      <left/>
      <right/>
      <top style="thick">
        <color indexed="12"/>
      </top>
      <bottom/>
      <diagonal/>
    </border>
    <border>
      <left style="thick">
        <color indexed="12"/>
      </left>
      <right/>
      <top style="thick">
        <color indexed="12"/>
      </top>
      <bottom style="thick">
        <color indexed="9"/>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theme="0"/>
      </left>
      <right style="thick">
        <color theme="0"/>
      </right>
      <top style="thick">
        <color indexed="10"/>
      </top>
      <bottom style="thin">
        <color indexed="9"/>
      </bottom>
      <diagonal/>
    </border>
    <border>
      <left style="thick">
        <color indexed="10"/>
      </left>
      <right style="thin">
        <color theme="0"/>
      </right>
      <top style="thick">
        <color indexed="9"/>
      </top>
      <bottom style="thin">
        <color theme="0"/>
      </bottom>
      <diagonal/>
    </border>
    <border>
      <left style="thick">
        <color indexed="10"/>
      </left>
      <right style="thin">
        <color theme="0"/>
      </right>
      <top style="thin">
        <color theme="0"/>
      </top>
      <bottom style="thick">
        <color indexed="9"/>
      </bottom>
      <diagonal/>
    </border>
    <border>
      <left style="thick">
        <color indexed="12"/>
      </left>
      <right style="thin">
        <color theme="0"/>
      </right>
      <top style="thick">
        <color indexed="9"/>
      </top>
      <bottom style="thin">
        <color theme="0"/>
      </bottom>
      <diagonal/>
    </border>
    <border>
      <left style="thick">
        <color indexed="12"/>
      </left>
      <right style="thin">
        <color theme="0"/>
      </right>
      <top style="thin">
        <color theme="0"/>
      </top>
      <bottom style="thick">
        <color indexed="9"/>
      </bottom>
      <diagonal/>
    </border>
    <border>
      <left style="thin">
        <color theme="0"/>
      </left>
      <right style="thin">
        <color theme="0"/>
      </right>
      <top style="thin">
        <color theme="0"/>
      </top>
      <bottom style="thin">
        <color theme="0"/>
      </bottom>
      <diagonal/>
    </border>
    <border>
      <left style="thick">
        <color rgb="FFFF0000"/>
      </left>
      <right style="thick">
        <color rgb="FFFF0000"/>
      </right>
      <top style="thick">
        <color rgb="FFFF0000"/>
      </top>
      <bottom style="thick">
        <color rgb="FFFF0000"/>
      </bottom>
      <diagonal/>
    </border>
    <border>
      <left style="thin">
        <color indexed="64"/>
      </left>
      <right style="double">
        <color indexed="64"/>
      </right>
      <top style="thin">
        <color indexed="64"/>
      </top>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thin">
        <color indexed="64"/>
      </left>
      <right/>
      <top style="thin">
        <color indexed="64"/>
      </top>
      <bottom style="dotted">
        <color indexed="64"/>
      </bottom>
      <diagonal/>
    </border>
    <border>
      <left style="thin">
        <color indexed="64"/>
      </left>
      <right/>
      <top style="dotted">
        <color indexed="64"/>
      </top>
      <bottom style="thin">
        <color indexed="64"/>
      </bottom>
      <diagonal/>
    </border>
    <border>
      <left style="thin">
        <color indexed="64"/>
      </left>
      <right style="double">
        <color indexed="64"/>
      </right>
      <top/>
      <bottom/>
      <diagonal/>
    </border>
    <border>
      <left style="thin">
        <color indexed="64"/>
      </left>
      <right/>
      <top style="dotted">
        <color indexed="64"/>
      </top>
      <bottom style="dotted">
        <color indexed="64"/>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top/>
      <bottom style="thin">
        <color indexed="64"/>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style="thin">
        <color indexed="9"/>
      </right>
      <top/>
      <bottom style="thin">
        <color indexed="9"/>
      </bottom>
      <diagonal/>
    </border>
    <border>
      <left/>
      <right/>
      <top style="thin">
        <color auto="1"/>
      </top>
      <bottom/>
      <diagonal/>
    </border>
  </borders>
  <cellStyleXfs count="13">
    <xf numFmtId="0" fontId="0" fillId="0" borderId="0"/>
    <xf numFmtId="9" fontId="17" fillId="0" borderId="0" applyFont="0" applyFill="0" applyBorder="0" applyAlignment="0" applyProtection="0"/>
    <xf numFmtId="38" fontId="2" fillId="0" borderId="0" applyFont="0" applyFill="0" applyBorder="0" applyAlignment="0" applyProtection="0"/>
    <xf numFmtId="38" fontId="17" fillId="0" borderId="0" applyFont="0" applyFill="0" applyBorder="0" applyAlignment="0" applyProtection="0"/>
    <xf numFmtId="38" fontId="27" fillId="0" borderId="0" applyFont="0" applyFill="0" applyBorder="0" applyAlignment="0" applyProtection="0">
      <alignment vertical="center"/>
    </xf>
    <xf numFmtId="38" fontId="17" fillId="0" borderId="0" applyFont="0" applyFill="0" applyBorder="0" applyAlignment="0" applyProtection="0">
      <alignment vertical="center"/>
    </xf>
    <xf numFmtId="0" fontId="27" fillId="0" borderId="0">
      <alignment vertical="center"/>
    </xf>
    <xf numFmtId="0" fontId="17" fillId="0" borderId="0">
      <alignment vertical="center"/>
    </xf>
    <xf numFmtId="0" fontId="17" fillId="0" borderId="0">
      <alignment vertical="center"/>
    </xf>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cellStyleXfs>
  <cellXfs count="921">
    <xf numFmtId="0" fontId="0" fillId="0" borderId="0" xfId="0"/>
    <xf numFmtId="0" fontId="6" fillId="0" borderId="0" xfId="0" applyFont="1"/>
    <xf numFmtId="0" fontId="6" fillId="0" borderId="0" xfId="0" applyFont="1" applyAlignment="1">
      <alignment horizontal="right"/>
    </xf>
    <xf numFmtId="0" fontId="8" fillId="0" borderId="0" xfId="0" applyFont="1"/>
    <xf numFmtId="0" fontId="4" fillId="0" borderId="0" xfId="0" applyFont="1"/>
    <xf numFmtId="0" fontId="9" fillId="2" borderId="1" xfId="0" applyFont="1" applyFill="1" applyBorder="1" applyAlignment="1">
      <alignment vertical="center"/>
    </xf>
    <xf numFmtId="0" fontId="7" fillId="2" borderId="2" xfId="0" applyFont="1" applyFill="1" applyBorder="1" applyAlignment="1">
      <alignment vertical="center"/>
    </xf>
    <xf numFmtId="0" fontId="9" fillId="2" borderId="2" xfId="0" applyFont="1" applyFill="1" applyBorder="1" applyAlignment="1">
      <alignment vertical="center"/>
    </xf>
    <xf numFmtId="0" fontId="9" fillId="2" borderId="3" xfId="0" applyFont="1" applyFill="1" applyBorder="1" applyAlignment="1">
      <alignment vertical="center"/>
    </xf>
    <xf numFmtId="0" fontId="8" fillId="0" borderId="4" xfId="0" applyFont="1" applyBorder="1" applyAlignment="1">
      <alignment vertical="center"/>
    </xf>
    <xf numFmtId="0" fontId="6" fillId="0" borderId="0" xfId="0" applyFont="1" applyAlignment="1">
      <alignment vertical="center"/>
    </xf>
    <xf numFmtId="0" fontId="4" fillId="0" borderId="0" xfId="0" applyFont="1" applyAlignment="1">
      <alignment vertical="center"/>
    </xf>
    <xf numFmtId="0" fontId="4" fillId="0" borderId="5" xfId="0" applyFont="1" applyBorder="1" applyAlignment="1">
      <alignment vertical="center"/>
    </xf>
    <xf numFmtId="0" fontId="8" fillId="0" borderId="6" xfId="0" applyFont="1" applyBorder="1" applyAlignment="1">
      <alignment vertical="center"/>
    </xf>
    <xf numFmtId="0" fontId="4" fillId="0" borderId="7" xfId="0" applyFont="1" applyBorder="1" applyAlignment="1">
      <alignment vertical="center"/>
    </xf>
    <xf numFmtId="0" fontId="6" fillId="0" borderId="4" xfId="0" applyFont="1" applyBorder="1" applyAlignment="1">
      <alignment vertical="center"/>
    </xf>
    <xf numFmtId="0" fontId="6" fillId="0" borderId="5" xfId="0" applyFont="1" applyBorder="1" applyAlignment="1">
      <alignment vertical="center"/>
    </xf>
    <xf numFmtId="0" fontId="6" fillId="0" borderId="6" xfId="0" applyFont="1" applyBorder="1" applyAlignment="1">
      <alignment vertical="center"/>
    </xf>
    <xf numFmtId="0" fontId="6" fillId="0" borderId="8" xfId="0" applyFont="1" applyBorder="1" applyAlignment="1">
      <alignment vertical="center"/>
    </xf>
    <xf numFmtId="177" fontId="4" fillId="0" borderId="9" xfId="0" applyNumberFormat="1" applyFont="1" applyBorder="1" applyAlignment="1">
      <alignment horizontal="center"/>
    </xf>
    <xf numFmtId="0" fontId="6" fillId="3" borderId="9" xfId="0" applyFont="1" applyFill="1" applyBorder="1" applyAlignment="1" applyProtection="1">
      <alignment horizontal="center" vertical="center"/>
      <protection locked="0"/>
    </xf>
    <xf numFmtId="0" fontId="6" fillId="3" borderId="0" xfId="0" applyFont="1" applyFill="1" applyAlignment="1" applyProtection="1">
      <alignment vertical="center"/>
      <protection locked="0"/>
    </xf>
    <xf numFmtId="0" fontId="4" fillId="3" borderId="0" xfId="0" applyFont="1" applyFill="1" applyAlignment="1" applyProtection="1">
      <alignment vertical="center"/>
      <protection locked="0"/>
    </xf>
    <xf numFmtId="178" fontId="6" fillId="3" borderId="0" xfId="0" applyNumberFormat="1" applyFont="1" applyFill="1" applyAlignment="1" applyProtection="1">
      <alignment vertical="center"/>
      <protection locked="0"/>
    </xf>
    <xf numFmtId="178" fontId="4" fillId="3" borderId="7" xfId="0" applyNumberFormat="1" applyFont="1" applyFill="1" applyBorder="1" applyAlignment="1" applyProtection="1">
      <alignment vertical="center"/>
      <protection locked="0"/>
    </xf>
    <xf numFmtId="0" fontId="4" fillId="3" borderId="5" xfId="0" applyFont="1" applyFill="1" applyBorder="1" applyAlignment="1" applyProtection="1">
      <alignment vertical="center"/>
      <protection locked="0"/>
    </xf>
    <xf numFmtId="0" fontId="8" fillId="0" borderId="4" xfId="0" applyFont="1" applyBorder="1"/>
    <xf numFmtId="0" fontId="4" fillId="0" borderId="5" xfId="0" applyFont="1" applyBorder="1"/>
    <xf numFmtId="0" fontId="4" fillId="0" borderId="5" xfId="0" applyFont="1" applyBorder="1" applyAlignment="1">
      <alignment horizontal="left" vertical="center"/>
    </xf>
    <xf numFmtId="0" fontId="8" fillId="0" borderId="6" xfId="0" applyFont="1" applyBorder="1"/>
    <xf numFmtId="0" fontId="4" fillId="0" borderId="7" xfId="0" applyFont="1" applyBorder="1"/>
    <xf numFmtId="0" fontId="6" fillId="0" borderId="0" xfId="0" applyFont="1" applyAlignment="1">
      <alignment horizontal="center" vertical="center"/>
    </xf>
    <xf numFmtId="0" fontId="4" fillId="0" borderId="0" xfId="0" applyFont="1" applyAlignment="1">
      <alignment horizontal="right" vertical="center"/>
    </xf>
    <xf numFmtId="0" fontId="5" fillId="0" borderId="0" xfId="0" applyFont="1" applyAlignment="1">
      <alignment horizontal="right" vertical="center"/>
    </xf>
    <xf numFmtId="0" fontId="5" fillId="0" borderId="0" xfId="0" applyFont="1" applyAlignment="1">
      <alignment vertical="center"/>
    </xf>
    <xf numFmtId="0" fontId="9" fillId="2" borderId="4" xfId="0" applyFont="1" applyFill="1" applyBorder="1" applyAlignment="1">
      <alignment vertical="center"/>
    </xf>
    <xf numFmtId="0" fontId="7" fillId="2" borderId="0" xfId="0" applyFont="1" applyFill="1" applyAlignment="1">
      <alignment vertical="center"/>
    </xf>
    <xf numFmtId="0" fontId="9" fillId="2" borderId="0" xfId="0" applyFont="1" applyFill="1" applyAlignment="1">
      <alignment vertical="center"/>
    </xf>
    <xf numFmtId="0" fontId="9" fillId="2" borderId="5" xfId="0" applyFont="1" applyFill="1" applyBorder="1" applyAlignment="1">
      <alignment vertical="center"/>
    </xf>
    <xf numFmtId="0" fontId="4" fillId="0" borderId="8" xfId="0" applyFont="1" applyBorder="1"/>
    <xf numFmtId="38" fontId="4" fillId="3" borderId="9" xfId="2" applyFont="1" applyFill="1" applyBorder="1" applyAlignment="1" applyProtection="1">
      <alignment horizontal="center" vertical="top"/>
      <protection locked="0"/>
    </xf>
    <xf numFmtId="0" fontId="0" fillId="0" borderId="9" xfId="0" applyBorder="1"/>
    <xf numFmtId="0" fontId="6" fillId="0" borderId="0" xfId="0" applyFont="1" applyAlignment="1">
      <alignment horizontal="right" vertical="center"/>
    </xf>
    <xf numFmtId="0" fontId="0" fillId="0" borderId="4" xfId="0" applyBorder="1"/>
    <xf numFmtId="0" fontId="0" fillId="0" borderId="5" xfId="0" applyBorder="1"/>
    <xf numFmtId="38" fontId="0" fillId="0" borderId="9" xfId="2" applyFont="1" applyBorder="1"/>
    <xf numFmtId="0" fontId="5" fillId="0" borderId="0" xfId="0" applyFont="1"/>
    <xf numFmtId="0" fontId="0" fillId="0" borderId="9" xfId="0" applyBorder="1" applyAlignment="1">
      <alignment vertical="center" wrapText="1"/>
    </xf>
    <xf numFmtId="0" fontId="0" fillId="0" borderId="9" xfId="0" applyBorder="1" applyAlignment="1">
      <alignment vertical="center"/>
    </xf>
    <xf numFmtId="181" fontId="4" fillId="3" borderId="9" xfId="0" applyNumberFormat="1" applyFont="1" applyFill="1" applyBorder="1" applyAlignment="1" applyProtection="1">
      <alignment horizontal="center"/>
      <protection locked="0"/>
    </xf>
    <xf numFmtId="177" fontId="4" fillId="0" borderId="12" xfId="0" quotePrefix="1" applyNumberFormat="1" applyFont="1" applyBorder="1" applyAlignment="1">
      <alignment horizontal="center"/>
    </xf>
    <xf numFmtId="177" fontId="4" fillId="0" borderId="0" xfId="0" applyNumberFormat="1" applyFont="1" applyAlignment="1">
      <alignment horizontal="center"/>
    </xf>
    <xf numFmtId="0" fontId="0" fillId="0" borderId="0" xfId="0" applyAlignment="1">
      <alignment horizontal="right" vertical="center"/>
    </xf>
    <xf numFmtId="0" fontId="0" fillId="0" borderId="0" xfId="0" applyAlignment="1">
      <alignment vertical="center"/>
    </xf>
    <xf numFmtId="0" fontId="6" fillId="7" borderId="0" xfId="0" applyFont="1" applyFill="1" applyAlignment="1" applyProtection="1">
      <alignment vertical="center"/>
      <protection locked="0"/>
    </xf>
    <xf numFmtId="0" fontId="4" fillId="7" borderId="5" xfId="0" applyFont="1" applyFill="1" applyBorder="1" applyAlignment="1" applyProtection="1">
      <alignment vertical="center"/>
      <protection locked="0"/>
    </xf>
    <xf numFmtId="181" fontId="4" fillId="0" borderId="9" xfId="0" applyNumberFormat="1" applyFont="1" applyBorder="1" applyAlignment="1">
      <alignment horizontal="center"/>
    </xf>
    <xf numFmtId="177" fontId="0" fillId="0" borderId="9" xfId="0" applyNumberFormat="1" applyBorder="1" applyAlignment="1">
      <alignment vertical="center" wrapText="1"/>
    </xf>
    <xf numFmtId="38" fontId="18" fillId="0" borderId="9" xfId="3" applyFont="1" applyFill="1" applyBorder="1" applyAlignment="1">
      <alignment vertical="center"/>
    </xf>
    <xf numFmtId="177" fontId="0" fillId="0" borderId="0" xfId="0" applyNumberFormat="1" applyAlignment="1">
      <alignment vertical="center" wrapText="1"/>
    </xf>
    <xf numFmtId="38" fontId="18" fillId="0" borderId="0" xfId="2" applyFont="1" applyFill="1" applyBorder="1" applyAlignment="1">
      <alignment vertical="center"/>
    </xf>
    <xf numFmtId="0" fontId="6" fillId="3" borderId="11" xfId="0" applyFont="1" applyFill="1" applyBorder="1" applyAlignment="1" applyProtection="1">
      <alignment horizontal="left" vertical="center"/>
      <protection locked="0"/>
    </xf>
    <xf numFmtId="0" fontId="28" fillId="8" borderId="0" xfId="6" applyFont="1" applyFill="1">
      <alignment vertical="center"/>
    </xf>
    <xf numFmtId="0" fontId="28" fillId="8" borderId="9" xfId="6" applyFont="1" applyFill="1" applyBorder="1">
      <alignment vertical="center"/>
    </xf>
    <xf numFmtId="38" fontId="28" fillId="8" borderId="9" xfId="4" applyFont="1" applyFill="1" applyBorder="1">
      <alignment vertical="center"/>
    </xf>
    <xf numFmtId="0" fontId="28" fillId="8" borderId="9" xfId="6" applyFont="1" applyFill="1" applyBorder="1" applyAlignment="1">
      <alignment horizontal="center" vertical="center"/>
    </xf>
    <xf numFmtId="0" fontId="28" fillId="8" borderId="4" xfId="6" applyFont="1" applyFill="1" applyBorder="1" applyAlignment="1">
      <alignment horizontal="right" vertical="center"/>
    </xf>
    <xf numFmtId="0" fontId="29" fillId="8" borderId="9" xfId="6" applyFont="1" applyFill="1" applyBorder="1">
      <alignment vertical="center"/>
    </xf>
    <xf numFmtId="38" fontId="28" fillId="8" borderId="2" xfId="4" applyFont="1" applyFill="1" applyBorder="1">
      <alignment vertical="center"/>
    </xf>
    <xf numFmtId="0" fontId="0" fillId="0" borderId="0" xfId="7" applyFont="1">
      <alignment vertical="center"/>
    </xf>
    <xf numFmtId="180" fontId="0" fillId="0" borderId="0" xfId="7" applyNumberFormat="1" applyFont="1">
      <alignment vertical="center"/>
    </xf>
    <xf numFmtId="0" fontId="0" fillId="0" borderId="14" xfId="7" applyFont="1" applyBorder="1">
      <alignment vertical="center"/>
    </xf>
    <xf numFmtId="180" fontId="0" fillId="0" borderId="14" xfId="7" applyNumberFormat="1" applyFont="1" applyBorder="1">
      <alignment vertical="center"/>
    </xf>
    <xf numFmtId="0" fontId="17" fillId="0" borderId="36" xfId="7" applyBorder="1">
      <alignment vertical="center"/>
    </xf>
    <xf numFmtId="180" fontId="20" fillId="0" borderId="36" xfId="7" applyNumberFormat="1" applyFont="1" applyBorder="1">
      <alignment vertical="center"/>
    </xf>
    <xf numFmtId="0" fontId="0" fillId="0" borderId="0" xfId="7" applyFont="1" applyAlignment="1">
      <alignment horizontal="right" vertical="center"/>
    </xf>
    <xf numFmtId="0" fontId="0" fillId="0" borderId="15" xfId="7" applyFont="1" applyBorder="1">
      <alignment vertical="center"/>
    </xf>
    <xf numFmtId="0" fontId="17" fillId="0" borderId="37" xfId="7" applyBorder="1">
      <alignment vertical="center"/>
    </xf>
    <xf numFmtId="0" fontId="0" fillId="0" borderId="16" xfId="7" applyFont="1" applyBorder="1">
      <alignment vertical="center"/>
    </xf>
    <xf numFmtId="0" fontId="0" fillId="0" borderId="18" xfId="7" applyFont="1" applyBorder="1" applyAlignment="1">
      <alignment horizontal="right" vertical="center"/>
    </xf>
    <xf numFmtId="0" fontId="17" fillId="0" borderId="38" xfId="7" applyBorder="1">
      <alignment vertical="center"/>
    </xf>
    <xf numFmtId="0" fontId="0" fillId="0" borderId="19" xfId="7" applyFont="1" applyBorder="1">
      <alignment vertical="center"/>
    </xf>
    <xf numFmtId="0" fontId="0" fillId="0" borderId="21" xfId="7" applyFont="1" applyBorder="1">
      <alignment vertical="center"/>
    </xf>
    <xf numFmtId="0" fontId="0" fillId="0" borderId="22" xfId="7" applyFont="1" applyBorder="1">
      <alignment vertical="center"/>
    </xf>
    <xf numFmtId="0" fontId="22" fillId="0" borderId="14" xfId="7" applyFont="1" applyBorder="1">
      <alignment vertical="center"/>
    </xf>
    <xf numFmtId="0" fontId="0" fillId="0" borderId="14" xfId="7" applyFont="1" applyBorder="1" applyAlignment="1">
      <alignment horizontal="right" vertical="center"/>
    </xf>
    <xf numFmtId="0" fontId="24" fillId="0" borderId="14" xfId="7" applyFont="1" applyBorder="1">
      <alignment vertical="center"/>
    </xf>
    <xf numFmtId="0" fontId="0" fillId="0" borderId="23" xfId="7" applyFont="1" applyBorder="1">
      <alignment vertical="center"/>
    </xf>
    <xf numFmtId="177" fontId="0" fillId="5" borderId="24" xfId="7" applyNumberFormat="1" applyFont="1" applyFill="1" applyBorder="1" applyProtection="1">
      <alignment vertical="center"/>
      <protection locked="0"/>
    </xf>
    <xf numFmtId="0" fontId="17" fillId="0" borderId="39" xfId="7" applyBorder="1">
      <alignment vertical="center"/>
    </xf>
    <xf numFmtId="0" fontId="0" fillId="0" borderId="25" xfId="7" applyFont="1" applyBorder="1">
      <alignment vertical="center"/>
    </xf>
    <xf numFmtId="0" fontId="0" fillId="0" borderId="27" xfId="7" applyFont="1" applyBorder="1" applyAlignment="1">
      <alignment horizontal="right" vertical="center"/>
    </xf>
    <xf numFmtId="0" fontId="0" fillId="0" borderId="28" xfId="7" applyFont="1" applyBorder="1" applyAlignment="1">
      <alignment horizontal="right" vertical="center"/>
    </xf>
    <xf numFmtId="0" fontId="0" fillId="0" borderId="29" xfId="7" applyFont="1" applyBorder="1">
      <alignment vertical="center"/>
    </xf>
    <xf numFmtId="0" fontId="17" fillId="0" borderId="40" xfId="7" applyBorder="1">
      <alignment vertical="center"/>
    </xf>
    <xf numFmtId="0" fontId="0" fillId="0" borderId="30" xfId="7" applyFont="1" applyBorder="1">
      <alignment vertical="center"/>
    </xf>
    <xf numFmtId="0" fontId="0" fillId="0" borderId="32" xfId="7" applyFont="1" applyBorder="1">
      <alignment vertical="center"/>
    </xf>
    <xf numFmtId="0" fontId="0" fillId="0" borderId="28" xfId="7" applyFont="1" applyBorder="1">
      <alignment vertical="center"/>
    </xf>
    <xf numFmtId="178" fontId="25" fillId="0" borderId="14" xfId="7" applyNumberFormat="1" applyFont="1" applyBorder="1">
      <alignment vertical="center"/>
    </xf>
    <xf numFmtId="178" fontId="23" fillId="0" borderId="14" xfId="7" applyNumberFormat="1" applyFont="1" applyBorder="1">
      <alignment vertical="center"/>
    </xf>
    <xf numFmtId="38" fontId="25" fillId="0" borderId="14" xfId="5" applyFont="1" applyFill="1" applyBorder="1">
      <alignment vertical="center"/>
    </xf>
    <xf numFmtId="177" fontId="17" fillId="0" borderId="41" xfId="7" applyNumberFormat="1" applyBorder="1">
      <alignment vertical="center"/>
    </xf>
    <xf numFmtId="0" fontId="0" fillId="3" borderId="14" xfId="7" applyFont="1" applyFill="1" applyBorder="1">
      <alignment vertical="center"/>
    </xf>
    <xf numFmtId="0" fontId="0" fillId="4" borderId="14" xfId="7" applyFont="1" applyFill="1" applyBorder="1">
      <alignment vertical="center"/>
    </xf>
    <xf numFmtId="181" fontId="0" fillId="0" borderId="14" xfId="7" applyNumberFormat="1" applyFont="1" applyBorder="1">
      <alignment vertical="center"/>
    </xf>
    <xf numFmtId="0" fontId="0" fillId="0" borderId="14" xfId="7" applyFont="1" applyBorder="1" applyAlignment="1">
      <alignment horizontal="left" vertical="center"/>
    </xf>
    <xf numFmtId="181" fontId="0" fillId="5" borderId="24" xfId="7" applyNumberFormat="1" applyFont="1" applyFill="1" applyBorder="1" applyProtection="1">
      <alignment vertical="center"/>
      <protection locked="0"/>
    </xf>
    <xf numFmtId="0" fontId="0" fillId="5" borderId="24" xfId="7" applyFont="1" applyFill="1" applyBorder="1" applyProtection="1">
      <alignment vertical="center"/>
      <protection locked="0"/>
    </xf>
    <xf numFmtId="177" fontId="0" fillId="5" borderId="24" xfId="7" applyNumberFormat="1" applyFont="1" applyFill="1" applyBorder="1">
      <alignment vertical="center"/>
    </xf>
    <xf numFmtId="180" fontId="0" fillId="0" borderId="14" xfId="7" applyNumberFormat="1" applyFont="1" applyBorder="1" applyAlignment="1">
      <alignment horizontal="right" vertical="center"/>
    </xf>
    <xf numFmtId="0" fontId="14" fillId="0" borderId="14" xfId="7" applyFont="1" applyBorder="1">
      <alignment vertical="center"/>
    </xf>
    <xf numFmtId="0" fontId="26" fillId="0" borderId="14" xfId="7" applyFont="1" applyBorder="1">
      <alignment vertical="center"/>
    </xf>
    <xf numFmtId="0" fontId="0" fillId="0" borderId="14" xfId="8" applyFont="1" applyBorder="1">
      <alignment vertical="center"/>
    </xf>
    <xf numFmtId="0" fontId="0" fillId="0" borderId="0" xfId="8" applyFont="1">
      <alignment vertical="center"/>
    </xf>
    <xf numFmtId="180" fontId="0" fillId="0" borderId="0" xfId="8" applyNumberFormat="1" applyFont="1">
      <alignment vertical="center"/>
    </xf>
    <xf numFmtId="9" fontId="0" fillId="0" borderId="9" xfId="1" applyFont="1" applyBorder="1"/>
    <xf numFmtId="9" fontId="0" fillId="0" borderId="0" xfId="1" applyFont="1" applyBorder="1"/>
    <xf numFmtId="178" fontId="4" fillId="3" borderId="0" xfId="0" applyNumberFormat="1" applyFont="1" applyFill="1" applyAlignment="1" applyProtection="1">
      <alignment vertical="center"/>
      <protection locked="0"/>
    </xf>
    <xf numFmtId="38" fontId="0" fillId="0" borderId="9" xfId="3" applyFont="1" applyBorder="1"/>
    <xf numFmtId="38" fontId="4" fillId="3" borderId="9" xfId="3" applyFont="1" applyFill="1" applyBorder="1" applyAlignment="1" applyProtection="1">
      <alignment horizontal="center" vertical="top"/>
      <protection locked="0"/>
    </xf>
    <xf numFmtId="179" fontId="4" fillId="3" borderId="9" xfId="3" applyNumberFormat="1" applyFont="1" applyFill="1" applyBorder="1" applyAlignment="1" applyProtection="1">
      <alignment horizontal="center" vertical="top"/>
      <protection locked="0"/>
    </xf>
    <xf numFmtId="38" fontId="0" fillId="0" borderId="0" xfId="3" applyFont="1"/>
    <xf numFmtId="38" fontId="18" fillId="0" borderId="0" xfId="3" applyFont="1" applyFill="1" applyBorder="1" applyAlignment="1">
      <alignment vertical="center"/>
    </xf>
    <xf numFmtId="0" fontId="0" fillId="0" borderId="0" xfId="0" applyAlignment="1">
      <alignment horizontal="left" vertical="center"/>
    </xf>
    <xf numFmtId="0" fontId="17" fillId="8" borderId="0" xfId="8" applyFill="1">
      <alignment vertical="center"/>
    </xf>
    <xf numFmtId="180" fontId="17" fillId="8" borderId="0" xfId="8" applyNumberFormat="1" applyFill="1">
      <alignment vertical="center"/>
    </xf>
    <xf numFmtId="0" fontId="26" fillId="8" borderId="14" xfId="8" applyFont="1" applyFill="1" applyBorder="1">
      <alignment vertical="center"/>
    </xf>
    <xf numFmtId="0" fontId="17" fillId="8" borderId="14" xfId="8" applyFill="1" applyBorder="1">
      <alignment vertical="center"/>
    </xf>
    <xf numFmtId="180" fontId="17" fillId="8" borderId="14" xfId="8" applyNumberFormat="1" applyFill="1" applyBorder="1">
      <alignment vertical="center"/>
    </xf>
    <xf numFmtId="180" fontId="17" fillId="8" borderId="14" xfId="8" applyNumberFormat="1" applyFill="1" applyBorder="1" applyAlignment="1">
      <alignment horizontal="right" vertical="center"/>
    </xf>
    <xf numFmtId="14" fontId="17" fillId="8" borderId="0" xfId="8" applyNumberFormat="1" applyFill="1">
      <alignment vertical="center"/>
    </xf>
    <xf numFmtId="0" fontId="14" fillId="8" borderId="14" xfId="8" applyFont="1" applyFill="1" applyBorder="1">
      <alignment vertical="center"/>
    </xf>
    <xf numFmtId="0" fontId="22" fillId="8" borderId="14" xfId="8" applyFont="1" applyFill="1" applyBorder="1">
      <alignment vertical="center"/>
    </xf>
    <xf numFmtId="178" fontId="17" fillId="8" borderId="14" xfId="8" applyNumberFormat="1" applyFill="1" applyBorder="1">
      <alignment vertical="center"/>
    </xf>
    <xf numFmtId="178" fontId="25" fillId="8" borderId="14" xfId="8" applyNumberFormat="1" applyFont="1" applyFill="1" applyBorder="1">
      <alignment vertical="center"/>
    </xf>
    <xf numFmtId="0" fontId="24" fillId="8" borderId="14" xfId="8" applyFont="1" applyFill="1" applyBorder="1">
      <alignment vertical="center"/>
    </xf>
    <xf numFmtId="178" fontId="23" fillId="8" borderId="14" xfId="8" applyNumberFormat="1" applyFont="1" applyFill="1" applyBorder="1">
      <alignment vertical="center"/>
    </xf>
    <xf numFmtId="0" fontId="17" fillId="8" borderId="14" xfId="8" applyFill="1" applyBorder="1" applyAlignment="1">
      <alignment horizontal="right" vertical="center"/>
    </xf>
    <xf numFmtId="182" fontId="17" fillId="8" borderId="0" xfId="8" applyNumberFormat="1" applyFill="1">
      <alignment vertical="center"/>
    </xf>
    <xf numFmtId="0" fontId="17" fillId="8" borderId="14" xfId="8" applyFill="1" applyBorder="1" applyAlignment="1">
      <alignment horizontal="left" vertical="center"/>
    </xf>
    <xf numFmtId="0" fontId="17" fillId="8" borderId="22" xfId="8" applyFill="1" applyBorder="1">
      <alignment vertical="center"/>
    </xf>
    <xf numFmtId="181" fontId="17" fillId="8" borderId="14" xfId="8" applyNumberFormat="1" applyFill="1" applyBorder="1">
      <alignment vertical="center"/>
    </xf>
    <xf numFmtId="0" fontId="17" fillId="8" borderId="29" xfId="8" applyFill="1" applyBorder="1">
      <alignment vertical="center"/>
    </xf>
    <xf numFmtId="0" fontId="17" fillId="8" borderId="41" xfId="8" applyFill="1" applyBorder="1">
      <alignment vertical="center"/>
    </xf>
    <xf numFmtId="0" fontId="22" fillId="8" borderId="15" xfId="8" applyFont="1" applyFill="1" applyBorder="1">
      <alignment vertical="center"/>
    </xf>
    <xf numFmtId="0" fontId="24" fillId="8" borderId="15" xfId="8" applyFont="1" applyFill="1" applyBorder="1">
      <alignment vertical="center"/>
    </xf>
    <xf numFmtId="0" fontId="17" fillId="8" borderId="15" xfId="8" applyFill="1" applyBorder="1">
      <alignment vertical="center"/>
    </xf>
    <xf numFmtId="0" fontId="17" fillId="8" borderId="29" xfId="8" applyFill="1" applyBorder="1" applyAlignment="1">
      <alignment horizontal="right" vertical="center"/>
    </xf>
    <xf numFmtId="177" fontId="17" fillId="8" borderId="41" xfId="8" applyNumberFormat="1" applyFill="1" applyBorder="1">
      <alignment vertical="center"/>
    </xf>
    <xf numFmtId="177" fontId="17" fillId="8" borderId="0" xfId="8" applyNumberFormat="1" applyFill="1">
      <alignment vertical="center"/>
    </xf>
    <xf numFmtId="178" fontId="17" fillId="8" borderId="0" xfId="8" applyNumberFormat="1" applyFill="1">
      <alignment vertical="center"/>
    </xf>
    <xf numFmtId="0" fontId="17" fillId="8" borderId="23" xfId="8" applyFill="1" applyBorder="1">
      <alignment vertical="center"/>
    </xf>
    <xf numFmtId="0" fontId="17" fillId="8" borderId="28" xfId="8" applyFill="1" applyBorder="1">
      <alignment vertical="center"/>
    </xf>
    <xf numFmtId="0" fontId="17" fillId="8" borderId="32" xfId="8" applyFill="1" applyBorder="1">
      <alignment vertical="center"/>
    </xf>
    <xf numFmtId="0" fontId="17" fillId="8" borderId="30" xfId="8" applyFill="1" applyBorder="1">
      <alignment vertical="center"/>
    </xf>
    <xf numFmtId="0" fontId="17" fillId="8" borderId="40" xfId="8" applyFill="1" applyBorder="1">
      <alignment vertical="center"/>
    </xf>
    <xf numFmtId="0" fontId="17" fillId="8" borderId="28" xfId="8" applyFill="1" applyBorder="1" applyAlignment="1">
      <alignment horizontal="right" vertical="center"/>
    </xf>
    <xf numFmtId="0" fontId="17" fillId="8" borderId="27" xfId="8" applyFill="1" applyBorder="1" applyAlignment="1">
      <alignment horizontal="right" vertical="center"/>
    </xf>
    <xf numFmtId="0" fontId="17" fillId="8" borderId="25" xfId="8" applyFill="1" applyBorder="1">
      <alignment vertical="center"/>
    </xf>
    <xf numFmtId="0" fontId="17" fillId="8" borderId="39" xfId="8" applyFill="1" applyBorder="1">
      <alignment vertical="center"/>
    </xf>
    <xf numFmtId="0" fontId="17" fillId="8" borderId="21" xfId="8" applyFill="1" applyBorder="1">
      <alignment vertical="center"/>
    </xf>
    <xf numFmtId="0" fontId="17" fillId="8" borderId="19" xfId="8" applyFill="1" applyBorder="1">
      <alignment vertical="center"/>
    </xf>
    <xf numFmtId="0" fontId="17" fillId="8" borderId="38" xfId="8" applyFill="1" applyBorder="1">
      <alignment vertical="center"/>
    </xf>
    <xf numFmtId="0" fontId="17" fillId="8" borderId="18" xfId="8" applyFill="1" applyBorder="1" applyAlignment="1">
      <alignment horizontal="right" vertical="center"/>
    </xf>
    <xf numFmtId="0" fontId="17" fillId="8" borderId="16" xfId="8" applyFill="1" applyBorder="1">
      <alignment vertical="center"/>
    </xf>
    <xf numFmtId="0" fontId="17" fillId="8" borderId="37" xfId="8" applyFill="1" applyBorder="1">
      <alignment vertical="center"/>
    </xf>
    <xf numFmtId="0" fontId="17" fillId="8" borderId="0" xfId="8" applyFill="1" applyAlignment="1">
      <alignment horizontal="right" vertical="center"/>
    </xf>
    <xf numFmtId="180" fontId="20" fillId="8" borderId="36" xfId="8" applyNumberFormat="1" applyFont="1" applyFill="1" applyBorder="1">
      <alignment vertical="center"/>
    </xf>
    <xf numFmtId="0" fontId="17" fillId="8" borderId="36" xfId="8" applyFill="1" applyBorder="1">
      <alignment vertical="center"/>
    </xf>
    <xf numFmtId="0" fontId="17" fillId="8" borderId="14" xfId="8" applyFill="1" applyBorder="1" applyAlignment="1">
      <alignment vertical="top"/>
    </xf>
    <xf numFmtId="0" fontId="28" fillId="8" borderId="9" xfId="6" applyFont="1" applyFill="1" applyBorder="1" applyAlignment="1">
      <alignment vertical="center" wrapText="1"/>
    </xf>
    <xf numFmtId="2" fontId="0" fillId="0" borderId="9" xfId="0" applyNumberFormat="1" applyBorder="1"/>
    <xf numFmtId="0" fontId="0" fillId="10" borderId="9" xfId="0" applyFill="1" applyBorder="1"/>
    <xf numFmtId="0" fontId="0" fillId="0" borderId="0" xfId="0" applyAlignment="1">
      <alignment horizontal="right"/>
    </xf>
    <xf numFmtId="38" fontId="28" fillId="9" borderId="9" xfId="4" applyFont="1" applyFill="1" applyBorder="1">
      <alignment vertical="center"/>
    </xf>
    <xf numFmtId="0" fontId="30" fillId="8" borderId="33" xfId="6" applyFont="1" applyFill="1" applyBorder="1">
      <alignment vertical="center"/>
    </xf>
    <xf numFmtId="38" fontId="28" fillId="8" borderId="34" xfId="4" applyFont="1" applyFill="1" applyBorder="1">
      <alignment vertical="center"/>
    </xf>
    <xf numFmtId="38" fontId="28" fillId="8" borderId="35" xfId="4" applyFont="1" applyFill="1" applyBorder="1">
      <alignment vertical="center"/>
    </xf>
    <xf numFmtId="0" fontId="31" fillId="0" borderId="0" xfId="0" applyFont="1"/>
    <xf numFmtId="0" fontId="32" fillId="0" borderId="0" xfId="0" applyFont="1"/>
    <xf numFmtId="0" fontId="7" fillId="0" borderId="0" xfId="0" applyFont="1" applyAlignment="1">
      <alignment vertical="center"/>
    </xf>
    <xf numFmtId="0" fontId="33" fillId="0" borderId="0" xfId="0" applyFont="1" applyAlignment="1">
      <alignment horizontal="right" vertical="center"/>
    </xf>
    <xf numFmtId="40" fontId="28" fillId="8" borderId="9" xfId="2" applyNumberFormat="1" applyFont="1" applyFill="1" applyBorder="1" applyAlignment="1">
      <alignment vertical="center"/>
    </xf>
    <xf numFmtId="40" fontId="28" fillId="8" borderId="10" xfId="2" applyNumberFormat="1" applyFont="1" applyFill="1" applyBorder="1" applyAlignment="1">
      <alignment vertical="center"/>
    </xf>
    <xf numFmtId="40" fontId="28" fillId="8" borderId="9" xfId="4" applyNumberFormat="1" applyFont="1" applyFill="1" applyBorder="1">
      <alignment vertical="center"/>
    </xf>
    <xf numFmtId="40" fontId="28" fillId="8" borderId="10" xfId="4" applyNumberFormat="1" applyFont="1" applyFill="1" applyBorder="1">
      <alignment vertical="center"/>
    </xf>
    <xf numFmtId="0" fontId="35" fillId="0" borderId="0" xfId="0" applyFont="1"/>
    <xf numFmtId="0" fontId="35" fillId="0" borderId="0" xfId="0" applyFont="1" applyAlignment="1">
      <alignment vertical="center"/>
    </xf>
    <xf numFmtId="0" fontId="14" fillId="0" borderId="0" xfId="0" applyFont="1"/>
    <xf numFmtId="177" fontId="17" fillId="11" borderId="24" xfId="8" applyNumberFormat="1" applyFill="1" applyBorder="1">
      <alignment vertical="center"/>
    </xf>
    <xf numFmtId="0" fontId="17" fillId="11" borderId="24" xfId="8" applyFill="1" applyBorder="1" applyProtection="1">
      <alignment vertical="center"/>
      <protection locked="0"/>
    </xf>
    <xf numFmtId="177" fontId="17" fillId="11" borderId="24" xfId="8" applyNumberFormat="1" applyFill="1" applyBorder="1" applyProtection="1">
      <alignment vertical="center"/>
      <protection locked="0"/>
    </xf>
    <xf numFmtId="181" fontId="17" fillId="11" borderId="24" xfId="8" applyNumberFormat="1" applyFill="1" applyBorder="1" applyProtection="1">
      <alignment vertical="center"/>
      <protection locked="0"/>
    </xf>
    <xf numFmtId="0" fontId="17" fillId="12" borderId="14" xfId="8" applyFill="1" applyBorder="1">
      <alignment vertical="center"/>
    </xf>
    <xf numFmtId="0" fontId="17" fillId="7" borderId="14" xfId="8" applyFill="1" applyBorder="1">
      <alignment vertical="center"/>
    </xf>
    <xf numFmtId="0" fontId="2" fillId="3" borderId="14" xfId="7" applyFont="1" applyFill="1" applyBorder="1">
      <alignment vertical="center"/>
    </xf>
    <xf numFmtId="0" fontId="2" fillId="7" borderId="14" xfId="8" applyFont="1" applyFill="1" applyBorder="1">
      <alignment vertical="center"/>
    </xf>
    <xf numFmtId="0" fontId="17" fillId="11" borderId="42" xfId="8" applyFill="1" applyBorder="1" applyProtection="1">
      <alignment vertical="center"/>
      <protection locked="0"/>
    </xf>
    <xf numFmtId="38" fontId="17" fillId="9" borderId="9" xfId="2" applyFont="1" applyFill="1" applyBorder="1" applyProtection="1">
      <protection locked="0"/>
    </xf>
    <xf numFmtId="0" fontId="0" fillId="0" borderId="9" xfId="0" applyBorder="1" applyProtection="1">
      <protection locked="0"/>
    </xf>
    <xf numFmtId="38" fontId="28" fillId="9" borderId="9" xfId="4" applyFont="1" applyFill="1" applyBorder="1" applyProtection="1">
      <alignment vertical="center"/>
      <protection locked="0"/>
    </xf>
    <xf numFmtId="38" fontId="0" fillId="0" borderId="9" xfId="2" applyFont="1" applyFill="1" applyBorder="1" applyProtection="1">
      <protection locked="0"/>
    </xf>
    <xf numFmtId="0" fontId="0" fillId="7" borderId="0" xfId="0" applyFill="1" applyProtection="1">
      <protection locked="0"/>
    </xf>
    <xf numFmtId="0" fontId="0" fillId="7" borderId="5" xfId="0" applyFill="1" applyBorder="1" applyProtection="1">
      <protection locked="0"/>
    </xf>
    <xf numFmtId="0" fontId="4" fillId="7" borderId="7" xfId="0" applyFont="1" applyFill="1" applyBorder="1" applyAlignment="1" applyProtection="1">
      <alignment vertical="center"/>
      <protection locked="0"/>
    </xf>
    <xf numFmtId="0" fontId="4" fillId="7" borderId="8" xfId="0" applyFont="1" applyFill="1" applyBorder="1" applyAlignment="1" applyProtection="1">
      <alignment vertical="center"/>
      <protection locked="0"/>
    </xf>
    <xf numFmtId="0" fontId="28" fillId="0" borderId="9" xfId="6" applyFont="1" applyBorder="1">
      <alignment vertical="center"/>
    </xf>
    <xf numFmtId="38" fontId="28" fillId="0" borderId="9" xfId="2" applyFont="1" applyFill="1" applyBorder="1" applyAlignment="1">
      <alignment vertical="center"/>
    </xf>
    <xf numFmtId="38" fontId="6" fillId="0" borderId="9" xfId="2" applyFont="1" applyBorder="1"/>
    <xf numFmtId="0" fontId="4" fillId="3" borderId="13" xfId="0" applyFont="1" applyFill="1" applyBorder="1" applyAlignment="1" applyProtection="1">
      <alignment horizontal="left" vertical="center" wrapText="1"/>
      <protection locked="0"/>
    </xf>
    <xf numFmtId="0" fontId="4" fillId="3" borderId="12" xfId="0" applyFont="1" applyFill="1" applyBorder="1" applyAlignment="1" applyProtection="1">
      <alignment horizontal="left" vertical="center" wrapText="1"/>
      <protection locked="0"/>
    </xf>
    <xf numFmtId="0" fontId="0" fillId="0" borderId="0" xfId="0" applyAlignment="1">
      <alignment horizontal="left"/>
    </xf>
    <xf numFmtId="0" fontId="4" fillId="0" borderId="0" xfId="0" applyFont="1" applyAlignment="1">
      <alignment horizontal="left"/>
    </xf>
    <xf numFmtId="0" fontId="4" fillId="0" borderId="7" xfId="0" applyFont="1" applyBorder="1" applyAlignment="1">
      <alignment horizontal="left" vertical="center"/>
    </xf>
    <xf numFmtId="0" fontId="10" fillId="0" borderId="0" xfId="0" applyFont="1" applyAlignment="1">
      <alignment horizontal="left" vertical="center"/>
    </xf>
    <xf numFmtId="38" fontId="4" fillId="0" borderId="9" xfId="2" applyFont="1" applyFill="1" applyBorder="1" applyAlignment="1" applyProtection="1">
      <alignment horizontal="center"/>
    </xf>
    <xf numFmtId="14" fontId="0" fillId="0" borderId="0" xfId="0" applyNumberFormat="1" applyAlignment="1">
      <alignment horizontal="right" vertical="center"/>
    </xf>
    <xf numFmtId="0" fontId="4" fillId="0" borderId="0" xfId="0" applyFont="1" applyAlignment="1">
      <alignment horizontal="right"/>
    </xf>
    <xf numFmtId="0" fontId="4" fillId="0" borderId="7" xfId="0" applyFont="1" applyBorder="1" applyAlignment="1">
      <alignment horizontal="right"/>
    </xf>
    <xf numFmtId="0" fontId="9" fillId="2" borderId="2" xfId="0" applyFont="1" applyFill="1" applyBorder="1" applyAlignment="1">
      <alignment horizontal="right" vertical="center"/>
    </xf>
    <xf numFmtId="0" fontId="10" fillId="0" borderId="0" xfId="0" applyFont="1" applyAlignment="1">
      <alignment horizontal="right" vertical="center"/>
    </xf>
    <xf numFmtId="0" fontId="9" fillId="2" borderId="0" xfId="0" applyFont="1" applyFill="1" applyAlignment="1">
      <alignment horizontal="right" vertical="center"/>
    </xf>
    <xf numFmtId="179" fontId="4" fillId="0" borderId="0" xfId="3" applyNumberFormat="1" applyFont="1" applyFill="1" applyBorder="1" applyAlignment="1" applyProtection="1">
      <alignment horizontal="center" vertical="top"/>
      <protection locked="0"/>
    </xf>
    <xf numFmtId="178" fontId="17" fillId="12" borderId="14" xfId="8" applyNumberFormat="1" applyFill="1" applyBorder="1" applyAlignment="1">
      <alignment vertical="center" shrinkToFit="1"/>
    </xf>
    <xf numFmtId="0" fontId="17" fillId="12" borderId="14" xfId="8" applyFill="1" applyBorder="1" applyAlignment="1">
      <alignment vertical="center" shrinkToFit="1"/>
    </xf>
    <xf numFmtId="180" fontId="17" fillId="12" borderId="14" xfId="8" applyNumberFormat="1" applyFill="1" applyBorder="1" applyAlignment="1">
      <alignment vertical="center" shrinkToFit="1"/>
    </xf>
    <xf numFmtId="180" fontId="23" fillId="8" borderId="14" xfId="8" applyNumberFormat="1" applyFont="1" applyFill="1" applyBorder="1" applyAlignment="1">
      <alignment vertical="center" shrinkToFit="1"/>
    </xf>
    <xf numFmtId="180" fontId="25" fillId="8" borderId="14" xfId="8" applyNumberFormat="1" applyFont="1" applyFill="1" applyBorder="1" applyAlignment="1">
      <alignment vertical="center" shrinkToFit="1"/>
    </xf>
    <xf numFmtId="180" fontId="17" fillId="12" borderId="31" xfId="8" applyNumberFormat="1" applyFill="1" applyBorder="1" applyAlignment="1">
      <alignment vertical="center" shrinkToFit="1"/>
    </xf>
    <xf numFmtId="180" fontId="17" fillId="12" borderId="26" xfId="8" applyNumberFormat="1" applyFill="1" applyBorder="1" applyAlignment="1">
      <alignment vertical="center" shrinkToFit="1"/>
    </xf>
    <xf numFmtId="180" fontId="21" fillId="8" borderId="14" xfId="8" applyNumberFormat="1" applyFont="1" applyFill="1" applyBorder="1" applyAlignment="1">
      <alignment vertical="center" shrinkToFit="1"/>
    </xf>
    <xf numFmtId="180" fontId="17" fillId="12" borderId="20" xfId="8" applyNumberFormat="1" applyFill="1" applyBorder="1" applyAlignment="1">
      <alignment vertical="center" shrinkToFit="1"/>
    </xf>
    <xf numFmtId="180" fontId="20" fillId="12" borderId="17" xfId="8" applyNumberFormat="1" applyFont="1" applyFill="1" applyBorder="1" applyAlignment="1">
      <alignment vertical="center" shrinkToFit="1"/>
    </xf>
    <xf numFmtId="178" fontId="17" fillId="8" borderId="0" xfId="8" applyNumberFormat="1" applyFill="1" applyAlignment="1">
      <alignment vertical="center" shrinkToFit="1"/>
    </xf>
    <xf numFmtId="38" fontId="23" fillId="8" borderId="14" xfId="5" applyFont="1" applyFill="1" applyBorder="1" applyAlignment="1">
      <alignment vertical="center" shrinkToFit="1"/>
    </xf>
    <xf numFmtId="178" fontId="17" fillId="8" borderId="14" xfId="8" applyNumberFormat="1" applyFill="1" applyBorder="1" applyAlignment="1">
      <alignment vertical="center" shrinkToFit="1"/>
    </xf>
    <xf numFmtId="178" fontId="25" fillId="8" borderId="14" xfId="8" applyNumberFormat="1" applyFont="1" applyFill="1" applyBorder="1" applyAlignment="1">
      <alignment vertical="center" shrinkToFit="1"/>
    </xf>
    <xf numFmtId="178" fontId="23" fillId="8" borderId="14" xfId="8" applyNumberFormat="1" applyFont="1" applyFill="1" applyBorder="1" applyAlignment="1">
      <alignment vertical="center" shrinkToFit="1"/>
    </xf>
    <xf numFmtId="180" fontId="17" fillId="8" borderId="14" xfId="8" applyNumberFormat="1" applyFill="1" applyBorder="1" applyAlignment="1">
      <alignment vertical="center" shrinkToFit="1"/>
    </xf>
    <xf numFmtId="178" fontId="17" fillId="0" borderId="14" xfId="8" applyNumberFormat="1" applyBorder="1" applyAlignment="1">
      <alignment vertical="center" shrinkToFit="1"/>
    </xf>
    <xf numFmtId="182" fontId="17" fillId="8" borderId="0" xfId="8" applyNumberFormat="1" applyFill="1" applyAlignment="1">
      <alignment vertical="center" shrinkToFit="1"/>
    </xf>
    <xf numFmtId="177" fontId="17" fillId="12" borderId="14" xfId="8" applyNumberFormat="1" applyFill="1" applyBorder="1" applyAlignment="1">
      <alignment vertical="center" shrinkToFit="1"/>
    </xf>
    <xf numFmtId="0" fontId="0" fillId="4" borderId="14" xfId="7" applyFont="1" applyFill="1" applyBorder="1" applyAlignment="1">
      <alignment vertical="center" shrinkToFit="1"/>
    </xf>
    <xf numFmtId="177" fontId="0" fillId="4" borderId="14" xfId="7" applyNumberFormat="1" applyFont="1" applyFill="1" applyBorder="1" applyAlignment="1">
      <alignment vertical="center" shrinkToFit="1"/>
    </xf>
    <xf numFmtId="178" fontId="0" fillId="4" borderId="14" xfId="7" applyNumberFormat="1" applyFont="1" applyFill="1" applyBorder="1" applyAlignment="1">
      <alignment vertical="center" shrinkToFit="1"/>
    </xf>
    <xf numFmtId="178" fontId="0" fillId="0" borderId="14" xfId="7" applyNumberFormat="1" applyFont="1" applyBorder="1" applyAlignment="1">
      <alignment vertical="center" shrinkToFit="1"/>
    </xf>
    <xf numFmtId="180" fontId="0" fillId="4" borderId="14" xfId="7" applyNumberFormat="1" applyFont="1" applyFill="1" applyBorder="1" applyAlignment="1">
      <alignment vertical="center" shrinkToFit="1"/>
    </xf>
    <xf numFmtId="180" fontId="0" fillId="0" borderId="14" xfId="7" applyNumberFormat="1" applyFont="1" applyBorder="1" applyAlignment="1">
      <alignment vertical="center" shrinkToFit="1"/>
    </xf>
    <xf numFmtId="178" fontId="25" fillId="0" borderId="14" xfId="7" applyNumberFormat="1" applyFont="1" applyBorder="1" applyAlignment="1">
      <alignment vertical="center" shrinkToFit="1"/>
    </xf>
    <xf numFmtId="178" fontId="23" fillId="0" borderId="14" xfId="7" applyNumberFormat="1" applyFont="1" applyBorder="1" applyAlignment="1">
      <alignment vertical="center" shrinkToFit="1"/>
    </xf>
    <xf numFmtId="0" fontId="0" fillId="0" borderId="14" xfId="7" applyFont="1" applyBorder="1" applyAlignment="1">
      <alignment vertical="center" shrinkToFit="1"/>
    </xf>
    <xf numFmtId="182" fontId="0" fillId="0" borderId="0" xfId="7" applyNumberFormat="1" applyFont="1" applyAlignment="1">
      <alignment vertical="center" shrinkToFit="1"/>
    </xf>
    <xf numFmtId="38" fontId="23" fillId="0" borderId="14" xfId="5" applyFont="1" applyBorder="1" applyAlignment="1">
      <alignment vertical="center" shrinkToFit="1"/>
    </xf>
    <xf numFmtId="180" fontId="23" fillId="0" borderId="14" xfId="7" applyNumberFormat="1" applyFont="1" applyBorder="1" applyAlignment="1">
      <alignment vertical="center" shrinkToFit="1"/>
    </xf>
    <xf numFmtId="180" fontId="25" fillId="0" borderId="14" xfId="7" applyNumberFormat="1" applyFont="1" applyBorder="1" applyAlignment="1">
      <alignment vertical="center" shrinkToFit="1"/>
    </xf>
    <xf numFmtId="180" fontId="0" fillId="4" borderId="31" xfId="7" applyNumberFormat="1" applyFont="1" applyFill="1" applyBorder="1" applyAlignment="1">
      <alignment vertical="center" shrinkToFit="1"/>
    </xf>
    <xf numFmtId="180" fontId="0" fillId="4" borderId="26" xfId="7" applyNumberFormat="1" applyFont="1" applyFill="1" applyBorder="1" applyAlignment="1">
      <alignment vertical="center" shrinkToFit="1"/>
    </xf>
    <xf numFmtId="180" fontId="23" fillId="4" borderId="14" xfId="7" applyNumberFormat="1" applyFont="1" applyFill="1" applyBorder="1" applyAlignment="1">
      <alignment vertical="center" shrinkToFit="1"/>
    </xf>
    <xf numFmtId="180" fontId="21" fillId="4" borderId="14" xfId="7" applyNumberFormat="1" applyFont="1" applyFill="1" applyBorder="1" applyAlignment="1">
      <alignment vertical="center" shrinkToFit="1"/>
    </xf>
    <xf numFmtId="180" fontId="0" fillId="4" borderId="20" xfId="7" applyNumberFormat="1" applyFont="1" applyFill="1" applyBorder="1" applyAlignment="1">
      <alignment vertical="center" shrinkToFit="1"/>
    </xf>
    <xf numFmtId="180" fontId="20" fillId="4" borderId="17" xfId="7" applyNumberFormat="1" applyFont="1" applyFill="1" applyBorder="1" applyAlignment="1">
      <alignment vertical="center" shrinkToFit="1"/>
    </xf>
    <xf numFmtId="0" fontId="37" fillId="8" borderId="0" xfId="9" applyFont="1" applyFill="1">
      <alignment vertical="center"/>
    </xf>
    <xf numFmtId="0" fontId="38" fillId="8" borderId="0" xfId="9" applyFont="1" applyFill="1" applyAlignment="1">
      <alignment horizontal="center" vertical="center"/>
    </xf>
    <xf numFmtId="49" fontId="38" fillId="8" borderId="0" xfId="9" applyNumberFormat="1" applyFont="1" applyFill="1">
      <alignment vertical="center"/>
    </xf>
    <xf numFmtId="0" fontId="38" fillId="8" borderId="0" xfId="9" applyFont="1" applyFill="1" applyAlignment="1">
      <alignment vertical="center" wrapText="1"/>
    </xf>
    <xf numFmtId="0" fontId="38" fillId="8" borderId="0" xfId="9" applyFont="1" applyFill="1">
      <alignment vertical="center"/>
    </xf>
    <xf numFmtId="0" fontId="38" fillId="0" borderId="0" xfId="9" applyFont="1">
      <alignment vertical="center"/>
    </xf>
    <xf numFmtId="0" fontId="39" fillId="8" borderId="0" xfId="9" applyFont="1" applyFill="1">
      <alignment vertical="center"/>
    </xf>
    <xf numFmtId="0" fontId="38" fillId="8" borderId="9" xfId="9" applyFont="1" applyFill="1" applyBorder="1" applyAlignment="1">
      <alignment horizontal="center" vertical="center" wrapText="1" readingOrder="1"/>
    </xf>
    <xf numFmtId="49" fontId="38" fillId="8" borderId="9" xfId="9" applyNumberFormat="1" applyFont="1" applyFill="1" applyBorder="1" applyAlignment="1">
      <alignment horizontal="center" vertical="center" wrapText="1"/>
    </xf>
    <xf numFmtId="0" fontId="38" fillId="8" borderId="44" xfId="9" applyFont="1" applyFill="1" applyBorder="1" applyAlignment="1">
      <alignment horizontal="left" vertical="center" wrapText="1"/>
    </xf>
    <xf numFmtId="0" fontId="42" fillId="8" borderId="9" xfId="9" applyFont="1" applyFill="1" applyBorder="1" applyAlignment="1">
      <alignment horizontal="center" vertical="center" wrapText="1" readingOrder="1"/>
    </xf>
    <xf numFmtId="0" fontId="43" fillId="8" borderId="9" xfId="9" applyFont="1" applyFill="1" applyBorder="1" applyAlignment="1">
      <alignment horizontal="left" vertical="center" wrapText="1"/>
    </xf>
    <xf numFmtId="0" fontId="42" fillId="0" borderId="2" xfId="9" applyFont="1" applyBorder="1">
      <alignment vertical="center"/>
    </xf>
    <xf numFmtId="0" fontId="42" fillId="0" borderId="2" xfId="9" applyFont="1" applyBorder="1" applyAlignment="1">
      <alignment horizontal="center" vertical="center"/>
    </xf>
    <xf numFmtId="49" fontId="42" fillId="0" borderId="2" xfId="9" applyNumberFormat="1" applyFont="1" applyBorder="1">
      <alignment vertical="center"/>
    </xf>
    <xf numFmtId="0" fontId="42" fillId="0" borderId="2" xfId="9" applyFont="1" applyBorder="1" applyAlignment="1">
      <alignment vertical="center" wrapText="1"/>
    </xf>
    <xf numFmtId="0" fontId="42" fillId="0" borderId="0" xfId="9" applyFont="1">
      <alignment vertical="center"/>
    </xf>
    <xf numFmtId="0" fontId="42" fillId="0" borderId="0" xfId="9" applyFont="1" applyAlignment="1">
      <alignment horizontal="center" vertical="center"/>
    </xf>
    <xf numFmtId="49" fontId="42" fillId="0" borderId="0" xfId="9" applyNumberFormat="1" applyFont="1">
      <alignment vertical="center"/>
    </xf>
    <xf numFmtId="0" fontId="42" fillId="0" borderId="0" xfId="9" applyFont="1" applyAlignment="1">
      <alignment vertical="center" wrapText="1"/>
    </xf>
    <xf numFmtId="0" fontId="38" fillId="0" borderId="0" xfId="9" applyFont="1" applyAlignment="1">
      <alignment vertical="center" wrapText="1"/>
    </xf>
    <xf numFmtId="0" fontId="38" fillId="0" borderId="0" xfId="9" applyFont="1" applyAlignment="1">
      <alignment horizontal="center" vertical="center"/>
    </xf>
    <xf numFmtId="49" fontId="38" fillId="0" borderId="0" xfId="9" applyNumberFormat="1" applyFont="1">
      <alignment vertical="center"/>
    </xf>
    <xf numFmtId="0" fontId="43" fillId="8" borderId="11" xfId="9" applyFont="1" applyFill="1" applyBorder="1" applyAlignment="1">
      <alignment horizontal="left" vertical="center" wrapText="1"/>
    </xf>
    <xf numFmtId="0" fontId="38" fillId="8" borderId="11" xfId="9" applyFont="1" applyFill="1" applyBorder="1" applyAlignment="1">
      <alignment horizontal="left" vertical="center" wrapText="1"/>
    </xf>
    <xf numFmtId="0" fontId="43" fillId="8" borderId="12" xfId="9" applyFont="1" applyFill="1" applyBorder="1" applyAlignment="1">
      <alignment horizontal="left" vertical="center" wrapText="1"/>
    </xf>
    <xf numFmtId="0" fontId="43" fillId="31" borderId="11" xfId="9" applyFont="1" applyFill="1" applyBorder="1" applyAlignment="1">
      <alignment horizontal="left" vertical="center" wrapText="1"/>
    </xf>
    <xf numFmtId="0" fontId="43" fillId="31" borderId="4" xfId="9" applyFont="1" applyFill="1" applyBorder="1" applyAlignment="1">
      <alignment horizontal="left" vertical="center" wrapText="1"/>
    </xf>
    <xf numFmtId="0" fontId="38" fillId="31" borderId="11" xfId="9" applyFont="1" applyFill="1" applyBorder="1" applyAlignment="1">
      <alignment horizontal="left" vertical="center" wrapText="1"/>
    </xf>
    <xf numFmtId="0" fontId="43" fillId="31" borderId="9" xfId="9" applyFont="1" applyFill="1" applyBorder="1" applyAlignment="1">
      <alignment horizontal="left" vertical="center" wrapText="1"/>
    </xf>
    <xf numFmtId="0" fontId="43" fillId="31" borderId="10" xfId="9" applyFont="1" applyFill="1" applyBorder="1" applyAlignment="1">
      <alignment horizontal="left" vertical="center" wrapText="1"/>
    </xf>
    <xf numFmtId="0" fontId="43" fillId="31" borderId="6" xfId="9" applyFont="1" applyFill="1" applyBorder="1" applyAlignment="1">
      <alignment horizontal="left" vertical="center" wrapText="1"/>
    </xf>
    <xf numFmtId="0" fontId="43" fillId="31" borderId="46" xfId="9" applyFont="1" applyFill="1" applyBorder="1" applyAlignment="1">
      <alignment horizontal="left" vertical="center" wrapText="1"/>
    </xf>
    <xf numFmtId="0" fontId="38" fillId="31" borderId="51" xfId="9" applyFont="1" applyFill="1" applyBorder="1" applyAlignment="1">
      <alignment horizontal="left" vertical="center" wrapText="1"/>
    </xf>
    <xf numFmtId="0" fontId="38" fillId="31" borderId="10" xfId="9" applyFont="1" applyFill="1" applyBorder="1" applyAlignment="1">
      <alignment horizontal="left" vertical="center" wrapText="1"/>
    </xf>
    <xf numFmtId="0" fontId="38" fillId="31" borderId="52" xfId="9" applyFont="1" applyFill="1" applyBorder="1" applyAlignment="1">
      <alignment horizontal="left" vertical="center" wrapText="1"/>
    </xf>
    <xf numFmtId="0" fontId="38" fillId="31" borderId="45" xfId="9" applyFont="1" applyFill="1" applyBorder="1" applyAlignment="1">
      <alignment horizontal="left" vertical="center" wrapText="1"/>
    </xf>
    <xf numFmtId="0" fontId="38" fillId="31" borderId="53" xfId="9" applyFont="1" applyFill="1" applyBorder="1" applyAlignment="1">
      <alignment horizontal="left" vertical="center" wrapText="1"/>
    </xf>
    <xf numFmtId="0" fontId="38" fillId="31" borderId="46" xfId="9" applyFont="1" applyFill="1" applyBorder="1" applyAlignment="1">
      <alignment horizontal="left" vertical="center" wrapText="1"/>
    </xf>
    <xf numFmtId="0" fontId="43" fillId="31" borderId="47" xfId="9" applyFont="1" applyFill="1" applyBorder="1" applyAlignment="1">
      <alignment horizontal="left" vertical="center" wrapText="1"/>
    </xf>
    <xf numFmtId="0" fontId="43" fillId="31" borderId="11" xfId="9" applyFont="1" applyFill="1" applyBorder="1" applyAlignment="1">
      <alignment vertical="center" wrapText="1"/>
    </xf>
    <xf numFmtId="0" fontId="38" fillId="31" borderId="11" xfId="9" applyFont="1" applyFill="1" applyBorder="1" applyAlignment="1">
      <alignment vertical="center" wrapText="1"/>
    </xf>
    <xf numFmtId="0" fontId="43" fillId="31" borderId="12" xfId="9" applyFont="1" applyFill="1" applyBorder="1" applyAlignment="1">
      <alignment horizontal="left" vertical="center" wrapText="1"/>
    </xf>
    <xf numFmtId="0" fontId="38" fillId="31" borderId="1" xfId="9" applyFont="1" applyFill="1" applyBorder="1" applyAlignment="1">
      <alignment vertical="center" wrapText="1"/>
    </xf>
    <xf numFmtId="0" fontId="38" fillId="31" borderId="10" xfId="9" applyFont="1" applyFill="1" applyBorder="1" applyAlignment="1">
      <alignment vertical="center" wrapText="1"/>
    </xf>
    <xf numFmtId="0" fontId="38" fillId="31" borderId="6" xfId="9" applyFont="1" applyFill="1" applyBorder="1" applyAlignment="1">
      <alignment vertical="center" wrapText="1"/>
    </xf>
    <xf numFmtId="0" fontId="38" fillId="31" borderId="46" xfId="9" applyFont="1" applyFill="1" applyBorder="1" applyAlignment="1">
      <alignment vertical="center" wrapText="1"/>
    </xf>
    <xf numFmtId="0" fontId="38" fillId="31" borderId="9" xfId="9" applyFont="1" applyFill="1" applyBorder="1" applyAlignment="1">
      <alignment horizontal="left" vertical="center" wrapText="1"/>
    </xf>
    <xf numFmtId="0" fontId="38" fillId="31" borderId="4" xfId="9" applyFont="1" applyFill="1" applyBorder="1" applyAlignment="1">
      <alignment vertical="center" wrapText="1"/>
    </xf>
    <xf numFmtId="0" fontId="38" fillId="31" borderId="1" xfId="9" applyFont="1" applyFill="1" applyBorder="1" applyAlignment="1">
      <alignment horizontal="left" vertical="center" wrapText="1"/>
    </xf>
    <xf numFmtId="0" fontId="38" fillId="31" borderId="4" xfId="9" applyFont="1" applyFill="1" applyBorder="1" applyAlignment="1">
      <alignment horizontal="left" vertical="center" wrapText="1"/>
    </xf>
    <xf numFmtId="0" fontId="38" fillId="31" borderId="6" xfId="9" applyFont="1" applyFill="1" applyBorder="1" applyAlignment="1">
      <alignment horizontal="left" vertical="center" wrapText="1"/>
    </xf>
    <xf numFmtId="0" fontId="43" fillId="31" borderId="50" xfId="9" applyFont="1" applyFill="1" applyBorder="1" applyAlignment="1">
      <alignment horizontal="left" vertical="center" wrapText="1"/>
    </xf>
    <xf numFmtId="0" fontId="38" fillId="31" borderId="48" xfId="9" applyFont="1" applyFill="1" applyBorder="1" applyAlignment="1">
      <alignment horizontal="left" vertical="center" wrapText="1"/>
    </xf>
    <xf numFmtId="0" fontId="38" fillId="31" borderId="55" xfId="9" applyFont="1" applyFill="1" applyBorder="1" applyAlignment="1">
      <alignment vertical="center" wrapText="1"/>
    </xf>
    <xf numFmtId="181" fontId="4" fillId="0" borderId="5" xfId="0" applyNumberFormat="1" applyFont="1" applyBorder="1" applyAlignment="1" applyProtection="1">
      <alignment horizontal="center"/>
      <protection locked="0"/>
    </xf>
    <xf numFmtId="181" fontId="4" fillId="0" borderId="7" xfId="0" applyNumberFormat="1" applyFont="1" applyBorder="1" applyAlignment="1">
      <alignment horizontal="center"/>
    </xf>
    <xf numFmtId="177" fontId="4" fillId="0" borderId="7" xfId="0" applyNumberFormat="1" applyFont="1" applyBorder="1" applyAlignment="1">
      <alignment horizontal="center"/>
    </xf>
    <xf numFmtId="0" fontId="0" fillId="0" borderId="0" xfId="0" applyProtection="1">
      <protection locked="0"/>
    </xf>
    <xf numFmtId="0" fontId="43" fillId="31" borderId="45" xfId="9" applyFont="1" applyFill="1" applyBorder="1" applyAlignment="1">
      <alignment horizontal="left" vertical="center" wrapText="1"/>
    </xf>
    <xf numFmtId="0" fontId="43" fillId="31" borderId="51" xfId="9" applyFont="1" applyFill="1" applyBorder="1" applyAlignment="1">
      <alignment horizontal="left" vertical="center" wrapText="1"/>
    </xf>
    <xf numFmtId="0" fontId="43" fillId="31" borderId="52" xfId="9" applyFont="1" applyFill="1" applyBorder="1" applyAlignment="1">
      <alignment horizontal="left" vertical="center" wrapText="1"/>
    </xf>
    <xf numFmtId="0" fontId="43" fillId="31" borderId="53" xfId="9" applyFont="1" applyFill="1" applyBorder="1" applyAlignment="1">
      <alignment horizontal="left" vertical="center" wrapText="1"/>
    </xf>
    <xf numFmtId="0" fontId="49" fillId="0" borderId="0" xfId="9" applyFont="1" applyAlignment="1">
      <alignment vertical="center" wrapText="1"/>
    </xf>
    <xf numFmtId="0" fontId="49" fillId="0" borderId="0" xfId="9" applyFont="1">
      <alignment vertical="center"/>
    </xf>
    <xf numFmtId="0" fontId="49" fillId="0" borderId="0" xfId="9" applyFont="1" applyAlignment="1">
      <alignment horizontal="left" vertical="center" wrapText="1"/>
    </xf>
    <xf numFmtId="0" fontId="50" fillId="0" borderId="0" xfId="9" applyFont="1" applyAlignment="1">
      <alignment horizontal="center" vertical="center" wrapText="1"/>
    </xf>
    <xf numFmtId="0" fontId="38" fillId="0" borderId="11" xfId="9" applyFont="1" applyBorder="1" applyAlignment="1">
      <alignment vertical="center" wrapText="1"/>
    </xf>
    <xf numFmtId="0" fontId="38" fillId="31" borderId="47" xfId="9" applyFont="1" applyFill="1" applyBorder="1" applyAlignment="1">
      <alignment vertical="center" wrapText="1"/>
    </xf>
    <xf numFmtId="0" fontId="15" fillId="0" borderId="0" xfId="0" applyFont="1"/>
    <xf numFmtId="0" fontId="19" fillId="0" borderId="0" xfId="0" applyFont="1" applyAlignment="1" applyProtection="1">
      <alignment vertical="top" wrapText="1"/>
      <protection locked="0"/>
    </xf>
    <xf numFmtId="0" fontId="19" fillId="0" borderId="60" xfId="0" applyFont="1" applyBorder="1" applyAlignment="1" applyProtection="1">
      <alignment vertical="top" wrapText="1"/>
      <protection locked="0"/>
    </xf>
    <xf numFmtId="177" fontId="4" fillId="0" borderId="9" xfId="0" applyNumberFormat="1" applyFont="1" applyBorder="1" applyAlignment="1">
      <alignment horizontal="center" vertical="center"/>
    </xf>
    <xf numFmtId="0" fontId="38" fillId="0" borderId="11" xfId="9" applyFont="1" applyBorder="1" applyAlignment="1">
      <alignment horizontal="left" vertical="center" wrapText="1"/>
    </xf>
    <xf numFmtId="0" fontId="38" fillId="0" borderId="9" xfId="9" applyFont="1" applyBorder="1" applyAlignment="1">
      <alignment horizontal="left" vertical="center" wrapText="1"/>
    </xf>
    <xf numFmtId="0" fontId="42" fillId="8" borderId="9" xfId="9" applyFont="1" applyFill="1" applyBorder="1" applyAlignment="1">
      <alignment horizontal="center" vertical="center" wrapText="1"/>
    </xf>
    <xf numFmtId="0" fontId="38" fillId="8" borderId="0" xfId="9" applyFont="1" applyFill="1" applyAlignment="1">
      <alignment horizontal="left" vertical="center"/>
    </xf>
    <xf numFmtId="0" fontId="51" fillId="8" borderId="0" xfId="9" applyFont="1" applyFill="1">
      <alignment vertical="center"/>
    </xf>
    <xf numFmtId="0" fontId="38" fillId="0" borderId="9" xfId="9" applyFont="1" applyBorder="1" applyAlignment="1">
      <alignment vertical="center" wrapText="1"/>
    </xf>
    <xf numFmtId="0" fontId="38" fillId="0" borderId="0" xfId="9" applyFont="1" applyAlignment="1">
      <alignment horizontal="right" vertical="center"/>
    </xf>
    <xf numFmtId="49" fontId="38" fillId="8" borderId="0" xfId="9" applyNumberFormat="1" applyFont="1" applyFill="1" applyAlignment="1">
      <alignment horizontal="right" vertical="center"/>
    </xf>
    <xf numFmtId="0" fontId="49" fillId="31" borderId="10" xfId="9" applyFont="1" applyFill="1" applyBorder="1" applyAlignment="1">
      <alignment horizontal="left" vertical="center"/>
    </xf>
    <xf numFmtId="49" fontId="40" fillId="31" borderId="10" xfId="9" applyNumberFormat="1" applyFont="1" applyFill="1" applyBorder="1" applyAlignment="1">
      <alignment horizontal="center" vertical="center" wrapText="1"/>
    </xf>
    <xf numFmtId="0" fontId="41" fillId="31" borderId="10" xfId="9" applyFont="1" applyFill="1" applyBorder="1" applyAlignment="1">
      <alignment horizontal="center" vertical="center" wrapText="1"/>
    </xf>
    <xf numFmtId="0" fontId="41" fillId="31" borderId="43" xfId="9" applyFont="1" applyFill="1" applyBorder="1" applyAlignment="1">
      <alignment horizontal="center" vertical="center" wrapText="1"/>
    </xf>
    <xf numFmtId="0" fontId="41" fillId="31" borderId="59" xfId="9" applyFont="1" applyFill="1" applyBorder="1" applyAlignment="1">
      <alignment horizontal="center" vertical="center" wrapText="1"/>
    </xf>
    <xf numFmtId="0" fontId="50" fillId="31" borderId="9" xfId="9" applyFont="1" applyFill="1" applyBorder="1" applyAlignment="1">
      <alignment horizontal="center" vertical="center" wrapText="1"/>
    </xf>
    <xf numFmtId="0" fontId="38" fillId="31" borderId="10" xfId="9" applyFont="1" applyFill="1" applyBorder="1" applyAlignment="1">
      <alignment horizontal="left" vertical="center"/>
    </xf>
    <xf numFmtId="0" fontId="41" fillId="31" borderId="9" xfId="9" applyFont="1" applyFill="1" applyBorder="1" applyAlignment="1">
      <alignment horizontal="center" vertical="center" wrapText="1"/>
    </xf>
    <xf numFmtId="0" fontId="49" fillId="31" borderId="9" xfId="9" applyFont="1" applyFill="1" applyBorder="1" applyAlignment="1">
      <alignment horizontal="left" vertical="center"/>
    </xf>
    <xf numFmtId="49" fontId="40" fillId="31" borderId="9" xfId="9" applyNumberFormat="1" applyFont="1" applyFill="1" applyBorder="1" applyAlignment="1">
      <alignment horizontal="center" vertical="center" wrapText="1"/>
    </xf>
    <xf numFmtId="0" fontId="41" fillId="31" borderId="44" xfId="9" applyFont="1" applyFill="1" applyBorder="1" applyAlignment="1">
      <alignment horizontal="center" vertical="center" wrapText="1"/>
    </xf>
    <xf numFmtId="0" fontId="41" fillId="31" borderId="11" xfId="9" applyFont="1" applyFill="1" applyBorder="1" applyAlignment="1">
      <alignment horizontal="center" vertical="center" wrapText="1"/>
    </xf>
    <xf numFmtId="0" fontId="49" fillId="0" borderId="0" xfId="9" applyFont="1" applyAlignment="1">
      <alignment horizontal="center" vertical="center"/>
    </xf>
    <xf numFmtId="0" fontId="42" fillId="36" borderId="10" xfId="0" applyFont="1" applyFill="1" applyBorder="1" applyAlignment="1">
      <alignment vertical="top" wrapText="1"/>
    </xf>
    <xf numFmtId="0" fontId="42" fillId="37" borderId="10" xfId="0" applyFont="1" applyFill="1" applyBorder="1" applyAlignment="1">
      <alignment vertical="top" wrapText="1"/>
    </xf>
    <xf numFmtId="0" fontId="42" fillId="38" borderId="10" xfId="0" applyFont="1" applyFill="1" applyBorder="1" applyAlignment="1">
      <alignment vertical="top" wrapText="1"/>
    </xf>
    <xf numFmtId="0" fontId="49" fillId="39" borderId="10" xfId="9" applyFont="1" applyFill="1" applyBorder="1" applyAlignment="1">
      <alignment horizontal="left" vertical="top" wrapText="1"/>
    </xf>
    <xf numFmtId="0" fontId="42" fillId="35" borderId="64" xfId="0" applyFont="1" applyFill="1" applyBorder="1" applyAlignment="1">
      <alignment horizontal="left" vertical="top" wrapText="1"/>
    </xf>
    <xf numFmtId="0" fontId="6" fillId="0" borderId="9" xfId="0" applyFont="1" applyBorder="1"/>
    <xf numFmtId="0" fontId="0" fillId="8" borderId="0" xfId="0" applyFill="1"/>
    <xf numFmtId="0" fontId="49" fillId="8" borderId="0" xfId="9" applyFont="1" applyFill="1" applyAlignment="1">
      <alignment horizontal="left" vertical="center" wrapText="1"/>
    </xf>
    <xf numFmtId="0" fontId="49" fillId="8" borderId="0" xfId="9" applyFont="1" applyFill="1" applyAlignment="1">
      <alignment vertical="center" wrapText="1"/>
    </xf>
    <xf numFmtId="0" fontId="49" fillId="8" borderId="0" xfId="9" applyFont="1" applyFill="1">
      <alignment vertical="center"/>
    </xf>
    <xf numFmtId="0" fontId="49" fillId="8" borderId="0" xfId="9" applyFont="1" applyFill="1" applyAlignment="1">
      <alignment horizontal="center" vertical="center"/>
    </xf>
    <xf numFmtId="0" fontId="54" fillId="0" borderId="0" xfId="0" applyFont="1"/>
    <xf numFmtId="0" fontId="6" fillId="7" borderId="9" xfId="0" applyFont="1" applyFill="1" applyBorder="1" applyAlignment="1" applyProtection="1">
      <alignment horizontal="center" vertical="center"/>
      <protection locked="0"/>
    </xf>
    <xf numFmtId="181" fontId="4" fillId="7" borderId="9" xfId="0" applyNumberFormat="1" applyFont="1" applyFill="1" applyBorder="1" applyAlignment="1" applyProtection="1">
      <alignment horizontal="center"/>
      <protection locked="0"/>
    </xf>
    <xf numFmtId="179" fontId="4" fillId="7" borderId="9" xfId="3" applyNumberFormat="1" applyFont="1" applyFill="1" applyBorder="1" applyAlignment="1" applyProtection="1">
      <alignment horizontal="center" vertical="top"/>
      <protection locked="0"/>
    </xf>
    <xf numFmtId="38" fontId="4" fillId="7" borderId="9" xfId="3" applyFont="1" applyFill="1" applyBorder="1" applyAlignment="1" applyProtection="1">
      <alignment horizontal="center" vertical="top"/>
      <protection locked="0"/>
    </xf>
    <xf numFmtId="0" fontId="43" fillId="0" borderId="45" xfId="9" applyFont="1" applyBorder="1" applyAlignment="1">
      <alignment horizontal="left" vertical="center" wrapText="1"/>
    </xf>
    <xf numFmtId="0" fontId="43" fillId="0" borderId="46" xfId="9" applyFont="1" applyBorder="1" applyAlignment="1">
      <alignment horizontal="left" vertical="center" wrapText="1"/>
    </xf>
    <xf numFmtId="0" fontId="45" fillId="0" borderId="46" xfId="9" applyFont="1" applyBorder="1" applyAlignment="1">
      <alignment vertical="center" wrapText="1"/>
    </xf>
    <xf numFmtId="0" fontId="42" fillId="0" borderId="10" xfId="9" applyFont="1" applyBorder="1" applyAlignment="1">
      <alignment horizontal="left" vertical="center" wrapText="1"/>
    </xf>
    <xf numFmtId="0" fontId="38" fillId="8" borderId="9" xfId="9" applyFont="1" applyFill="1" applyBorder="1" applyAlignment="1">
      <alignment horizontal="left" vertical="center" wrapText="1"/>
    </xf>
    <xf numFmtId="0" fontId="49" fillId="0" borderId="9" xfId="9" applyFont="1" applyBorder="1" applyAlignment="1">
      <alignment horizontal="left" vertical="center" wrapText="1"/>
    </xf>
    <xf numFmtId="0" fontId="38" fillId="0" borderId="10" xfId="9" applyFont="1" applyBorder="1" applyAlignment="1">
      <alignment horizontal="left" vertical="center" wrapText="1"/>
    </xf>
    <xf numFmtId="0" fontId="38" fillId="0" borderId="44" xfId="9" applyFont="1" applyBorder="1" applyAlignment="1">
      <alignment horizontal="left" vertical="center" wrapText="1"/>
    </xf>
    <xf numFmtId="0" fontId="49" fillId="0" borderId="9" xfId="9" applyFont="1" applyBorder="1" applyAlignment="1">
      <alignment vertical="center" wrapText="1"/>
    </xf>
    <xf numFmtId="0" fontId="38" fillId="0" borderId="44" xfId="9" applyFont="1" applyBorder="1" applyAlignment="1">
      <alignment vertical="center" wrapText="1"/>
    </xf>
    <xf numFmtId="0" fontId="49" fillId="0" borderId="10" xfId="9" applyFont="1" applyBorder="1" applyAlignment="1">
      <alignment horizontal="left" vertical="center" wrapText="1"/>
    </xf>
    <xf numFmtId="0" fontId="38" fillId="0" borderId="10" xfId="9" applyFont="1" applyBorder="1" applyAlignment="1">
      <alignment vertical="center" wrapText="1"/>
    </xf>
    <xf numFmtId="0" fontId="55" fillId="40" borderId="0" xfId="0" applyFont="1" applyFill="1"/>
    <xf numFmtId="0" fontId="49" fillId="0" borderId="9" xfId="9" applyFont="1" applyBorder="1" applyAlignment="1">
      <alignment horizontal="center" vertical="center" wrapText="1"/>
    </xf>
    <xf numFmtId="183" fontId="0" fillId="0" borderId="9" xfId="0" applyNumberFormat="1" applyBorder="1"/>
    <xf numFmtId="0" fontId="38" fillId="9" borderId="11" xfId="9" applyFont="1" applyFill="1" applyBorder="1" applyAlignment="1" applyProtection="1">
      <alignment horizontal="left" vertical="center" wrapText="1"/>
      <protection locked="0"/>
    </xf>
    <xf numFmtId="0" fontId="38" fillId="8" borderId="11" xfId="9" applyFont="1" applyFill="1" applyBorder="1" applyAlignment="1" applyProtection="1">
      <alignment horizontal="left" vertical="center" wrapText="1"/>
      <protection locked="0"/>
    </xf>
    <xf numFmtId="0" fontId="38" fillId="8" borderId="4" xfId="9" applyFont="1" applyFill="1" applyBorder="1" applyAlignment="1" applyProtection="1">
      <alignment horizontal="left" vertical="center" wrapText="1"/>
      <protection locked="0"/>
    </xf>
    <xf numFmtId="0" fontId="43" fillId="8" borderId="4" xfId="9" applyFont="1" applyFill="1" applyBorder="1" applyAlignment="1" applyProtection="1">
      <alignment horizontal="left" vertical="center" wrapText="1"/>
      <protection locked="0"/>
    </xf>
    <xf numFmtId="0" fontId="38" fillId="0" borderId="11" xfId="9" applyFont="1" applyBorder="1" applyAlignment="1" applyProtection="1">
      <alignment horizontal="left" vertical="center" wrapText="1"/>
      <protection locked="0"/>
    </xf>
    <xf numFmtId="0" fontId="38" fillId="8" borderId="47" xfId="9" applyFont="1" applyFill="1" applyBorder="1" applyAlignment="1" applyProtection="1">
      <alignment horizontal="left" vertical="center" wrapText="1"/>
      <protection locked="0"/>
    </xf>
    <xf numFmtId="0" fontId="38" fillId="0" borderId="9" xfId="9" applyFont="1" applyBorder="1" applyAlignment="1" applyProtection="1">
      <alignment horizontal="left" vertical="center" wrapText="1"/>
      <protection locked="0"/>
    </xf>
    <xf numFmtId="0" fontId="38" fillId="8" borderId="48" xfId="9" applyFont="1" applyFill="1" applyBorder="1" applyAlignment="1" applyProtection="1">
      <alignment horizontal="left" vertical="center" wrapText="1"/>
      <protection locked="0"/>
    </xf>
    <xf numFmtId="0" fontId="43" fillId="8" borderId="48" xfId="9" applyFont="1" applyFill="1" applyBorder="1" applyAlignment="1" applyProtection="1">
      <alignment horizontal="left" vertical="center" wrapText="1"/>
      <protection locked="0"/>
    </xf>
    <xf numFmtId="0" fontId="38" fillId="8" borderId="58" xfId="9" applyFont="1" applyFill="1" applyBorder="1" applyAlignment="1" applyProtection="1">
      <alignment horizontal="left" vertical="center" wrapText="1"/>
      <protection locked="0"/>
    </xf>
    <xf numFmtId="0" fontId="43" fillId="8" borderId="49" xfId="9" applyFont="1" applyFill="1" applyBorder="1" applyAlignment="1" applyProtection="1">
      <alignment horizontal="left" vertical="center" wrapText="1"/>
      <protection locked="0"/>
    </xf>
    <xf numFmtId="0" fontId="38" fillId="8" borderId="50" xfId="9" applyFont="1" applyFill="1" applyBorder="1" applyAlignment="1" applyProtection="1">
      <alignment horizontal="left" vertical="center" wrapText="1"/>
      <protection locked="0"/>
    </xf>
    <xf numFmtId="0" fontId="38" fillId="8" borderId="6" xfId="9" applyFont="1" applyFill="1" applyBorder="1" applyAlignment="1" applyProtection="1">
      <alignment horizontal="left" vertical="center" wrapText="1"/>
      <protection locked="0"/>
    </xf>
    <xf numFmtId="0" fontId="38" fillId="8" borderId="11" xfId="9" applyFont="1" applyFill="1" applyBorder="1" applyAlignment="1" applyProtection="1">
      <alignment vertical="center" wrapText="1"/>
      <protection locked="0"/>
    </xf>
    <xf numFmtId="0" fontId="38" fillId="8" borderId="49" xfId="9" applyFont="1" applyFill="1" applyBorder="1" applyAlignment="1" applyProtection="1">
      <alignment horizontal="left" vertical="center" wrapText="1"/>
      <protection locked="0"/>
    </xf>
    <xf numFmtId="0" fontId="43" fillId="8" borderId="50" xfId="9" applyFont="1" applyFill="1" applyBorder="1" applyAlignment="1" applyProtection="1">
      <alignment horizontal="left" vertical="center" wrapText="1"/>
      <protection locked="0"/>
    </xf>
    <xf numFmtId="0" fontId="43" fillId="8" borderId="11" xfId="9" applyFont="1" applyFill="1" applyBorder="1" applyAlignment="1" applyProtection="1">
      <alignment vertical="center" wrapText="1"/>
      <protection locked="0"/>
    </xf>
    <xf numFmtId="0" fontId="43" fillId="9" borderId="50" xfId="9" applyFont="1" applyFill="1" applyBorder="1" applyAlignment="1" applyProtection="1">
      <alignment horizontal="left" vertical="center" wrapText="1"/>
      <protection locked="0"/>
    </xf>
    <xf numFmtId="0" fontId="38" fillId="9" borderId="11" xfId="9" applyFont="1" applyFill="1" applyBorder="1" applyAlignment="1" applyProtection="1">
      <alignment vertical="center" wrapText="1"/>
      <protection locked="0"/>
    </xf>
    <xf numFmtId="0" fontId="38" fillId="8" borderId="55" xfId="9" applyFont="1" applyFill="1" applyBorder="1" applyAlignment="1" applyProtection="1">
      <alignment vertical="center" wrapText="1"/>
      <protection locked="0"/>
    </xf>
    <xf numFmtId="0" fontId="38" fillId="8" borderId="56" xfId="9" applyFont="1" applyFill="1" applyBorder="1" applyAlignment="1" applyProtection="1">
      <alignment vertical="center" wrapText="1"/>
      <protection locked="0"/>
    </xf>
    <xf numFmtId="0" fontId="43" fillId="8" borderId="11" xfId="9" applyFont="1" applyFill="1" applyBorder="1" applyAlignment="1" applyProtection="1">
      <alignment horizontal="left" vertical="center" wrapText="1"/>
      <protection locked="0"/>
    </xf>
    <xf numFmtId="0" fontId="43" fillId="0" borderId="48" xfId="9" applyFont="1" applyBorder="1" applyAlignment="1" applyProtection="1">
      <alignment horizontal="left" vertical="center" wrapText="1"/>
      <protection locked="0"/>
    </xf>
    <xf numFmtId="0" fontId="43" fillId="9" borderId="46" xfId="9" applyFont="1" applyFill="1" applyBorder="1" applyAlignment="1" applyProtection="1">
      <alignment horizontal="left" vertical="center" wrapText="1"/>
      <protection locked="0"/>
    </xf>
    <xf numFmtId="0" fontId="43" fillId="0" borderId="9" xfId="9" applyFont="1" applyBorder="1" applyAlignment="1" applyProtection="1">
      <alignment horizontal="left" vertical="center" wrapText="1"/>
      <protection locked="0"/>
    </xf>
    <xf numFmtId="0" fontId="38" fillId="0" borderId="9" xfId="9" applyFont="1" applyBorder="1" applyAlignment="1" applyProtection="1">
      <alignment horizontal="center" vertical="center" wrapText="1"/>
      <protection locked="0"/>
    </xf>
    <xf numFmtId="0" fontId="38" fillId="0" borderId="11" xfId="9" applyFont="1" applyBorder="1" applyAlignment="1" applyProtection="1">
      <alignment horizontal="center" vertical="center" wrapText="1"/>
      <protection locked="0"/>
    </xf>
    <xf numFmtId="0" fontId="38" fillId="0" borderId="9" xfId="9" applyFont="1" applyBorder="1" applyAlignment="1" applyProtection="1">
      <alignment horizontal="center" vertical="center"/>
      <protection locked="0"/>
    </xf>
    <xf numFmtId="0" fontId="38" fillId="31" borderId="9" xfId="9" applyFont="1" applyFill="1" applyBorder="1" applyAlignment="1" applyProtection="1">
      <alignment horizontal="center" vertical="center"/>
      <protection locked="0"/>
    </xf>
    <xf numFmtId="0" fontId="38" fillId="0" borderId="10" xfId="9" applyFont="1" applyBorder="1" applyAlignment="1" applyProtection="1">
      <alignment horizontal="center" vertical="center" wrapText="1"/>
      <protection locked="0"/>
    </xf>
    <xf numFmtId="179" fontId="38" fillId="0" borderId="9" xfId="2" applyNumberFormat="1" applyFont="1" applyFill="1" applyBorder="1" applyAlignment="1" applyProtection="1">
      <alignment horizontal="center" vertical="center" wrapText="1"/>
      <protection locked="0"/>
    </xf>
    <xf numFmtId="0" fontId="41" fillId="31" borderId="59" xfId="9" applyFont="1" applyFill="1" applyBorder="1" applyAlignment="1" applyProtection="1">
      <alignment horizontal="center" vertical="center" wrapText="1"/>
      <protection locked="0"/>
    </xf>
    <xf numFmtId="0" fontId="41" fillId="31" borderId="9" xfId="9" applyFont="1" applyFill="1" applyBorder="1" applyAlignment="1" applyProtection="1">
      <alignment horizontal="center" vertical="center" wrapText="1"/>
      <protection locked="0"/>
    </xf>
    <xf numFmtId="0" fontId="49" fillId="8" borderId="0" xfId="9" applyFont="1" applyFill="1" applyProtection="1">
      <alignment vertical="center"/>
      <protection locked="0"/>
    </xf>
    <xf numFmtId="0" fontId="39" fillId="8" borderId="0" xfId="9" applyFont="1" applyFill="1" applyProtection="1">
      <alignment vertical="center"/>
      <protection locked="0"/>
    </xf>
    <xf numFmtId="0" fontId="38" fillId="0" borderId="0" xfId="9" applyFont="1" applyProtection="1">
      <alignment vertical="center"/>
      <protection locked="0"/>
    </xf>
    <xf numFmtId="0" fontId="49" fillId="0" borderId="0" xfId="9" applyFont="1" applyProtection="1">
      <alignment vertical="center"/>
      <protection locked="0"/>
    </xf>
    <xf numFmtId="0" fontId="38" fillId="0" borderId="0" xfId="9" applyFont="1" applyAlignment="1" applyProtection="1">
      <alignment vertical="center" wrapText="1"/>
      <protection locked="0"/>
    </xf>
    <xf numFmtId="0" fontId="38" fillId="8" borderId="0" xfId="9" applyFont="1" applyFill="1" applyAlignment="1" applyProtection="1">
      <alignment vertical="center" wrapText="1"/>
      <protection locked="0"/>
    </xf>
    <xf numFmtId="0" fontId="38" fillId="8" borderId="0" xfId="9" applyFont="1" applyFill="1" applyAlignment="1" applyProtection="1">
      <alignment horizontal="right" vertical="center" wrapText="1"/>
      <protection locked="0"/>
    </xf>
    <xf numFmtId="0" fontId="38" fillId="13" borderId="0" xfId="9" applyFont="1" applyFill="1" applyAlignment="1" applyProtection="1">
      <alignment vertical="center" wrapText="1"/>
      <protection locked="0"/>
    </xf>
    <xf numFmtId="0" fontId="38" fillId="14" borderId="0" xfId="9" applyFont="1" applyFill="1" applyAlignment="1" applyProtection="1">
      <alignment vertical="center" wrapText="1"/>
      <protection locked="0"/>
    </xf>
    <xf numFmtId="0" fontId="50" fillId="8" borderId="0" xfId="0" applyFont="1" applyFill="1" applyAlignment="1" applyProtection="1">
      <alignment horizontal="center" vertical="center" wrapText="1"/>
      <protection locked="0"/>
    </xf>
    <xf numFmtId="0" fontId="41" fillId="16" borderId="45" xfId="9" applyFont="1" applyFill="1" applyBorder="1" applyAlignment="1" applyProtection="1">
      <alignment horizontal="center" vertical="center" wrapText="1"/>
      <protection locked="0"/>
    </xf>
    <xf numFmtId="0" fontId="41" fillId="32" borderId="45" xfId="9" applyFont="1" applyFill="1" applyBorder="1" applyAlignment="1" applyProtection="1">
      <alignment horizontal="center" vertical="center" wrapText="1"/>
      <protection locked="0"/>
    </xf>
    <xf numFmtId="0" fontId="41" fillId="17" borderId="45" xfId="9" applyFont="1" applyFill="1" applyBorder="1" applyAlignment="1" applyProtection="1">
      <alignment horizontal="center" vertical="center" wrapText="1"/>
      <protection locked="0"/>
    </xf>
    <xf numFmtId="0" fontId="41" fillId="18" borderId="45" xfId="9" applyFont="1" applyFill="1" applyBorder="1" applyAlignment="1" applyProtection="1">
      <alignment horizontal="center" vertical="center" wrapText="1"/>
      <protection locked="0"/>
    </xf>
    <xf numFmtId="0" fontId="49" fillId="33" borderId="4" xfId="9" applyFont="1" applyFill="1" applyBorder="1" applyAlignment="1" applyProtection="1">
      <alignment horizontal="center" vertical="center" wrapText="1"/>
      <protection locked="0"/>
    </xf>
    <xf numFmtId="0" fontId="38" fillId="34" borderId="9" xfId="9" applyFont="1" applyFill="1" applyBorder="1" applyAlignment="1" applyProtection="1">
      <alignment horizontal="center" vertical="center" wrapText="1"/>
      <protection locked="0"/>
    </xf>
    <xf numFmtId="0" fontId="50" fillId="0" borderId="0" xfId="0" applyFont="1" applyAlignment="1" applyProtection="1">
      <alignment horizontal="center" vertical="center" wrapText="1"/>
      <protection locked="0"/>
    </xf>
    <xf numFmtId="0" fontId="50" fillId="8" borderId="0" xfId="9" applyFont="1" applyFill="1" applyAlignment="1" applyProtection="1">
      <alignment horizontal="center" vertical="center" wrapText="1"/>
      <protection locked="0"/>
    </xf>
    <xf numFmtId="0" fontId="49" fillId="8" borderId="59" xfId="9" applyFont="1" applyFill="1" applyBorder="1" applyAlignment="1" applyProtection="1">
      <alignment horizontal="center" vertical="center" wrapText="1"/>
      <protection locked="0"/>
    </xf>
    <xf numFmtId="0" fontId="49" fillId="8" borderId="9" xfId="9" applyFont="1" applyFill="1" applyBorder="1" applyAlignment="1" applyProtection="1">
      <alignment horizontal="center" vertical="center" wrapText="1"/>
      <protection locked="0"/>
    </xf>
    <xf numFmtId="0" fontId="50" fillId="0" borderId="0" xfId="9" applyFont="1" applyAlignment="1" applyProtection="1">
      <alignment horizontal="center" vertical="center" wrapText="1"/>
      <protection locked="0"/>
    </xf>
    <xf numFmtId="0" fontId="41" fillId="16" borderId="10" xfId="9" applyFont="1" applyFill="1" applyBorder="1" applyAlignment="1" applyProtection="1">
      <alignment horizontal="center" vertical="center" wrapText="1"/>
      <protection locked="0"/>
    </xf>
    <xf numFmtId="0" fontId="41" fillId="32" borderId="10" xfId="9" applyFont="1" applyFill="1" applyBorder="1" applyAlignment="1" applyProtection="1">
      <alignment horizontal="center" vertical="center" wrapText="1"/>
      <protection locked="0"/>
    </xf>
    <xf numFmtId="0" fontId="41" fillId="17" borderId="10" xfId="9" applyFont="1" applyFill="1" applyBorder="1" applyAlignment="1" applyProtection="1">
      <alignment horizontal="center" vertical="center" wrapText="1"/>
      <protection locked="0"/>
    </xf>
    <xf numFmtId="0" fontId="41" fillId="18" borderId="10" xfId="9" applyFont="1" applyFill="1" applyBorder="1" applyAlignment="1" applyProtection="1">
      <alignment horizontal="center" vertical="center" wrapText="1"/>
      <protection locked="0"/>
    </xf>
    <xf numFmtId="0" fontId="50" fillId="8" borderId="0" xfId="9" applyFont="1" applyFill="1" applyProtection="1">
      <alignment vertical="center"/>
      <protection locked="0"/>
    </xf>
    <xf numFmtId="0" fontId="41" fillId="31" borderId="10" xfId="9" applyFont="1" applyFill="1" applyBorder="1" applyAlignment="1" applyProtection="1">
      <alignment horizontal="center" vertical="center" wrapText="1"/>
      <protection locked="0"/>
    </xf>
    <xf numFmtId="0" fontId="49" fillId="8" borderId="0" xfId="9" applyFont="1" applyFill="1" applyAlignment="1" applyProtection="1">
      <alignment horizontal="left" vertical="center" wrapText="1"/>
      <protection locked="0"/>
    </xf>
    <xf numFmtId="0" fontId="49" fillId="0" borderId="0" xfId="9" applyFont="1" applyAlignment="1" applyProtection="1">
      <alignment horizontal="left" vertical="center" wrapText="1"/>
      <protection locked="0"/>
    </xf>
    <xf numFmtId="0" fontId="38" fillId="0" borderId="9" xfId="9" applyFont="1" applyBorder="1" applyAlignment="1" applyProtection="1">
      <alignment vertical="center" wrapText="1"/>
      <protection locked="0"/>
    </xf>
    <xf numFmtId="0" fontId="38" fillId="0" borderId="4" xfId="9" applyFont="1" applyBorder="1" applyAlignment="1" applyProtection="1">
      <alignment vertical="center" wrapText="1"/>
      <protection locked="0"/>
    </xf>
    <xf numFmtId="0" fontId="43" fillId="0" borderId="0" xfId="9" applyFont="1" applyProtection="1">
      <alignment vertical="center"/>
      <protection locked="0"/>
    </xf>
    <xf numFmtId="0" fontId="49" fillId="8" borderId="0" xfId="9" applyFont="1" applyFill="1" applyAlignment="1" applyProtection="1">
      <alignment horizontal="center" vertical="center" wrapText="1"/>
      <protection locked="0"/>
    </xf>
    <xf numFmtId="0" fontId="38" fillId="13" borderId="9" xfId="9" applyFont="1" applyFill="1" applyBorder="1" applyAlignment="1" applyProtection="1">
      <alignment vertical="center" wrapText="1"/>
      <protection locked="0"/>
    </xf>
    <xf numFmtId="0" fontId="38" fillId="14" borderId="4" xfId="9" applyFont="1" applyFill="1" applyBorder="1" applyAlignment="1" applyProtection="1">
      <alignment vertical="center" wrapText="1"/>
      <protection locked="0"/>
    </xf>
    <xf numFmtId="0" fontId="38" fillId="14" borderId="9" xfId="9" applyFont="1" applyFill="1" applyBorder="1" applyAlignment="1" applyProtection="1">
      <alignment vertical="center" wrapText="1"/>
      <protection locked="0"/>
    </xf>
    <xf numFmtId="0" fontId="38" fillId="11" borderId="9" xfId="9" applyFont="1" applyFill="1" applyBorder="1" applyAlignment="1" applyProtection="1">
      <alignment vertical="center" wrapText="1"/>
      <protection locked="0"/>
    </xf>
    <xf numFmtId="0" fontId="49" fillId="8" borderId="0" xfId="9" applyFont="1" applyFill="1" applyAlignment="1" applyProtection="1">
      <alignment vertical="center" wrapText="1"/>
      <protection locked="0"/>
    </xf>
    <xf numFmtId="0" fontId="49" fillId="0" borderId="0" xfId="9" applyFont="1" applyAlignment="1" applyProtection="1">
      <alignment vertical="center" wrapText="1"/>
      <protection locked="0"/>
    </xf>
    <xf numFmtId="0" fontId="43" fillId="0" borderId="9" xfId="9" applyFont="1" applyBorder="1" applyAlignment="1" applyProtection="1">
      <alignment vertical="center" wrapText="1"/>
      <protection locked="0"/>
    </xf>
    <xf numFmtId="0" fontId="49" fillId="0" borderId="5" xfId="9" applyFont="1" applyBorder="1" applyAlignment="1" applyProtection="1">
      <alignment horizontal="left" vertical="center" wrapText="1"/>
      <protection locked="0"/>
    </xf>
    <xf numFmtId="0" fontId="38" fillId="0" borderId="10" xfId="9" applyFont="1" applyBorder="1" applyAlignment="1" applyProtection="1">
      <alignment vertical="center" wrapText="1"/>
      <protection locked="0"/>
    </xf>
    <xf numFmtId="0" fontId="38" fillId="14" borderId="10" xfId="9" applyFont="1" applyFill="1" applyBorder="1" applyAlignment="1" applyProtection="1">
      <alignment vertical="center" wrapText="1"/>
      <protection locked="0"/>
    </xf>
    <xf numFmtId="0" fontId="38" fillId="0" borderId="45" xfId="9" applyFont="1" applyBorder="1" applyAlignment="1" applyProtection="1">
      <alignment vertical="center" wrapText="1"/>
      <protection locked="0"/>
    </xf>
    <xf numFmtId="0" fontId="38" fillId="14" borderId="45" xfId="9" applyFont="1" applyFill="1" applyBorder="1" applyAlignment="1" applyProtection="1">
      <alignment vertical="center" wrapText="1"/>
      <protection locked="0"/>
    </xf>
    <xf numFmtId="0" fontId="38" fillId="0" borderId="46" xfId="9" applyFont="1" applyBorder="1" applyAlignment="1" applyProtection="1">
      <alignment vertical="center" wrapText="1"/>
      <protection locked="0"/>
    </xf>
    <xf numFmtId="0" fontId="38" fillId="14" borderId="46" xfId="9" applyFont="1" applyFill="1" applyBorder="1" applyAlignment="1" applyProtection="1">
      <alignment vertical="center" wrapText="1"/>
      <protection locked="0"/>
    </xf>
    <xf numFmtId="0" fontId="38" fillId="31" borderId="11" xfId="9" applyFont="1" applyFill="1" applyBorder="1" applyAlignment="1" applyProtection="1">
      <alignment vertical="center" wrapText="1"/>
      <protection locked="0"/>
    </xf>
    <xf numFmtId="0" fontId="38" fillId="31" borderId="9" xfId="9" applyFont="1" applyFill="1" applyBorder="1" applyAlignment="1" applyProtection="1">
      <alignment vertical="center" wrapText="1"/>
      <protection locked="0"/>
    </xf>
    <xf numFmtId="0" fontId="49" fillId="0" borderId="5" xfId="9" applyFont="1" applyBorder="1" applyAlignment="1" applyProtection="1">
      <alignment vertical="center" wrapText="1"/>
      <protection locked="0"/>
    </xf>
    <xf numFmtId="0" fontId="43" fillId="0" borderId="0" xfId="9" applyFont="1" applyAlignment="1" applyProtection="1">
      <alignment vertical="center" wrapText="1"/>
      <protection locked="0"/>
    </xf>
    <xf numFmtId="0" fontId="49" fillId="0" borderId="0" xfId="9" applyFont="1" applyAlignment="1" applyProtection="1">
      <alignment vertical="top" wrapText="1"/>
      <protection locked="0"/>
    </xf>
    <xf numFmtId="0" fontId="42" fillId="0" borderId="0" xfId="9" applyFont="1" applyProtection="1">
      <alignment vertical="center"/>
      <protection locked="0"/>
    </xf>
    <xf numFmtId="0" fontId="38" fillId="0" borderId="2" xfId="9" applyFont="1" applyBorder="1" applyAlignment="1" applyProtection="1">
      <alignment horizontal="left" vertical="center" wrapText="1"/>
      <protection locked="0"/>
    </xf>
    <xf numFmtId="0" fontId="38" fillId="0" borderId="0" xfId="9" applyFont="1" applyAlignment="1" applyProtection="1">
      <alignment horizontal="left" vertical="center" wrapText="1"/>
      <protection locked="0"/>
    </xf>
    <xf numFmtId="0" fontId="38" fillId="9" borderId="63" xfId="9" applyFont="1" applyFill="1" applyBorder="1" applyProtection="1">
      <alignment vertical="center"/>
      <protection locked="0"/>
    </xf>
    <xf numFmtId="0" fontId="38" fillId="0" borderId="9" xfId="9" applyFont="1" applyBorder="1" applyAlignment="1">
      <alignment horizontal="center" vertical="center" wrapText="1" readingOrder="1"/>
    </xf>
    <xf numFmtId="49" fontId="38" fillId="0" borderId="9" xfId="9" applyNumberFormat="1" applyFont="1" applyBorder="1" applyAlignment="1">
      <alignment horizontal="center" vertical="center" wrapText="1"/>
    </xf>
    <xf numFmtId="0" fontId="42" fillId="0" borderId="9" xfId="9" applyFont="1" applyBorder="1" applyAlignment="1">
      <alignment horizontal="center" vertical="center" wrapText="1"/>
    </xf>
    <xf numFmtId="0" fontId="42" fillId="0" borderId="9" xfId="9" applyFont="1" applyBorder="1" applyAlignment="1">
      <alignment horizontal="center" vertical="center" wrapText="1" readingOrder="1"/>
    </xf>
    <xf numFmtId="0" fontId="42" fillId="0" borderId="10" xfId="9" applyFont="1" applyBorder="1" applyAlignment="1">
      <alignment horizontal="center" vertical="center" wrapText="1" readingOrder="1"/>
    </xf>
    <xf numFmtId="49" fontId="38" fillId="0" borderId="10" xfId="9" applyNumberFormat="1" applyFont="1" applyBorder="1" applyAlignment="1">
      <alignment horizontal="center" vertical="center" wrapText="1"/>
    </xf>
    <xf numFmtId="0" fontId="42" fillId="0" borderId="1" xfId="9" applyFont="1" applyBorder="1" applyAlignment="1">
      <alignment horizontal="left" vertical="center" wrapText="1"/>
    </xf>
    <xf numFmtId="0" fontId="42" fillId="0" borderId="45" xfId="9" applyFont="1" applyBorder="1" applyAlignment="1">
      <alignment horizontal="center" vertical="center" wrapText="1" readingOrder="1"/>
    </xf>
    <xf numFmtId="49" fontId="38" fillId="0" borderId="45" xfId="9" applyNumberFormat="1" applyFont="1" applyBorder="1" applyAlignment="1">
      <alignment horizontal="center" vertical="center" wrapText="1"/>
    </xf>
    <xf numFmtId="0" fontId="43" fillId="0" borderId="4" xfId="9" applyFont="1" applyBorder="1" applyAlignment="1">
      <alignment horizontal="left" vertical="center" wrapText="1"/>
    </xf>
    <xf numFmtId="0" fontId="42" fillId="0" borderId="46" xfId="9" applyFont="1" applyBorder="1" applyAlignment="1">
      <alignment horizontal="center" vertical="center" wrapText="1" readingOrder="1"/>
    </xf>
    <xf numFmtId="49" fontId="38" fillId="0" borderId="46" xfId="9" applyNumberFormat="1" applyFont="1" applyBorder="1" applyAlignment="1">
      <alignment horizontal="center" vertical="center" wrapText="1"/>
    </xf>
    <xf numFmtId="0" fontId="43" fillId="0" borderId="6" xfId="9" applyFont="1" applyBorder="1" applyAlignment="1">
      <alignment horizontal="left" vertical="center" wrapText="1"/>
    </xf>
    <xf numFmtId="0" fontId="42" fillId="0" borderId="44" xfId="9" applyFont="1" applyBorder="1" applyAlignment="1">
      <alignment horizontal="left" vertical="center" wrapText="1"/>
    </xf>
    <xf numFmtId="0" fontId="38" fillId="0" borderId="10" xfId="9" applyFont="1" applyBorder="1" applyAlignment="1">
      <alignment horizontal="center" vertical="center" wrapText="1" readingOrder="1"/>
    </xf>
    <xf numFmtId="0" fontId="38" fillId="0" borderId="43" xfId="9" applyFont="1" applyBorder="1" applyAlignment="1">
      <alignment vertical="center" wrapText="1"/>
    </xf>
    <xf numFmtId="0" fontId="38" fillId="0" borderId="54" xfId="9" applyFont="1" applyBorder="1" applyAlignment="1">
      <alignment vertical="center" wrapText="1"/>
    </xf>
    <xf numFmtId="0" fontId="38" fillId="0" borderId="54" xfId="9" applyFont="1" applyBorder="1" applyAlignment="1">
      <alignment horizontal="left" vertical="center" wrapText="1"/>
    </xf>
    <xf numFmtId="0" fontId="38" fillId="0" borderId="43" xfId="9" applyFont="1" applyBorder="1" applyAlignment="1">
      <alignment horizontal="left" vertical="center" wrapText="1"/>
    </xf>
    <xf numFmtId="0" fontId="38" fillId="0" borderId="57" xfId="9" applyFont="1" applyBorder="1" applyAlignment="1">
      <alignment horizontal="left" vertical="center" wrapText="1"/>
    </xf>
    <xf numFmtId="0" fontId="38" fillId="0" borderId="1" xfId="9" applyFont="1" applyBorder="1" applyAlignment="1">
      <alignment vertical="center" wrapText="1"/>
    </xf>
    <xf numFmtId="0" fontId="53" fillId="40" borderId="9" xfId="0" applyFont="1" applyFill="1" applyBorder="1"/>
    <xf numFmtId="0" fontId="6" fillId="0" borderId="0" xfId="0" applyFont="1" applyAlignment="1">
      <alignment horizontal="left"/>
    </xf>
    <xf numFmtId="38" fontId="6" fillId="0" borderId="0" xfId="2" applyFont="1"/>
    <xf numFmtId="0" fontId="28" fillId="31" borderId="9" xfId="6" applyFont="1" applyFill="1" applyBorder="1">
      <alignment vertical="center"/>
    </xf>
    <xf numFmtId="40" fontId="28" fillId="31" borderId="9" xfId="4" applyNumberFormat="1" applyFont="1" applyFill="1" applyBorder="1">
      <alignment vertical="center"/>
    </xf>
    <xf numFmtId="38" fontId="28" fillId="31" borderId="9" xfId="4" applyFont="1" applyFill="1" applyBorder="1">
      <alignment vertical="center"/>
    </xf>
    <xf numFmtId="0" fontId="0" fillId="31" borderId="0" xfId="0" applyFill="1"/>
    <xf numFmtId="0" fontId="6" fillId="31" borderId="0" xfId="0" applyFont="1" applyFill="1" applyAlignment="1">
      <alignment horizontal="right"/>
    </xf>
    <xf numFmtId="38" fontId="6" fillId="31" borderId="0" xfId="2" applyFont="1" applyFill="1"/>
    <xf numFmtId="0" fontId="28" fillId="31" borderId="10" xfId="6" applyFont="1" applyFill="1" applyBorder="1">
      <alignment vertical="center"/>
    </xf>
    <xf numFmtId="40" fontId="28" fillId="31" borderId="10" xfId="4" applyNumberFormat="1" applyFont="1" applyFill="1" applyBorder="1">
      <alignment vertical="center"/>
    </xf>
    <xf numFmtId="38" fontId="6" fillId="0" borderId="0" xfId="2" applyFont="1" applyFill="1"/>
    <xf numFmtId="0" fontId="30" fillId="0" borderId="0" xfId="6" applyFont="1">
      <alignment vertical="center"/>
    </xf>
    <xf numFmtId="38" fontId="28" fillId="0" borderId="0" xfId="4" applyFont="1" applyFill="1" applyBorder="1">
      <alignment vertical="center"/>
    </xf>
    <xf numFmtId="0" fontId="10" fillId="0" borderId="0" xfId="0" applyFont="1"/>
    <xf numFmtId="0" fontId="56" fillId="8" borderId="0" xfId="6" applyFont="1" applyFill="1" applyAlignment="1">
      <alignment horizontal="center" vertical="center"/>
    </xf>
    <xf numFmtId="38" fontId="6" fillId="0" borderId="0" xfId="0" applyNumberFormat="1" applyFont="1" applyAlignment="1">
      <alignment horizontal="right"/>
    </xf>
    <xf numFmtId="38" fontId="6" fillId="31" borderId="0" xfId="0" applyNumberFormat="1" applyFont="1" applyFill="1" applyAlignment="1">
      <alignment horizontal="right"/>
    </xf>
    <xf numFmtId="38" fontId="6" fillId="0" borderId="0" xfId="2" applyFont="1" applyAlignment="1">
      <alignment horizontal="right"/>
    </xf>
    <xf numFmtId="38" fontId="6" fillId="31" borderId="9" xfId="2" applyFont="1" applyFill="1" applyBorder="1"/>
    <xf numFmtId="38" fontId="28" fillId="31" borderId="9" xfId="2" applyFont="1" applyFill="1" applyBorder="1" applyAlignment="1">
      <alignment vertical="center"/>
    </xf>
    <xf numFmtId="38" fontId="28" fillId="31" borderId="9" xfId="4" applyFont="1" applyFill="1" applyBorder="1" applyProtection="1">
      <alignment vertical="center"/>
      <protection locked="0"/>
    </xf>
    <xf numFmtId="0" fontId="14" fillId="31" borderId="9" xfId="0" applyFont="1" applyFill="1" applyBorder="1"/>
    <xf numFmtId="0" fontId="36" fillId="0" borderId="0" xfId="0" applyFont="1"/>
    <xf numFmtId="0" fontId="42" fillId="19" borderId="10" xfId="0" applyFont="1" applyFill="1" applyBorder="1" applyAlignment="1">
      <alignment vertical="top" wrapText="1"/>
    </xf>
    <xf numFmtId="0" fontId="42" fillId="19" borderId="45" xfId="0" applyFont="1" applyFill="1" applyBorder="1" applyAlignment="1">
      <alignment vertical="top" wrapText="1"/>
    </xf>
    <xf numFmtId="0" fontId="42" fillId="19" borderId="46" xfId="0" applyFont="1" applyFill="1" applyBorder="1" applyAlignment="1">
      <alignment vertical="top" wrapText="1"/>
    </xf>
    <xf numFmtId="0" fontId="42" fillId="21" borderId="10" xfId="0" applyFont="1" applyFill="1" applyBorder="1" applyAlignment="1">
      <alignment vertical="top" wrapText="1"/>
    </xf>
    <xf numFmtId="0" fontId="42" fillId="21" borderId="45" xfId="0" applyFont="1" applyFill="1" applyBorder="1" applyAlignment="1">
      <alignment vertical="top" wrapText="1"/>
    </xf>
    <xf numFmtId="0" fontId="42" fillId="21" borderId="46" xfId="0" applyFont="1" applyFill="1" applyBorder="1" applyAlignment="1">
      <alignment vertical="top" wrapText="1"/>
    </xf>
    <xf numFmtId="0" fontId="42" fillId="22" borderId="10" xfId="0" applyFont="1" applyFill="1" applyBorder="1" applyAlignment="1">
      <alignment vertical="top" wrapText="1"/>
    </xf>
    <xf numFmtId="0" fontId="42" fillId="22" borderId="45" xfId="0" applyFont="1" applyFill="1" applyBorder="1" applyAlignment="1">
      <alignment vertical="top" wrapText="1"/>
    </xf>
    <xf numFmtId="0" fontId="42" fillId="22" borderId="46" xfId="0" applyFont="1" applyFill="1" applyBorder="1" applyAlignment="1">
      <alignment vertical="top" wrapText="1"/>
    </xf>
    <xf numFmtId="0" fontId="42" fillId="23" borderId="10" xfId="0" applyFont="1" applyFill="1" applyBorder="1" applyAlignment="1">
      <alignment vertical="top" wrapText="1"/>
    </xf>
    <xf numFmtId="0" fontId="42" fillId="23" borderId="45" xfId="0" applyFont="1" applyFill="1" applyBorder="1" applyAlignment="1">
      <alignment vertical="top" wrapText="1"/>
    </xf>
    <xf numFmtId="0" fontId="42" fillId="23" borderId="46" xfId="0" applyFont="1" applyFill="1" applyBorder="1" applyAlignment="1">
      <alignment vertical="top" wrapText="1"/>
    </xf>
    <xf numFmtId="0" fontId="43" fillId="0" borderId="11" xfId="9" applyFont="1" applyBorder="1" applyAlignment="1">
      <alignment vertical="center" wrapText="1"/>
    </xf>
    <xf numFmtId="0" fontId="38" fillId="8" borderId="61" xfId="9" applyFont="1" applyFill="1" applyBorder="1" applyAlignment="1" applyProtection="1">
      <alignment vertical="center" wrapText="1"/>
      <protection locked="0"/>
    </xf>
    <xf numFmtId="0" fontId="42" fillId="24" borderId="10" xfId="0" applyFont="1" applyFill="1" applyBorder="1" applyAlignment="1">
      <alignment vertical="top" wrapText="1"/>
    </xf>
    <xf numFmtId="0" fontId="42" fillId="24" borderId="45" xfId="0" applyFont="1" applyFill="1" applyBorder="1" applyAlignment="1">
      <alignment vertical="top" wrapText="1"/>
    </xf>
    <xf numFmtId="0" fontId="42" fillId="24" borderId="46" xfId="0" applyFont="1" applyFill="1" applyBorder="1" applyAlignment="1">
      <alignment vertical="top" wrapText="1"/>
    </xf>
    <xf numFmtId="0" fontId="42" fillId="25" borderId="10" xfId="0" applyFont="1" applyFill="1" applyBorder="1" applyAlignment="1">
      <alignment vertical="top" wrapText="1"/>
    </xf>
    <xf numFmtId="0" fontId="42" fillId="25" borderId="45" xfId="0" applyFont="1" applyFill="1" applyBorder="1" applyAlignment="1">
      <alignment vertical="top" wrapText="1"/>
    </xf>
    <xf numFmtId="0" fontId="42" fillId="25" borderId="46" xfId="0" applyFont="1" applyFill="1" applyBorder="1" applyAlignment="1">
      <alignment vertical="top" wrapText="1"/>
    </xf>
    <xf numFmtId="0" fontId="38" fillId="8" borderId="13" xfId="9" applyFont="1" applyFill="1" applyBorder="1" applyAlignment="1" applyProtection="1">
      <alignment horizontal="left" vertical="center" wrapText="1"/>
      <protection locked="0"/>
    </xf>
    <xf numFmtId="0" fontId="43" fillId="11" borderId="0" xfId="9" applyFont="1" applyFill="1" applyAlignment="1" applyProtection="1">
      <alignment vertical="center" wrapText="1"/>
      <protection locked="0"/>
    </xf>
    <xf numFmtId="56" fontId="43" fillId="11" borderId="0" xfId="9" applyNumberFormat="1" applyFont="1" applyFill="1" applyAlignment="1" applyProtection="1">
      <alignment vertical="center" wrapText="1"/>
      <protection locked="0"/>
    </xf>
    <xf numFmtId="0" fontId="43" fillId="0" borderId="46" xfId="9" applyFont="1" applyBorder="1" applyAlignment="1" applyProtection="1">
      <alignment horizontal="left" vertical="center" wrapText="1"/>
      <protection locked="0"/>
    </xf>
    <xf numFmtId="0" fontId="42" fillId="27" borderId="10" xfId="0" applyFont="1" applyFill="1" applyBorder="1" applyAlignment="1">
      <alignment vertical="top" wrapText="1"/>
    </xf>
    <xf numFmtId="0" fontId="42" fillId="27" borderId="45" xfId="0" applyFont="1" applyFill="1" applyBorder="1" applyAlignment="1">
      <alignment vertical="top" wrapText="1"/>
    </xf>
    <xf numFmtId="0" fontId="42" fillId="27" borderId="46" xfId="0" applyFont="1" applyFill="1" applyBorder="1" applyAlignment="1">
      <alignment vertical="top" wrapText="1"/>
    </xf>
    <xf numFmtId="0" fontId="38" fillId="31" borderId="59" xfId="9" applyFont="1" applyFill="1" applyBorder="1" applyAlignment="1">
      <alignment vertical="center" wrapText="1"/>
    </xf>
    <xf numFmtId="0" fontId="43" fillId="9" borderId="46" xfId="9" applyFont="1" applyFill="1" applyBorder="1" applyAlignment="1">
      <alignment horizontal="left" vertical="center" wrapText="1"/>
    </xf>
    <xf numFmtId="0" fontId="38" fillId="11" borderId="10" xfId="9" applyFont="1" applyFill="1" applyBorder="1" applyAlignment="1" applyProtection="1">
      <alignment vertical="center" wrapText="1"/>
      <protection locked="0"/>
    </xf>
    <xf numFmtId="0" fontId="38" fillId="9" borderId="59" xfId="9" applyFont="1" applyFill="1" applyBorder="1" applyAlignment="1">
      <alignment vertical="center" wrapText="1"/>
    </xf>
    <xf numFmtId="0" fontId="43" fillId="0" borderId="9" xfId="9" applyFont="1" applyBorder="1" applyAlignment="1">
      <alignment horizontal="left" vertical="center" wrapText="1"/>
    </xf>
    <xf numFmtId="0" fontId="43" fillId="0" borderId="49" xfId="9" applyFont="1" applyBorder="1" applyAlignment="1" applyProtection="1">
      <alignment horizontal="left" vertical="center" wrapText="1"/>
      <protection locked="0"/>
    </xf>
    <xf numFmtId="0" fontId="43" fillId="0" borderId="50" xfId="9" applyFont="1" applyBorder="1" applyAlignment="1" applyProtection="1">
      <alignment horizontal="left" vertical="center" wrapText="1"/>
      <protection locked="0"/>
    </xf>
    <xf numFmtId="0" fontId="43" fillId="11" borderId="0" xfId="9" applyFont="1" applyFill="1" applyProtection="1">
      <alignment vertical="center"/>
      <protection locked="0"/>
    </xf>
    <xf numFmtId="0" fontId="38" fillId="31" borderId="12" xfId="9" applyFont="1" applyFill="1" applyBorder="1" applyAlignment="1" applyProtection="1">
      <alignment vertical="center" wrapText="1"/>
      <protection locked="0"/>
    </xf>
    <xf numFmtId="0" fontId="38" fillId="11" borderId="0" xfId="9" applyFont="1" applyFill="1" applyProtection="1">
      <alignment vertical="center"/>
      <protection locked="0"/>
    </xf>
    <xf numFmtId="0" fontId="43" fillId="31" borderId="11" xfId="9" applyFont="1" applyFill="1" applyBorder="1" applyAlignment="1" applyProtection="1">
      <alignment vertical="center" wrapText="1"/>
      <protection locked="0"/>
    </xf>
    <xf numFmtId="0" fontId="43" fillId="31" borderId="11" xfId="9" applyFont="1" applyFill="1" applyBorder="1" applyAlignment="1" applyProtection="1">
      <alignment horizontal="left" vertical="center" wrapText="1"/>
      <protection locked="0"/>
    </xf>
    <xf numFmtId="0" fontId="38" fillId="0" borderId="59" xfId="9" applyFont="1" applyBorder="1" applyAlignment="1">
      <alignment vertical="center" wrapText="1"/>
    </xf>
    <xf numFmtId="0" fontId="38" fillId="0" borderId="1" xfId="9" applyFont="1" applyBorder="1" applyAlignment="1">
      <alignment horizontal="left" vertical="center" wrapText="1"/>
    </xf>
    <xf numFmtId="0" fontId="38" fillId="0" borderId="45" xfId="9" applyFont="1" applyBorder="1" applyAlignment="1">
      <alignment horizontal="center" vertical="center" wrapText="1" readingOrder="1"/>
    </xf>
    <xf numFmtId="0" fontId="38" fillId="0" borderId="45" xfId="9" applyFont="1" applyBorder="1" applyAlignment="1">
      <alignment horizontal="left" vertical="center" wrapText="1"/>
    </xf>
    <xf numFmtId="0" fontId="38" fillId="0" borderId="4" xfId="9" applyFont="1" applyBorder="1" applyAlignment="1">
      <alignment horizontal="left" vertical="center" wrapText="1"/>
    </xf>
    <xf numFmtId="0" fontId="38" fillId="0" borderId="46" xfId="9" applyFont="1" applyBorder="1" applyAlignment="1">
      <alignment horizontal="center" vertical="center" wrapText="1" readingOrder="1"/>
    </xf>
    <xf numFmtId="0" fontId="38" fillId="0" borderId="6" xfId="9" applyFont="1" applyBorder="1" applyAlignment="1">
      <alignment horizontal="left" vertical="center" wrapText="1"/>
    </xf>
    <xf numFmtId="0" fontId="42" fillId="0" borderId="9" xfId="9" applyFont="1" applyBorder="1" applyAlignment="1">
      <alignment horizontal="left" vertical="center" wrapText="1"/>
    </xf>
    <xf numFmtId="0" fontId="43" fillId="0" borderId="11" xfId="9" applyFont="1" applyBorder="1" applyAlignment="1">
      <alignment horizontal="left" vertical="center" wrapText="1"/>
    </xf>
    <xf numFmtId="56" fontId="38" fillId="31" borderId="11" xfId="9" applyNumberFormat="1" applyFont="1" applyFill="1" applyBorder="1" applyAlignment="1">
      <alignment horizontal="left" vertical="center" wrapText="1"/>
    </xf>
    <xf numFmtId="0" fontId="38" fillId="31" borderId="11" xfId="9" applyFont="1" applyFill="1" applyBorder="1" applyAlignment="1" applyProtection="1">
      <alignment horizontal="left" vertical="center" wrapText="1"/>
      <protection locked="0"/>
    </xf>
    <xf numFmtId="181" fontId="0" fillId="11" borderId="24" xfId="7" applyNumberFormat="1" applyFont="1" applyFill="1" applyBorder="1" applyProtection="1">
      <alignment vertical="center"/>
      <protection locked="0"/>
    </xf>
    <xf numFmtId="177" fontId="0" fillId="11" borderId="24" xfId="7" applyNumberFormat="1" applyFont="1" applyFill="1" applyBorder="1" applyProtection="1">
      <alignment vertical="center"/>
      <protection locked="0"/>
    </xf>
    <xf numFmtId="181" fontId="4" fillId="8" borderId="9" xfId="0" applyNumberFormat="1" applyFont="1" applyFill="1" applyBorder="1" applyAlignment="1">
      <alignment horizontal="center"/>
    </xf>
    <xf numFmtId="0" fontId="57" fillId="0" borderId="0" xfId="0" applyFont="1" applyAlignment="1">
      <alignment vertical="center"/>
    </xf>
    <xf numFmtId="0" fontId="59" fillId="3" borderId="13" xfId="0" applyFont="1" applyFill="1" applyBorder="1" applyAlignment="1" applyProtection="1">
      <alignment horizontal="left" vertical="center" wrapText="1"/>
      <protection locked="0"/>
    </xf>
    <xf numFmtId="0" fontId="59" fillId="3" borderId="12" xfId="0" applyFont="1" applyFill="1" applyBorder="1" applyAlignment="1" applyProtection="1">
      <alignment horizontal="left" vertical="center" wrapText="1"/>
      <protection locked="0"/>
    </xf>
    <xf numFmtId="0" fontId="60" fillId="0" borderId="0" xfId="0" applyFont="1"/>
    <xf numFmtId="0" fontId="58" fillId="0" borderId="0" xfId="0" applyFont="1" applyAlignment="1">
      <alignment horizontal="right" vertical="center"/>
    </xf>
    <xf numFmtId="0" fontId="58" fillId="3" borderId="11" xfId="0" applyFont="1" applyFill="1" applyBorder="1" applyAlignment="1" applyProtection="1">
      <alignment horizontal="left" vertical="center"/>
      <protection locked="0"/>
    </xf>
    <xf numFmtId="0" fontId="59" fillId="0" borderId="0" xfId="0" applyFont="1" applyAlignment="1">
      <alignment vertical="center"/>
    </xf>
    <xf numFmtId="184" fontId="4" fillId="0" borderId="9" xfId="0" applyNumberFormat="1" applyFont="1" applyBorder="1" applyAlignment="1">
      <alignment horizontal="center" vertical="top" wrapText="1"/>
    </xf>
    <xf numFmtId="184" fontId="4" fillId="8" borderId="9" xfId="0" applyNumberFormat="1" applyFont="1" applyFill="1" applyBorder="1" applyAlignment="1">
      <alignment horizontal="center" vertical="top" wrapText="1"/>
    </xf>
    <xf numFmtId="0" fontId="14" fillId="0" borderId="0" xfId="0" applyFont="1" applyAlignment="1">
      <alignment vertical="center"/>
    </xf>
    <xf numFmtId="0" fontId="10" fillId="0" borderId="0" xfId="0" applyFont="1" applyAlignment="1">
      <alignment vertical="center"/>
    </xf>
    <xf numFmtId="0" fontId="4" fillId="0" borderId="0" xfId="0" applyFont="1" applyAlignment="1">
      <alignment horizontal="center" vertical="center"/>
    </xf>
    <xf numFmtId="0" fontId="38" fillId="8" borderId="0" xfId="9" applyFont="1" applyFill="1" applyAlignment="1" applyProtection="1">
      <alignment horizontal="left" vertical="center" wrapText="1"/>
      <protection locked="0"/>
    </xf>
    <xf numFmtId="38" fontId="18" fillId="11" borderId="9" xfId="3" applyFont="1" applyFill="1" applyBorder="1" applyAlignment="1">
      <alignment vertical="center"/>
    </xf>
    <xf numFmtId="0" fontId="0" fillId="11" borderId="9" xfId="0" applyFill="1" applyBorder="1"/>
    <xf numFmtId="0" fontId="38" fillId="8" borderId="65" xfId="9" applyFont="1" applyFill="1" applyBorder="1" applyAlignment="1" applyProtection="1">
      <alignment horizontal="left" vertical="center" wrapText="1"/>
      <protection locked="0"/>
    </xf>
    <xf numFmtId="0" fontId="38" fillId="0" borderId="64" xfId="9" applyFont="1" applyBorder="1" applyAlignment="1" applyProtection="1">
      <alignment horizontal="left" vertical="center" wrapText="1"/>
      <protection locked="0"/>
    </xf>
    <xf numFmtId="0" fontId="41" fillId="41" borderId="45" xfId="9" applyFont="1" applyFill="1" applyBorder="1" applyAlignment="1" applyProtection="1">
      <alignment horizontal="center" vertical="center" wrapText="1"/>
      <protection locked="0"/>
    </xf>
    <xf numFmtId="0" fontId="41" fillId="41" borderId="10" xfId="9" applyFont="1" applyFill="1" applyBorder="1" applyAlignment="1" applyProtection="1">
      <alignment horizontal="center" vertical="center" wrapText="1"/>
      <protection locked="0"/>
    </xf>
    <xf numFmtId="0" fontId="2" fillId="8" borderId="0" xfId="10" applyFill="1">
      <alignment vertical="center"/>
    </xf>
    <xf numFmtId="180" fontId="2" fillId="8" borderId="0" xfId="10" applyNumberFormat="1" applyFill="1">
      <alignment vertical="center"/>
    </xf>
    <xf numFmtId="0" fontId="0" fillId="0" borderId="0" xfId="10" applyFont="1">
      <alignment vertical="center"/>
    </xf>
    <xf numFmtId="0" fontId="26" fillId="8" borderId="66" xfId="10" applyFont="1" applyFill="1" applyBorder="1">
      <alignment vertical="center"/>
    </xf>
    <xf numFmtId="0" fontId="2" fillId="8" borderId="66" xfId="10" applyFill="1" applyBorder="1">
      <alignment vertical="center"/>
    </xf>
    <xf numFmtId="0" fontId="32" fillId="8" borderId="66" xfId="10" applyFont="1" applyFill="1" applyBorder="1">
      <alignment vertical="center"/>
    </xf>
    <xf numFmtId="180" fontId="2" fillId="8" borderId="66" xfId="10" applyNumberFormat="1" applyFill="1" applyBorder="1">
      <alignment vertical="center"/>
    </xf>
    <xf numFmtId="180" fontId="2" fillId="8" borderId="66" xfId="10" applyNumberFormat="1" applyFill="1" applyBorder="1" applyAlignment="1">
      <alignment horizontal="right" vertical="center"/>
    </xf>
    <xf numFmtId="14" fontId="2" fillId="8" borderId="0" xfId="10" applyNumberFormat="1" applyFill="1">
      <alignment vertical="center"/>
    </xf>
    <xf numFmtId="0" fontId="14" fillId="8" borderId="66" xfId="10" applyFont="1" applyFill="1" applyBorder="1">
      <alignment vertical="center"/>
    </xf>
    <xf numFmtId="177" fontId="2" fillId="11" borderId="24" xfId="10" applyNumberFormat="1" applyFill="1" applyBorder="1">
      <alignment vertical="center"/>
    </xf>
    <xf numFmtId="0" fontId="2" fillId="7" borderId="66" xfId="10" applyFill="1" applyBorder="1">
      <alignment vertical="center"/>
    </xf>
    <xf numFmtId="0" fontId="2" fillId="12" borderId="66" xfId="10" applyFill="1" applyBorder="1">
      <alignment vertical="center"/>
    </xf>
    <xf numFmtId="0" fontId="2" fillId="11" borderId="24" xfId="10" applyFill="1" applyBorder="1" applyProtection="1">
      <alignment vertical="center"/>
      <protection locked="0"/>
    </xf>
    <xf numFmtId="0" fontId="0" fillId="8" borderId="66" xfId="10" applyFont="1" applyFill="1" applyBorder="1">
      <alignment vertical="center"/>
    </xf>
    <xf numFmtId="179" fontId="2" fillId="42" borderId="66" xfId="11" applyNumberFormat="1" applyFill="1" applyBorder="1">
      <alignment vertical="center"/>
    </xf>
    <xf numFmtId="0" fontId="2" fillId="42" borderId="66" xfId="10" applyFill="1" applyBorder="1">
      <alignment vertical="center"/>
    </xf>
    <xf numFmtId="177" fontId="2" fillId="11" borderId="24" xfId="10" applyNumberFormat="1" applyFill="1" applyBorder="1" applyProtection="1">
      <alignment vertical="center"/>
      <protection locked="0"/>
    </xf>
    <xf numFmtId="177" fontId="2" fillId="12" borderId="66" xfId="10" applyNumberFormat="1" applyFill="1" applyBorder="1" applyAlignment="1">
      <alignment vertical="center" shrinkToFit="1"/>
    </xf>
    <xf numFmtId="0" fontId="2" fillId="12" borderId="66" xfId="10" applyFill="1" applyBorder="1" applyAlignment="1">
      <alignment vertical="center" shrinkToFit="1"/>
    </xf>
    <xf numFmtId="0" fontId="2" fillId="8" borderId="67" xfId="10" applyFill="1" applyBorder="1">
      <alignment vertical="center"/>
    </xf>
    <xf numFmtId="0" fontId="22" fillId="8" borderId="66" xfId="10" applyFont="1" applyFill="1" applyBorder="1">
      <alignment vertical="center"/>
    </xf>
    <xf numFmtId="181" fontId="2" fillId="11" borderId="24" xfId="10" applyNumberFormat="1" applyFill="1" applyBorder="1" applyProtection="1">
      <alignment vertical="center"/>
      <protection locked="0"/>
    </xf>
    <xf numFmtId="0" fontId="2" fillId="8" borderId="68" xfId="10" applyFill="1" applyBorder="1">
      <alignment vertical="center"/>
    </xf>
    <xf numFmtId="0" fontId="2" fillId="11" borderId="42" xfId="10" applyFill="1" applyBorder="1" applyProtection="1">
      <alignment vertical="center"/>
      <protection locked="0"/>
    </xf>
    <xf numFmtId="0" fontId="2" fillId="8" borderId="69" xfId="10" applyFill="1" applyBorder="1">
      <alignment vertical="center"/>
    </xf>
    <xf numFmtId="178" fontId="2" fillId="12" borderId="66" xfId="10" applyNumberFormat="1" applyFill="1" applyBorder="1" applyAlignment="1">
      <alignment vertical="center" shrinkToFit="1"/>
    </xf>
    <xf numFmtId="2" fontId="2" fillId="8" borderId="66" xfId="10" applyNumberFormat="1" applyFill="1" applyBorder="1">
      <alignment vertical="center"/>
    </xf>
    <xf numFmtId="178" fontId="25" fillId="8" borderId="66" xfId="10" applyNumberFormat="1" applyFont="1" applyFill="1" applyBorder="1" applyAlignment="1">
      <alignment vertical="center" shrinkToFit="1"/>
    </xf>
    <xf numFmtId="0" fontId="24" fillId="8" borderId="66" xfId="10" applyFont="1" applyFill="1" applyBorder="1">
      <alignment vertical="center"/>
    </xf>
    <xf numFmtId="178" fontId="23" fillId="8" borderId="66" xfId="10" applyNumberFormat="1" applyFont="1" applyFill="1" applyBorder="1" applyAlignment="1">
      <alignment vertical="center" shrinkToFit="1"/>
    </xf>
    <xf numFmtId="0" fontId="2" fillId="8" borderId="70" xfId="10" applyFill="1" applyBorder="1">
      <alignment vertical="center"/>
    </xf>
    <xf numFmtId="0" fontId="2" fillId="8" borderId="66" xfId="10" applyFill="1" applyBorder="1" applyAlignment="1">
      <alignment horizontal="right" vertical="center"/>
    </xf>
    <xf numFmtId="178" fontId="31" fillId="12" borderId="66" xfId="10" applyNumberFormat="1" applyFont="1" applyFill="1" applyBorder="1" applyAlignment="1">
      <alignment vertical="center" shrinkToFit="1"/>
    </xf>
    <xf numFmtId="180" fontId="2" fillId="12" borderId="66" xfId="10" applyNumberFormat="1" applyFill="1" applyBorder="1" applyAlignment="1">
      <alignment vertical="center" shrinkToFit="1"/>
    </xf>
    <xf numFmtId="178" fontId="2" fillId="8" borderId="66" xfId="10" applyNumberFormat="1" applyFill="1" applyBorder="1" applyAlignment="1">
      <alignment vertical="center" shrinkToFit="1"/>
    </xf>
    <xf numFmtId="182" fontId="2" fillId="8" borderId="0" xfId="10" applyNumberFormat="1" applyFill="1" applyAlignment="1">
      <alignment vertical="center" shrinkToFit="1"/>
    </xf>
    <xf numFmtId="178" fontId="2" fillId="8" borderId="66" xfId="10" applyNumberFormat="1" applyFill="1" applyBorder="1">
      <alignment vertical="center"/>
    </xf>
    <xf numFmtId="178" fontId="32" fillId="42" borderId="66" xfId="10" applyNumberFormat="1" applyFont="1" applyFill="1" applyBorder="1" applyAlignment="1">
      <alignment vertical="center" shrinkToFit="1"/>
    </xf>
    <xf numFmtId="180" fontId="2" fillId="8" borderId="66" xfId="10" applyNumberFormat="1" applyFill="1" applyBorder="1" applyAlignment="1">
      <alignment vertical="center" shrinkToFit="1"/>
    </xf>
    <xf numFmtId="0" fontId="2" fillId="8" borderId="66" xfId="10" applyFill="1" applyBorder="1" applyAlignment="1">
      <alignment horizontal="left" vertical="center"/>
    </xf>
    <xf numFmtId="181" fontId="2" fillId="8" borderId="66" xfId="10" applyNumberFormat="1" applyFill="1" applyBorder="1">
      <alignment vertical="center"/>
    </xf>
    <xf numFmtId="0" fontId="2" fillId="8" borderId="41" xfId="10" applyFill="1" applyBorder="1">
      <alignment vertical="center"/>
    </xf>
    <xf numFmtId="0" fontId="22" fillId="8" borderId="69" xfId="10" applyFont="1" applyFill="1" applyBorder="1">
      <alignment vertical="center"/>
    </xf>
    <xf numFmtId="0" fontId="24" fillId="8" borderId="69" xfId="10" applyFont="1" applyFill="1" applyBorder="1">
      <alignment vertical="center"/>
    </xf>
    <xf numFmtId="178" fontId="2" fillId="0" borderId="66" xfId="10" applyNumberFormat="1" applyBorder="1" applyAlignment="1">
      <alignment vertical="center" shrinkToFit="1"/>
    </xf>
    <xf numFmtId="180" fontId="2" fillId="0" borderId="66" xfId="10" applyNumberFormat="1" applyBorder="1" applyAlignment="1">
      <alignment vertical="center" shrinkToFit="1"/>
    </xf>
    <xf numFmtId="0" fontId="31" fillId="8" borderId="66" xfId="10" applyFont="1" applyFill="1" applyBorder="1" applyAlignment="1">
      <alignment horizontal="right" vertical="center"/>
    </xf>
    <xf numFmtId="0" fontId="31" fillId="8" borderId="66" xfId="10" applyFont="1" applyFill="1" applyBorder="1">
      <alignment vertical="center"/>
    </xf>
    <xf numFmtId="0" fontId="31" fillId="42" borderId="66" xfId="10" applyFont="1" applyFill="1" applyBorder="1">
      <alignment vertical="center"/>
    </xf>
    <xf numFmtId="0" fontId="0" fillId="8" borderId="66" xfId="10" applyFont="1" applyFill="1" applyBorder="1" applyAlignment="1">
      <alignment horizontal="right" vertical="center"/>
    </xf>
    <xf numFmtId="178" fontId="31" fillId="0" borderId="66" xfId="10" applyNumberFormat="1" applyFont="1" applyBorder="1" applyAlignment="1">
      <alignment vertical="center" shrinkToFit="1"/>
    </xf>
    <xf numFmtId="38" fontId="23" fillId="8" borderId="66" xfId="12" applyFont="1" applyFill="1" applyBorder="1" applyAlignment="1">
      <alignment vertical="center" shrinkToFit="1"/>
    </xf>
    <xf numFmtId="0" fontId="0" fillId="8" borderId="67" xfId="10" applyFont="1" applyFill="1" applyBorder="1">
      <alignment vertical="center"/>
    </xf>
    <xf numFmtId="0" fontId="0" fillId="8" borderId="69" xfId="10" applyFont="1" applyFill="1" applyBorder="1">
      <alignment vertical="center"/>
    </xf>
    <xf numFmtId="0" fontId="2" fillId="8" borderId="68" xfId="10" applyFill="1" applyBorder="1" applyAlignment="1">
      <alignment horizontal="right" vertical="center"/>
    </xf>
    <xf numFmtId="177" fontId="2" fillId="8" borderId="41" xfId="10" applyNumberFormat="1" applyFill="1" applyBorder="1">
      <alignment vertical="center"/>
    </xf>
    <xf numFmtId="177" fontId="2" fillId="8" borderId="0" xfId="10" applyNumberFormat="1" applyFill="1">
      <alignment vertical="center"/>
    </xf>
    <xf numFmtId="178" fontId="2" fillId="8" borderId="0" xfId="10" applyNumberFormat="1" applyFill="1">
      <alignment vertical="center"/>
    </xf>
    <xf numFmtId="182" fontId="2" fillId="8" borderId="0" xfId="10" applyNumberFormat="1" applyFill="1">
      <alignment vertical="center"/>
    </xf>
    <xf numFmtId="178" fontId="23" fillId="8" borderId="66" xfId="10" applyNumberFormat="1" applyFont="1" applyFill="1" applyBorder="1">
      <alignment vertical="center"/>
    </xf>
    <xf numFmtId="180" fontId="23" fillId="8" borderId="66" xfId="10" applyNumberFormat="1" applyFont="1" applyFill="1" applyBorder="1" applyAlignment="1">
      <alignment vertical="center" shrinkToFit="1"/>
    </xf>
    <xf numFmtId="178" fontId="25" fillId="8" borderId="66" xfId="10" applyNumberFormat="1" applyFont="1" applyFill="1" applyBorder="1">
      <alignment vertical="center"/>
    </xf>
    <xf numFmtId="180" fontId="25" fillId="8" borderId="66" xfId="10" applyNumberFormat="1" applyFont="1" applyFill="1" applyBorder="1" applyAlignment="1">
      <alignment vertical="center" shrinkToFit="1"/>
    </xf>
    <xf numFmtId="0" fontId="35" fillId="42" borderId="66" xfId="10" applyFont="1" applyFill="1" applyBorder="1">
      <alignment vertical="center"/>
    </xf>
    <xf numFmtId="178" fontId="31" fillId="42" borderId="66" xfId="10" applyNumberFormat="1" applyFont="1" applyFill="1" applyBorder="1">
      <alignment vertical="center"/>
    </xf>
    <xf numFmtId="0" fontId="32" fillId="42" borderId="66" xfId="10" applyFont="1" applyFill="1" applyBorder="1">
      <alignment vertical="center"/>
    </xf>
    <xf numFmtId="0" fontId="2" fillId="8" borderId="28" xfId="10" applyFill="1" applyBorder="1">
      <alignment vertical="center"/>
    </xf>
    <xf numFmtId="0" fontId="2" fillId="8" borderId="32" xfId="10" applyFill="1" applyBorder="1">
      <alignment vertical="center"/>
    </xf>
    <xf numFmtId="180" fontId="2" fillId="12" borderId="31" xfId="10" applyNumberFormat="1" applyFill="1" applyBorder="1" applyAlignment="1">
      <alignment vertical="center" shrinkToFit="1"/>
    </xf>
    <xf numFmtId="0" fontId="2" fillId="8" borderId="30" xfId="10" applyFill="1" applyBorder="1">
      <alignment vertical="center"/>
    </xf>
    <xf numFmtId="0" fontId="2" fillId="8" borderId="40" xfId="10" applyFill="1" applyBorder="1">
      <alignment vertical="center"/>
    </xf>
    <xf numFmtId="178" fontId="2" fillId="8" borderId="0" xfId="10" applyNumberFormat="1" applyFill="1" applyAlignment="1">
      <alignment vertical="center" shrinkToFit="1"/>
    </xf>
    <xf numFmtId="0" fontId="2" fillId="8" borderId="28" xfId="10" applyFill="1" applyBorder="1" applyAlignment="1">
      <alignment horizontal="right" vertical="center"/>
    </xf>
    <xf numFmtId="0" fontId="2" fillId="8" borderId="27" xfId="10" applyFill="1" applyBorder="1" applyAlignment="1">
      <alignment horizontal="right" vertical="center"/>
    </xf>
    <xf numFmtId="180" fontId="2" fillId="12" borderId="26" xfId="10" applyNumberFormat="1" applyFill="1" applyBorder="1" applyAlignment="1">
      <alignment vertical="center" shrinkToFit="1"/>
    </xf>
    <xf numFmtId="0" fontId="2" fillId="8" borderId="25" xfId="10" applyFill="1" applyBorder="1">
      <alignment vertical="center"/>
    </xf>
    <xf numFmtId="0" fontId="2" fillId="8" borderId="39" xfId="10" applyFill="1" applyBorder="1">
      <alignment vertical="center"/>
    </xf>
    <xf numFmtId="185" fontId="31" fillId="42" borderId="66" xfId="10" applyNumberFormat="1" applyFont="1" applyFill="1" applyBorder="1">
      <alignment vertical="center"/>
    </xf>
    <xf numFmtId="0" fontId="35" fillId="42" borderId="66" xfId="10" applyFont="1" applyFill="1" applyBorder="1" applyAlignment="1">
      <alignment horizontal="right" vertical="center"/>
    </xf>
    <xf numFmtId="180" fontId="21" fillId="8" borderId="66" xfId="10" applyNumberFormat="1" applyFont="1" applyFill="1" applyBorder="1" applyAlignment="1">
      <alignment vertical="center" shrinkToFit="1"/>
    </xf>
    <xf numFmtId="0" fontId="2" fillId="8" borderId="21" xfId="10" applyFill="1" applyBorder="1">
      <alignment vertical="center"/>
    </xf>
    <xf numFmtId="180" fontId="2" fillId="12" borderId="20" xfId="10" applyNumberFormat="1" applyFill="1" applyBorder="1" applyAlignment="1">
      <alignment vertical="center" shrinkToFit="1"/>
    </xf>
    <xf numFmtId="0" fontId="2" fillId="8" borderId="19" xfId="10" applyFill="1" applyBorder="1">
      <alignment vertical="center"/>
    </xf>
    <xf numFmtId="0" fontId="2" fillId="8" borderId="38" xfId="10" applyFill="1" applyBorder="1">
      <alignment vertical="center"/>
    </xf>
    <xf numFmtId="0" fontId="2" fillId="8" borderId="18" xfId="10" applyFill="1" applyBorder="1" applyAlignment="1">
      <alignment horizontal="right" vertical="center"/>
    </xf>
    <xf numFmtId="180" fontId="20" fillId="12" borderId="17" xfId="10" applyNumberFormat="1" applyFont="1" applyFill="1" applyBorder="1" applyAlignment="1">
      <alignment vertical="center" shrinkToFit="1"/>
    </xf>
    <xf numFmtId="0" fontId="2" fillId="8" borderId="16" xfId="10" applyFill="1" applyBorder="1">
      <alignment vertical="center"/>
    </xf>
    <xf numFmtId="0" fontId="2" fillId="8" borderId="37" xfId="10" applyFill="1" applyBorder="1">
      <alignment vertical="center"/>
    </xf>
    <xf numFmtId="0" fontId="2" fillId="8" borderId="0" xfId="10" applyFill="1" applyAlignment="1">
      <alignment horizontal="right" vertical="center"/>
    </xf>
    <xf numFmtId="186" fontId="62" fillId="8" borderId="36" xfId="10" applyNumberFormat="1" applyFont="1" applyFill="1" applyBorder="1">
      <alignment vertical="center"/>
    </xf>
    <xf numFmtId="0" fontId="32" fillId="8" borderId="36" xfId="10" applyFont="1" applyFill="1" applyBorder="1">
      <alignment vertical="center"/>
    </xf>
    <xf numFmtId="0" fontId="32" fillId="8" borderId="0" xfId="10" applyFont="1" applyFill="1">
      <alignment vertical="center"/>
    </xf>
    <xf numFmtId="180" fontId="31" fillId="8" borderId="66" xfId="10" applyNumberFormat="1" applyFont="1" applyFill="1" applyBorder="1">
      <alignment vertical="center"/>
    </xf>
    <xf numFmtId="0" fontId="2" fillId="8" borderId="66" xfId="10" applyFill="1" applyBorder="1" applyAlignment="1">
      <alignment vertical="top"/>
    </xf>
    <xf numFmtId="0" fontId="0" fillId="8" borderId="66" xfId="10" applyFont="1" applyFill="1" applyBorder="1" applyAlignment="1">
      <alignment vertical="top"/>
    </xf>
    <xf numFmtId="180" fontId="0" fillId="0" borderId="0" xfId="10" applyNumberFormat="1" applyFont="1">
      <alignment vertical="center"/>
    </xf>
    <xf numFmtId="0" fontId="31" fillId="0" borderId="0" xfId="10" applyFont="1">
      <alignment vertical="center"/>
    </xf>
    <xf numFmtId="0" fontId="2" fillId="0" borderId="0" xfId="10">
      <alignment vertical="center"/>
    </xf>
    <xf numFmtId="0" fontId="6" fillId="0" borderId="5" xfId="0" applyFont="1" applyBorder="1"/>
    <xf numFmtId="0" fontId="9" fillId="2" borderId="59" xfId="0" applyFont="1" applyFill="1" applyBorder="1" applyAlignment="1">
      <alignment vertical="center"/>
    </xf>
    <xf numFmtId="0" fontId="7" fillId="2" borderId="64" xfId="0" applyFont="1" applyFill="1" applyBorder="1" applyAlignment="1">
      <alignment vertical="center"/>
    </xf>
    <xf numFmtId="0" fontId="9" fillId="2" borderId="64" xfId="0" applyFont="1" applyFill="1" applyBorder="1" applyAlignment="1">
      <alignment vertical="center"/>
    </xf>
    <xf numFmtId="0" fontId="9" fillId="2" borderId="64" xfId="0" applyFont="1" applyFill="1" applyBorder="1" applyAlignment="1">
      <alignment horizontal="right" vertical="center"/>
    </xf>
    <xf numFmtId="0" fontId="9" fillId="2" borderId="60" xfId="0" applyFont="1" applyFill="1" applyBorder="1" applyAlignment="1">
      <alignment vertical="center"/>
    </xf>
    <xf numFmtId="0" fontId="63" fillId="0" borderId="0" xfId="0" applyFont="1" applyAlignment="1">
      <alignment vertical="center"/>
    </xf>
    <xf numFmtId="0" fontId="0" fillId="0" borderId="61" xfId="0" applyBorder="1"/>
    <xf numFmtId="0" fontId="0" fillId="0" borderId="65" xfId="0" applyBorder="1"/>
    <xf numFmtId="0" fontId="0" fillId="0" borderId="65" xfId="0" applyBorder="1" applyAlignment="1">
      <alignment horizontal="left"/>
    </xf>
    <xf numFmtId="0" fontId="0" fillId="0" borderId="62" xfId="0" applyBorder="1"/>
    <xf numFmtId="181" fontId="0" fillId="0" borderId="9" xfId="0" applyNumberFormat="1" applyBorder="1"/>
    <xf numFmtId="38" fontId="8" fillId="0" borderId="9" xfId="0" applyNumberFormat="1" applyFont="1" applyBorder="1" applyAlignment="1">
      <alignment horizontal="center" vertical="center"/>
    </xf>
    <xf numFmtId="0" fontId="9" fillId="2" borderId="64" xfId="0" applyFont="1" applyFill="1" applyBorder="1" applyAlignment="1">
      <alignment horizontal="center" vertical="center"/>
    </xf>
    <xf numFmtId="0" fontId="10" fillId="0" borderId="0" xfId="0" applyFont="1" applyAlignment="1">
      <alignment horizontal="right"/>
    </xf>
    <xf numFmtId="0" fontId="64" fillId="0" borderId="5" xfId="0" applyFont="1" applyBorder="1"/>
    <xf numFmtId="0" fontId="6" fillId="0" borderId="0" xfId="0" applyFont="1" applyAlignment="1">
      <alignment horizontal="center"/>
    </xf>
    <xf numFmtId="0" fontId="4" fillId="0" borderId="0" xfId="0" quotePrefix="1" applyFont="1"/>
    <xf numFmtId="0" fontId="4" fillId="0" borderId="0" xfId="0" applyFont="1" applyAlignment="1">
      <alignment horizontal="left" vertical="center"/>
    </xf>
    <xf numFmtId="0" fontId="4" fillId="0" borderId="65" xfId="0" applyFont="1" applyBorder="1"/>
    <xf numFmtId="0" fontId="14" fillId="0" borderId="65" xfId="0" applyFont="1" applyBorder="1" applyAlignment="1">
      <alignment vertical="center"/>
    </xf>
    <xf numFmtId="177" fontId="4" fillId="0" borderId="65" xfId="0" applyNumberFormat="1" applyFont="1" applyBorder="1" applyAlignment="1">
      <alignment horizontal="center"/>
    </xf>
    <xf numFmtId="0" fontId="6" fillId="0" borderId="65" xfId="0" applyFont="1" applyBorder="1"/>
    <xf numFmtId="0" fontId="6" fillId="0" borderId="65" xfId="0" applyFont="1" applyBorder="1" applyAlignment="1">
      <alignment horizontal="right"/>
    </xf>
    <xf numFmtId="0" fontId="6" fillId="0" borderId="62" xfId="0" applyFont="1" applyBorder="1"/>
    <xf numFmtId="0" fontId="0" fillId="0" borderId="59" xfId="0" applyBorder="1" applyProtection="1">
      <protection locked="0"/>
    </xf>
    <xf numFmtId="0" fontId="0" fillId="0" borderId="60" xfId="0" applyBorder="1" applyProtection="1">
      <protection locked="0"/>
    </xf>
    <xf numFmtId="0" fontId="65" fillId="0" borderId="59" xfId="0" applyFont="1" applyBorder="1"/>
    <xf numFmtId="0" fontId="6" fillId="3" borderId="13" xfId="0" applyFont="1" applyFill="1" applyBorder="1" applyAlignment="1" applyProtection="1">
      <alignment horizontal="left" vertical="center" wrapText="1"/>
      <protection locked="0"/>
    </xf>
    <xf numFmtId="0" fontId="6" fillId="3" borderId="12" xfId="0" applyFont="1" applyFill="1" applyBorder="1" applyAlignment="1" applyProtection="1">
      <alignment horizontal="left" vertical="center" wrapText="1"/>
      <protection locked="0"/>
    </xf>
    <xf numFmtId="0" fontId="6" fillId="0" borderId="7" xfId="0" applyFont="1" applyBorder="1"/>
    <xf numFmtId="0" fontId="58" fillId="3" borderId="13" xfId="0" applyFont="1" applyFill="1" applyBorder="1" applyAlignment="1" applyProtection="1">
      <alignment horizontal="left" vertical="center" wrapText="1"/>
      <protection locked="0"/>
    </xf>
    <xf numFmtId="0" fontId="58" fillId="3" borderId="12" xfId="0" applyFont="1" applyFill="1" applyBorder="1" applyAlignment="1" applyProtection="1">
      <alignment horizontal="left" vertical="center" wrapText="1"/>
      <protection locked="0"/>
    </xf>
    <xf numFmtId="0" fontId="58" fillId="0" borderId="0" xfId="0" applyFont="1" applyAlignment="1">
      <alignment vertical="center"/>
    </xf>
    <xf numFmtId="0" fontId="68" fillId="0" borderId="0" xfId="0" applyFont="1"/>
    <xf numFmtId="0" fontId="59" fillId="0" borderId="0" xfId="0" applyFont="1" applyAlignment="1">
      <alignment horizontal="right" vertical="center"/>
    </xf>
    <xf numFmtId="0" fontId="59" fillId="3" borderId="11" xfId="0" applyFont="1" applyFill="1" applyBorder="1" applyAlignment="1" applyProtection="1">
      <alignment horizontal="left" vertical="center"/>
      <protection locked="0"/>
    </xf>
    <xf numFmtId="0" fontId="8" fillId="0" borderId="65" xfId="0" applyFont="1" applyBorder="1"/>
    <xf numFmtId="0" fontId="4" fillId="3" borderId="11" xfId="0" applyFont="1" applyFill="1" applyBorder="1" applyAlignment="1" applyProtection="1">
      <alignment horizontal="left" vertical="center"/>
      <protection locked="0"/>
    </xf>
    <xf numFmtId="0" fontId="69" fillId="0" borderId="0" xfId="0" applyFont="1" applyAlignment="1">
      <alignment horizontal="right" vertical="center"/>
    </xf>
    <xf numFmtId="0" fontId="71" fillId="2" borderId="0" xfId="0" applyFont="1" applyFill="1" applyAlignment="1">
      <alignment vertical="center"/>
    </xf>
    <xf numFmtId="0" fontId="58" fillId="0" borderId="0" xfId="0" applyFont="1"/>
    <xf numFmtId="0" fontId="71" fillId="2" borderId="2" xfId="0" applyFont="1" applyFill="1" applyBorder="1" applyAlignment="1">
      <alignment vertical="center"/>
    </xf>
    <xf numFmtId="0" fontId="71" fillId="2" borderId="64" xfId="0" applyFont="1" applyFill="1" applyBorder="1" applyAlignment="1">
      <alignment vertical="center"/>
    </xf>
    <xf numFmtId="0" fontId="4" fillId="3" borderId="9" xfId="3" applyNumberFormat="1" applyFont="1" applyFill="1" applyBorder="1" applyAlignment="1" applyProtection="1">
      <alignment horizontal="center" vertical="top"/>
      <protection locked="0"/>
    </xf>
    <xf numFmtId="0" fontId="0" fillId="0" borderId="71" xfId="0" applyBorder="1" applyAlignment="1">
      <alignment horizontal="right"/>
    </xf>
    <xf numFmtId="56" fontId="4" fillId="0" borderId="9" xfId="0" quotePrefix="1" applyNumberFormat="1" applyFont="1" applyBorder="1" applyAlignment="1">
      <alignment horizontal="center"/>
    </xf>
    <xf numFmtId="177" fontId="4" fillId="0" borderId="9" xfId="0" quotePrefix="1" applyNumberFormat="1" applyFont="1" applyBorder="1" applyAlignment="1">
      <alignment horizontal="center"/>
    </xf>
    <xf numFmtId="0" fontId="0" fillId="0" borderId="0" xfId="0" quotePrefix="1"/>
    <xf numFmtId="40" fontId="4" fillId="3" borderId="9" xfId="3" applyNumberFormat="1" applyFont="1" applyFill="1" applyBorder="1" applyAlignment="1" applyProtection="1">
      <alignment horizontal="center" vertical="top"/>
      <protection locked="0"/>
    </xf>
    <xf numFmtId="183" fontId="5" fillId="0" borderId="0" xfId="0" applyNumberFormat="1" applyFont="1"/>
    <xf numFmtId="180" fontId="0" fillId="8" borderId="66" xfId="10" applyNumberFormat="1" applyFont="1" applyFill="1" applyBorder="1">
      <alignment vertical="center"/>
    </xf>
    <xf numFmtId="38" fontId="28" fillId="8" borderId="0" xfId="4" applyFont="1" applyFill="1" applyBorder="1">
      <alignment vertical="center"/>
    </xf>
    <xf numFmtId="181" fontId="63" fillId="7" borderId="9" xfId="0" applyNumberFormat="1" applyFont="1" applyFill="1" applyBorder="1" applyAlignment="1" applyProtection="1">
      <alignment horizontal="center"/>
      <protection locked="0"/>
    </xf>
    <xf numFmtId="187" fontId="4" fillId="0" borderId="9" xfId="0" applyNumberFormat="1" applyFont="1" applyBorder="1" applyAlignment="1">
      <alignment horizontal="center" vertical="top" wrapText="1"/>
    </xf>
    <xf numFmtId="187" fontId="4" fillId="3" borderId="11" xfId="0" applyNumberFormat="1" applyFont="1" applyFill="1" applyBorder="1" applyAlignment="1" applyProtection="1">
      <alignment horizontal="center" vertical="top" wrapText="1"/>
      <protection locked="0"/>
    </xf>
    <xf numFmtId="0" fontId="73" fillId="8" borderId="9" xfId="6" applyFont="1" applyFill="1" applyBorder="1" applyAlignment="1">
      <alignment vertical="center" wrapText="1"/>
    </xf>
    <xf numFmtId="0" fontId="74" fillId="0" borderId="0" xfId="0" quotePrefix="1" applyFont="1"/>
    <xf numFmtId="0" fontId="74" fillId="0" borderId="0" xfId="0" applyFont="1" applyAlignment="1">
      <alignment horizontal="right"/>
    </xf>
    <xf numFmtId="0" fontId="32" fillId="0" borderId="9" xfId="0" applyFont="1" applyBorder="1" applyAlignment="1">
      <alignment vertical="center"/>
    </xf>
    <xf numFmtId="0" fontId="32" fillId="0" borderId="0" xfId="0" applyFont="1" applyAlignment="1">
      <alignment vertical="center"/>
    </xf>
    <xf numFmtId="0" fontId="38" fillId="43" borderId="9" xfId="9" applyFont="1" applyFill="1" applyBorder="1" applyAlignment="1" applyProtection="1">
      <alignment horizontal="center" vertical="center" wrapText="1"/>
      <protection locked="0"/>
    </xf>
    <xf numFmtId="0" fontId="43" fillId="43" borderId="9" xfId="9" applyFont="1" applyFill="1" applyBorder="1" applyAlignment="1" applyProtection="1">
      <alignment vertical="center" wrapText="1"/>
      <protection locked="0"/>
    </xf>
    <xf numFmtId="0" fontId="38" fillId="43" borderId="9" xfId="9" applyFont="1" applyFill="1" applyBorder="1" applyAlignment="1" applyProtection="1">
      <alignment vertical="center" wrapText="1"/>
      <protection locked="0"/>
    </xf>
    <xf numFmtId="179" fontId="38" fillId="43" borderId="9" xfId="2" applyNumberFormat="1" applyFont="1" applyFill="1" applyBorder="1" applyAlignment="1" applyProtection="1">
      <alignment horizontal="center" vertical="center" wrapText="1"/>
      <protection locked="0"/>
    </xf>
    <xf numFmtId="0" fontId="45" fillId="8" borderId="0" xfId="9" applyFont="1" applyFill="1" applyAlignment="1" applyProtection="1">
      <alignment vertical="center" wrapText="1"/>
      <protection locked="0"/>
    </xf>
    <xf numFmtId="0" fontId="76" fillId="0" borderId="0" xfId="0" applyFont="1" applyAlignment="1">
      <alignment vertical="center"/>
    </xf>
    <xf numFmtId="0" fontId="63" fillId="0" borderId="7" xfId="0" applyFont="1" applyBorder="1" applyAlignment="1">
      <alignment vertical="center"/>
    </xf>
    <xf numFmtId="0" fontId="6" fillId="0" borderId="7" xfId="0" applyFont="1" applyBorder="1" applyAlignment="1">
      <alignment vertical="center"/>
    </xf>
    <xf numFmtId="0" fontId="9" fillId="2" borderId="11" xfId="0" applyFont="1" applyFill="1" applyBorder="1" applyAlignment="1">
      <alignment vertical="center"/>
    </xf>
    <xf numFmtId="0" fontId="7" fillId="2" borderId="13" xfId="0" applyFont="1" applyFill="1" applyBorder="1" applyAlignment="1">
      <alignment vertical="center"/>
    </xf>
    <xf numFmtId="0" fontId="9" fillId="2" borderId="13" xfId="0" applyFont="1" applyFill="1" applyBorder="1" applyAlignment="1">
      <alignment vertical="center"/>
    </xf>
    <xf numFmtId="0" fontId="9" fillId="2" borderId="13" xfId="0" applyFont="1" applyFill="1" applyBorder="1" applyAlignment="1">
      <alignment horizontal="left" vertical="center"/>
    </xf>
    <xf numFmtId="0" fontId="9" fillId="2" borderId="12" xfId="0" applyFont="1" applyFill="1" applyBorder="1" applyAlignment="1">
      <alignment vertical="center"/>
    </xf>
    <xf numFmtId="180" fontId="6" fillId="3" borderId="0" xfId="0" applyNumberFormat="1" applyFont="1" applyFill="1" applyAlignment="1" applyProtection="1">
      <alignment vertical="center"/>
      <protection locked="0"/>
    </xf>
    <xf numFmtId="0" fontId="28" fillId="8" borderId="0" xfId="6" applyFont="1" applyFill="1" applyAlignment="1">
      <alignment vertical="center" wrapText="1"/>
    </xf>
    <xf numFmtId="0" fontId="0" fillId="0" borderId="9" xfId="0" applyBorder="1" applyAlignment="1">
      <alignment horizontal="center"/>
    </xf>
    <xf numFmtId="0" fontId="32" fillId="0" borderId="9" xfId="0" applyFont="1" applyBorder="1" applyAlignment="1">
      <alignment horizontal="center" shrinkToFit="1"/>
    </xf>
    <xf numFmtId="188" fontId="17" fillId="31" borderId="9" xfId="2" applyNumberFormat="1" applyFont="1" applyFill="1" applyBorder="1" applyProtection="1"/>
    <xf numFmtId="0" fontId="0" fillId="31" borderId="9" xfId="0" applyFill="1" applyBorder="1"/>
    <xf numFmtId="38" fontId="0" fillId="31" borderId="9" xfId="2" applyFont="1" applyFill="1" applyBorder="1" applyProtection="1"/>
    <xf numFmtId="0" fontId="0" fillId="0" borderId="0" xfId="0" applyAlignment="1">
      <alignment horizontal="center" vertical="center"/>
    </xf>
    <xf numFmtId="0" fontId="0" fillId="7" borderId="7" xfId="0" applyFill="1" applyBorder="1" applyAlignment="1" applyProtection="1">
      <alignment vertical="center"/>
      <protection locked="0"/>
    </xf>
    <xf numFmtId="0" fontId="14" fillId="0" borderId="0" xfId="0" applyFont="1" applyProtection="1">
      <protection locked="0"/>
    </xf>
    <xf numFmtId="0" fontId="70" fillId="0" borderId="0" xfId="0" applyFont="1" applyAlignment="1" applyProtection="1">
      <alignment vertical="center"/>
      <protection locked="0"/>
    </xf>
    <xf numFmtId="0" fontId="6" fillId="0" borderId="0" xfId="0" applyFont="1" applyAlignment="1" applyProtection="1">
      <alignment vertical="center"/>
      <protection locked="0"/>
    </xf>
    <xf numFmtId="0" fontId="14" fillId="0" borderId="0" xfId="0" applyFont="1" applyAlignment="1">
      <alignment horizontal="right"/>
    </xf>
    <xf numFmtId="0" fontId="6" fillId="3" borderId="0" xfId="0" applyFont="1" applyFill="1" applyAlignment="1" applyProtection="1">
      <alignment horizontal="left" vertical="center"/>
      <protection locked="0"/>
    </xf>
    <xf numFmtId="0" fontId="0" fillId="3" borderId="0" xfId="0" applyFill="1" applyAlignment="1" applyProtection="1">
      <alignment horizontal="left" vertical="center"/>
      <protection locked="0"/>
    </xf>
    <xf numFmtId="0" fontId="4" fillId="3" borderId="11" xfId="0" applyFont="1" applyFill="1" applyBorder="1" applyAlignment="1" applyProtection="1">
      <alignment horizontal="left" vertical="center" wrapText="1"/>
      <protection locked="0"/>
    </xf>
    <xf numFmtId="0" fontId="4" fillId="3" borderId="13" xfId="0" applyFont="1" applyFill="1" applyBorder="1" applyAlignment="1" applyProtection="1">
      <alignment horizontal="left" vertical="center" wrapText="1"/>
      <protection locked="0"/>
    </xf>
    <xf numFmtId="0" fontId="4" fillId="3" borderId="12" xfId="0" applyFont="1" applyFill="1" applyBorder="1" applyAlignment="1" applyProtection="1">
      <alignment horizontal="left" vertical="center" wrapText="1"/>
      <protection locked="0"/>
    </xf>
    <xf numFmtId="0" fontId="4" fillId="3" borderId="1" xfId="0" applyFont="1" applyFill="1" applyBorder="1" applyAlignment="1" applyProtection="1">
      <alignment horizontal="left" vertical="center" wrapText="1"/>
      <protection locked="0"/>
    </xf>
    <xf numFmtId="0" fontId="4" fillId="3" borderId="2" xfId="0" applyFont="1" applyFill="1" applyBorder="1" applyAlignment="1" applyProtection="1">
      <alignment horizontal="left" vertical="center" wrapText="1"/>
      <protection locked="0"/>
    </xf>
    <xf numFmtId="0" fontId="4" fillId="3" borderId="3" xfId="0" applyFont="1" applyFill="1" applyBorder="1" applyAlignment="1" applyProtection="1">
      <alignment horizontal="left" vertical="center" wrapText="1"/>
      <protection locked="0"/>
    </xf>
    <xf numFmtId="0" fontId="8" fillId="0" borderId="6" xfId="0" applyFont="1" applyBorder="1" applyAlignment="1" applyProtection="1">
      <alignment horizontal="left" vertical="center" wrapText="1"/>
      <protection locked="0"/>
    </xf>
    <xf numFmtId="0" fontId="8" fillId="0" borderId="7" xfId="0" applyFont="1" applyBorder="1" applyAlignment="1" applyProtection="1">
      <alignment horizontal="left" vertical="center" wrapText="1"/>
      <protection locked="0"/>
    </xf>
    <xf numFmtId="0" fontId="8" fillId="0" borderId="8" xfId="0" applyFont="1" applyBorder="1" applyAlignment="1" applyProtection="1">
      <alignment horizontal="left" vertical="center" wrapText="1"/>
      <protection locked="0"/>
    </xf>
    <xf numFmtId="0" fontId="59" fillId="3" borderId="11" xfId="0" applyFont="1" applyFill="1" applyBorder="1" applyAlignment="1" applyProtection="1">
      <alignment horizontal="left" vertical="center" wrapText="1"/>
      <protection locked="0"/>
    </xf>
    <xf numFmtId="0" fontId="59" fillId="3" borderId="13" xfId="0" applyFont="1" applyFill="1" applyBorder="1" applyAlignment="1" applyProtection="1">
      <alignment horizontal="left" vertical="center" wrapText="1"/>
      <protection locked="0"/>
    </xf>
    <xf numFmtId="0" fontId="59" fillId="3" borderId="12" xfId="0" applyFont="1" applyFill="1" applyBorder="1" applyAlignment="1" applyProtection="1">
      <alignment horizontal="left" vertical="center" wrapText="1"/>
      <protection locked="0"/>
    </xf>
    <xf numFmtId="0" fontId="34" fillId="0" borderId="0" xfId="0" applyFont="1" applyAlignment="1">
      <alignment horizontal="left"/>
    </xf>
    <xf numFmtId="0" fontId="67" fillId="3" borderId="11" xfId="0" applyFont="1" applyFill="1" applyBorder="1" applyAlignment="1" applyProtection="1">
      <alignment horizontal="left" vertical="center" wrapText="1"/>
      <protection locked="0"/>
    </xf>
    <xf numFmtId="0" fontId="4" fillId="3" borderId="59" xfId="0" applyFont="1" applyFill="1" applyBorder="1" applyAlignment="1" applyProtection="1">
      <alignment horizontal="left" vertical="center" wrapText="1"/>
      <protection locked="0"/>
    </xf>
    <xf numFmtId="0" fontId="4" fillId="3" borderId="64" xfId="0" applyFont="1" applyFill="1" applyBorder="1" applyAlignment="1" applyProtection="1">
      <alignment horizontal="left" vertical="center" wrapText="1"/>
      <protection locked="0"/>
    </xf>
    <xf numFmtId="0" fontId="4" fillId="3" borderId="60" xfId="0" applyFont="1" applyFill="1" applyBorder="1" applyAlignment="1" applyProtection="1">
      <alignment horizontal="left" vertical="center" wrapText="1"/>
      <protection locked="0"/>
    </xf>
    <xf numFmtId="0" fontId="8" fillId="0" borderId="61" xfId="0" applyFont="1" applyBorder="1" applyAlignment="1" applyProtection="1">
      <alignment horizontal="left" vertical="center" wrapText="1"/>
      <protection locked="0"/>
    </xf>
    <xf numFmtId="0" fontId="8" fillId="0" borderId="65" xfId="0" applyFont="1" applyBorder="1" applyAlignment="1" applyProtection="1">
      <alignment horizontal="left" vertical="center" wrapText="1"/>
      <protection locked="0"/>
    </xf>
    <xf numFmtId="0" fontId="8" fillId="0" borderId="62" xfId="0" applyFont="1" applyBorder="1" applyAlignment="1" applyProtection="1">
      <alignment horizontal="left" vertical="center" wrapText="1"/>
      <protection locked="0"/>
    </xf>
    <xf numFmtId="0" fontId="4" fillId="7" borderId="0" xfId="0" applyFont="1" applyFill="1" applyAlignment="1" applyProtection="1">
      <alignment horizontal="left"/>
      <protection locked="0"/>
    </xf>
    <xf numFmtId="0" fontId="4" fillId="7" borderId="5" xfId="0" applyFont="1" applyFill="1" applyBorder="1" applyAlignment="1" applyProtection="1">
      <alignment horizontal="left"/>
      <protection locked="0"/>
    </xf>
    <xf numFmtId="0" fontId="6" fillId="6" borderId="4" xfId="0" applyFont="1" applyFill="1" applyBorder="1" applyAlignment="1" applyProtection="1">
      <alignment horizontal="left" vertical="top" wrapText="1"/>
      <protection locked="0"/>
    </xf>
    <xf numFmtId="0" fontId="6" fillId="6" borderId="5" xfId="0" applyFont="1" applyFill="1" applyBorder="1" applyAlignment="1" applyProtection="1">
      <alignment horizontal="left" vertical="top" wrapText="1"/>
      <protection locked="0"/>
    </xf>
    <xf numFmtId="0" fontId="6" fillId="6" borderId="61" xfId="0" applyFont="1" applyFill="1" applyBorder="1" applyAlignment="1" applyProtection="1">
      <alignment horizontal="left" vertical="top" wrapText="1"/>
      <protection locked="0"/>
    </xf>
    <xf numFmtId="0" fontId="6" fillId="6" borderId="62" xfId="0" applyFont="1" applyFill="1" applyBorder="1" applyAlignment="1" applyProtection="1">
      <alignment horizontal="left" vertical="top" wrapText="1"/>
      <protection locked="0"/>
    </xf>
    <xf numFmtId="0" fontId="14" fillId="0" borderId="61" xfId="0" applyFont="1" applyBorder="1" applyAlignment="1" applyProtection="1">
      <alignment horizontal="left" vertical="top"/>
      <protection locked="0"/>
    </xf>
    <xf numFmtId="0" fontId="14" fillId="0" borderId="62" xfId="0" applyFont="1" applyBorder="1" applyAlignment="1" applyProtection="1">
      <alignment horizontal="left" vertical="top"/>
      <protection locked="0"/>
    </xf>
    <xf numFmtId="0" fontId="14" fillId="0" borderId="4" xfId="0" applyFont="1" applyBorder="1" applyAlignment="1" applyProtection="1">
      <alignment horizontal="left" vertical="top"/>
      <protection locked="0"/>
    </xf>
    <xf numFmtId="0" fontId="14" fillId="0" borderId="5" xfId="0" applyFont="1" applyBorder="1" applyAlignment="1" applyProtection="1">
      <alignment horizontal="left" vertical="top"/>
      <protection locked="0"/>
    </xf>
    <xf numFmtId="176" fontId="4" fillId="3" borderId="0" xfId="0" applyNumberFormat="1" applyFont="1" applyFill="1" applyAlignment="1" applyProtection="1">
      <alignment horizontal="left" vertical="center"/>
      <protection locked="0"/>
    </xf>
    <xf numFmtId="176" fontId="4" fillId="3" borderId="5" xfId="0" applyNumberFormat="1" applyFont="1" applyFill="1" applyBorder="1" applyAlignment="1" applyProtection="1">
      <alignment horizontal="left" vertical="center"/>
      <protection locked="0"/>
    </xf>
    <xf numFmtId="0" fontId="6" fillId="3" borderId="5" xfId="0" applyFont="1" applyFill="1" applyBorder="1" applyAlignment="1" applyProtection="1">
      <alignment horizontal="left" vertical="center"/>
      <protection locked="0"/>
    </xf>
    <xf numFmtId="176" fontId="4" fillId="7" borderId="0" xfId="0" applyNumberFormat="1" applyFont="1" applyFill="1" applyAlignment="1" applyProtection="1">
      <alignment horizontal="left" vertical="center"/>
      <protection locked="0"/>
    </xf>
    <xf numFmtId="176" fontId="4" fillId="7" borderId="5" xfId="0" applyNumberFormat="1" applyFont="1" applyFill="1" applyBorder="1" applyAlignment="1" applyProtection="1">
      <alignment horizontal="left" vertical="center"/>
      <protection locked="0"/>
    </xf>
    <xf numFmtId="0" fontId="8" fillId="0" borderId="4" xfId="0" applyFont="1" applyBorder="1" applyAlignment="1" applyProtection="1">
      <alignment horizontal="left" vertical="center" wrapText="1"/>
      <protection locked="0"/>
    </xf>
    <xf numFmtId="0" fontId="8" fillId="0" borderId="0" xfId="0" applyFont="1" applyAlignment="1" applyProtection="1">
      <alignment horizontal="left" vertical="center" wrapText="1"/>
      <protection locked="0"/>
    </xf>
    <xf numFmtId="0" fontId="8" fillId="0" borderId="5" xfId="0" applyFont="1" applyBorder="1" applyAlignment="1" applyProtection="1">
      <alignment horizontal="left" vertical="center" wrapText="1"/>
      <protection locked="0"/>
    </xf>
    <xf numFmtId="0" fontId="6" fillId="7" borderId="65" xfId="0" applyFont="1" applyFill="1" applyBorder="1" applyAlignment="1" applyProtection="1">
      <alignment horizontal="left" vertical="center"/>
      <protection locked="0"/>
    </xf>
    <xf numFmtId="0" fontId="6" fillId="7" borderId="62" xfId="0" applyFont="1" applyFill="1" applyBorder="1" applyAlignment="1" applyProtection="1">
      <alignment horizontal="left" vertical="center"/>
      <protection locked="0"/>
    </xf>
    <xf numFmtId="0" fontId="6" fillId="3" borderId="11" xfId="0" applyFont="1" applyFill="1" applyBorder="1" applyAlignment="1" applyProtection="1">
      <alignment horizontal="left" vertical="center" wrapText="1"/>
      <protection locked="0"/>
    </xf>
    <xf numFmtId="0" fontId="70" fillId="3" borderId="11" xfId="0" applyFont="1" applyFill="1" applyBorder="1" applyAlignment="1" applyProtection="1">
      <alignment horizontal="left" vertical="center" wrapText="1"/>
      <protection locked="0"/>
    </xf>
    <xf numFmtId="0" fontId="6" fillId="7" borderId="0" xfId="0" applyFont="1" applyFill="1" applyAlignment="1" applyProtection="1">
      <alignment horizontal="left"/>
      <protection locked="0"/>
    </xf>
    <xf numFmtId="0" fontId="6" fillId="3" borderId="1" xfId="0" applyFont="1" applyFill="1" applyBorder="1" applyAlignment="1" applyProtection="1">
      <alignment horizontal="left" vertical="center" wrapText="1"/>
      <protection locked="0"/>
    </xf>
    <xf numFmtId="0" fontId="63" fillId="3" borderId="11" xfId="0" applyFont="1" applyFill="1" applyBorder="1" applyAlignment="1" applyProtection="1">
      <alignment horizontal="left" vertical="center" wrapText="1"/>
      <protection locked="0"/>
    </xf>
    <xf numFmtId="0" fontId="6" fillId="3" borderId="13" xfId="0" applyFont="1" applyFill="1" applyBorder="1" applyAlignment="1" applyProtection="1">
      <alignment horizontal="left" vertical="center" wrapText="1"/>
      <protection locked="0"/>
    </xf>
    <xf numFmtId="0" fontId="6" fillId="3" borderId="12" xfId="0" applyFont="1" applyFill="1" applyBorder="1" applyAlignment="1" applyProtection="1">
      <alignment horizontal="left" vertical="center" wrapText="1"/>
      <protection locked="0"/>
    </xf>
    <xf numFmtId="0" fontId="6" fillId="3" borderId="59" xfId="0" applyFont="1" applyFill="1" applyBorder="1" applyAlignment="1" applyProtection="1">
      <alignment horizontal="left" vertical="center" wrapText="1"/>
      <protection locked="0"/>
    </xf>
    <xf numFmtId="0" fontId="6" fillId="3" borderId="64" xfId="0" applyFont="1" applyFill="1" applyBorder="1" applyAlignment="1" applyProtection="1">
      <alignment horizontal="left" vertical="center" wrapText="1"/>
      <protection locked="0"/>
    </xf>
    <xf numFmtId="0" fontId="6" fillId="3" borderId="60" xfId="0" applyFont="1" applyFill="1"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6" fillId="3" borderId="2" xfId="0" applyFont="1" applyFill="1" applyBorder="1" applyAlignment="1" applyProtection="1">
      <alignment horizontal="left" vertical="center" wrapText="1"/>
      <protection locked="0"/>
    </xf>
    <xf numFmtId="0" fontId="6" fillId="3" borderId="3" xfId="0"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0" fillId="0" borderId="4"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58" fillId="3" borderId="11" xfId="0" applyFont="1" applyFill="1" applyBorder="1" applyAlignment="1" applyProtection="1">
      <alignment horizontal="left" vertical="center" wrapText="1"/>
      <protection locked="0"/>
    </xf>
    <xf numFmtId="0" fontId="58" fillId="3" borderId="13" xfId="0" applyFont="1" applyFill="1" applyBorder="1" applyAlignment="1" applyProtection="1">
      <alignment horizontal="left" vertical="center" wrapText="1"/>
      <protection locked="0"/>
    </xf>
    <xf numFmtId="0" fontId="58" fillId="3" borderId="12" xfId="0" applyFont="1" applyFill="1" applyBorder="1" applyAlignment="1" applyProtection="1">
      <alignment horizontal="left" vertical="center" wrapText="1"/>
      <protection locked="0"/>
    </xf>
    <xf numFmtId="0" fontId="66" fillId="3" borderId="11" xfId="0" applyFont="1" applyFill="1" applyBorder="1" applyAlignment="1" applyProtection="1">
      <alignment horizontal="left" vertical="center" wrapText="1"/>
      <protection locked="0"/>
    </xf>
    <xf numFmtId="0" fontId="6" fillId="0" borderId="6" xfId="0" applyFont="1" applyBorder="1" applyAlignment="1" applyProtection="1">
      <alignment horizontal="left" vertical="center" wrapText="1"/>
      <protection locked="0"/>
    </xf>
    <xf numFmtId="0" fontId="6" fillId="0" borderId="7"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6" fillId="3" borderId="11" xfId="0" applyFont="1" applyFill="1" applyBorder="1" applyAlignment="1" applyProtection="1">
      <alignment horizontal="left" vertical="center"/>
      <protection locked="0"/>
    </xf>
    <xf numFmtId="0" fontId="6" fillId="3" borderId="13" xfId="0" applyFont="1" applyFill="1" applyBorder="1" applyAlignment="1" applyProtection="1">
      <alignment horizontal="left" vertical="center"/>
      <protection locked="0"/>
    </xf>
    <xf numFmtId="0" fontId="6" fillId="3" borderId="12" xfId="0" applyFont="1" applyFill="1" applyBorder="1" applyAlignment="1" applyProtection="1">
      <alignment horizontal="left" vertical="center"/>
      <protection locked="0"/>
    </xf>
    <xf numFmtId="0" fontId="6" fillId="0" borderId="4" xfId="0" applyFont="1" applyBorder="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6" fillId="0" borderId="5" xfId="0" applyFont="1" applyBorder="1" applyAlignment="1" applyProtection="1">
      <alignment horizontal="left" vertical="center" wrapText="1"/>
      <protection locked="0"/>
    </xf>
    <xf numFmtId="0" fontId="72" fillId="3" borderId="11" xfId="0" applyFont="1" applyFill="1" applyBorder="1" applyAlignment="1" applyProtection="1">
      <alignment horizontal="left" vertical="center" wrapText="1"/>
      <protection locked="0"/>
    </xf>
    <xf numFmtId="0" fontId="38" fillId="8" borderId="10" xfId="9" applyFont="1" applyFill="1" applyBorder="1" applyAlignment="1" applyProtection="1">
      <alignment horizontal="center" vertical="center" wrapText="1"/>
      <protection locked="0"/>
    </xf>
    <xf numFmtId="0" fontId="38" fillId="8" borderId="45" xfId="9" applyFont="1" applyFill="1" applyBorder="1" applyAlignment="1" applyProtection="1">
      <alignment horizontal="center" vertical="center" wrapText="1"/>
      <protection locked="0"/>
    </xf>
    <xf numFmtId="0" fontId="38" fillId="8" borderId="46" xfId="9" applyFont="1" applyFill="1" applyBorder="1" applyAlignment="1" applyProtection="1">
      <alignment horizontal="center" vertical="center" wrapText="1"/>
      <protection locked="0"/>
    </xf>
    <xf numFmtId="0" fontId="38" fillId="0" borderId="10" xfId="9" applyFont="1" applyBorder="1" applyAlignment="1" applyProtection="1">
      <alignment horizontal="center" vertical="center" wrapText="1"/>
      <protection locked="0"/>
    </xf>
    <xf numFmtId="0" fontId="38" fillId="0" borderId="45" xfId="9" applyFont="1" applyBorder="1" applyAlignment="1" applyProtection="1">
      <alignment horizontal="center" vertical="center" wrapText="1"/>
      <protection locked="0"/>
    </xf>
    <xf numFmtId="0" fontId="38" fillId="0" borderId="46" xfId="9" applyFont="1" applyBorder="1" applyAlignment="1" applyProtection="1">
      <alignment horizontal="center" vertical="center" wrapText="1"/>
      <protection locked="0"/>
    </xf>
    <xf numFmtId="0" fontId="38" fillId="13" borderId="10" xfId="9" applyFont="1" applyFill="1" applyBorder="1" applyAlignment="1" applyProtection="1">
      <alignment horizontal="left" vertical="center" wrapText="1"/>
      <protection locked="0"/>
    </xf>
    <xf numFmtId="0" fontId="38" fillId="13" borderId="45" xfId="9" applyFont="1" applyFill="1" applyBorder="1" applyAlignment="1" applyProtection="1">
      <alignment horizontal="left" vertical="center" wrapText="1"/>
      <protection locked="0"/>
    </xf>
    <xf numFmtId="0" fontId="38" fillId="14" borderId="10" xfId="9" applyFont="1" applyFill="1" applyBorder="1" applyAlignment="1" applyProtection="1">
      <alignment horizontal="left" vertical="center" wrapText="1"/>
      <protection locked="0"/>
    </xf>
    <xf numFmtId="0" fontId="38" fillId="14" borderId="45" xfId="9" applyFont="1" applyFill="1" applyBorder="1" applyAlignment="1" applyProtection="1">
      <alignment horizontal="left" vertical="center" wrapText="1"/>
      <protection locked="0"/>
    </xf>
    <xf numFmtId="0" fontId="38" fillId="14" borderId="46" xfId="9" applyFont="1" applyFill="1" applyBorder="1" applyAlignment="1" applyProtection="1">
      <alignment horizontal="left" vertical="center" wrapText="1"/>
      <protection locked="0"/>
    </xf>
    <xf numFmtId="0" fontId="43" fillId="0" borderId="10" xfId="9" applyFont="1" applyBorder="1" applyAlignment="1">
      <alignment horizontal="center" vertical="top" wrapText="1"/>
    </xf>
    <xf numFmtId="0" fontId="43" fillId="0" borderId="46" xfId="9" applyFont="1" applyBorder="1" applyAlignment="1">
      <alignment horizontal="center" vertical="top" wrapText="1"/>
    </xf>
    <xf numFmtId="0" fontId="38" fillId="9" borderId="10" xfId="9" applyFont="1" applyFill="1" applyBorder="1" applyAlignment="1" applyProtection="1">
      <alignment horizontal="center" vertical="center" wrapText="1"/>
      <protection locked="0"/>
    </xf>
    <xf numFmtId="0" fontId="38" fillId="9" borderId="46" xfId="9" applyFont="1" applyFill="1" applyBorder="1" applyAlignment="1" applyProtection="1">
      <alignment horizontal="center" vertical="center" wrapText="1"/>
      <protection locked="0"/>
    </xf>
    <xf numFmtId="0" fontId="43" fillId="9" borderId="10" xfId="9" applyFont="1" applyFill="1" applyBorder="1" applyAlignment="1" applyProtection="1">
      <alignment horizontal="center" vertical="center" wrapText="1"/>
      <protection locked="0"/>
    </xf>
    <xf numFmtId="0" fontId="43" fillId="9" borderId="46" xfId="9" applyFont="1" applyFill="1" applyBorder="1" applyAlignment="1" applyProtection="1">
      <alignment horizontal="center" vertical="center" wrapText="1"/>
      <protection locked="0"/>
    </xf>
    <xf numFmtId="0" fontId="49" fillId="0" borderId="10" xfId="9" applyFont="1" applyBorder="1" applyAlignment="1">
      <alignment horizontal="center" vertical="center" wrapText="1"/>
    </xf>
    <xf numFmtId="0" fontId="49" fillId="0" borderId="46" xfId="9" applyFont="1" applyBorder="1" applyAlignment="1">
      <alignment horizontal="center" vertical="center" wrapText="1"/>
    </xf>
    <xf numFmtId="0" fontId="42" fillId="0" borderId="9" xfId="9" applyFont="1" applyBorder="1" applyAlignment="1">
      <alignment horizontal="center" vertical="center" wrapText="1" readingOrder="1"/>
    </xf>
    <xf numFmtId="49" fontId="38" fillId="0" borderId="9" xfId="9" applyNumberFormat="1" applyFont="1" applyBorder="1" applyAlignment="1">
      <alignment horizontal="center" vertical="center" wrapText="1"/>
    </xf>
    <xf numFmtId="0" fontId="49" fillId="0" borderId="9" xfId="9" applyFont="1" applyBorder="1" applyAlignment="1">
      <alignment horizontal="left" vertical="center" wrapText="1"/>
    </xf>
    <xf numFmtId="0" fontId="38" fillId="0" borderId="9" xfId="9" applyFont="1" applyBorder="1" applyAlignment="1">
      <alignment horizontal="left" vertical="center" wrapText="1"/>
    </xf>
    <xf numFmtId="0" fontId="38" fillId="0" borderId="44" xfId="9" applyFont="1" applyBorder="1" applyAlignment="1">
      <alignment vertical="center" wrapText="1"/>
    </xf>
    <xf numFmtId="0" fontId="43" fillId="0" borderId="51" xfId="9" applyFont="1" applyBorder="1" applyAlignment="1">
      <alignment horizontal="center" vertical="top" wrapText="1"/>
    </xf>
    <xf numFmtId="0" fontId="43" fillId="0" borderId="53" xfId="9" applyFont="1" applyBorder="1" applyAlignment="1">
      <alignment horizontal="center" vertical="top" wrapText="1"/>
    </xf>
    <xf numFmtId="0" fontId="49" fillId="0" borderId="45" xfId="9" applyFont="1" applyBorder="1" applyAlignment="1">
      <alignment horizontal="center" vertical="center" wrapText="1"/>
    </xf>
    <xf numFmtId="0" fontId="42" fillId="0" borderId="46" xfId="9" applyFont="1" applyBorder="1" applyAlignment="1">
      <alignment horizontal="center" vertical="center" wrapText="1"/>
    </xf>
    <xf numFmtId="0" fontId="42" fillId="0" borderId="9" xfId="9" applyFont="1" applyBorder="1" applyAlignment="1">
      <alignment horizontal="center" vertical="center" wrapText="1"/>
    </xf>
    <xf numFmtId="49" fontId="38" fillId="0" borderId="46" xfId="9" applyNumberFormat="1" applyFont="1" applyBorder="1" applyAlignment="1">
      <alignment horizontal="center" vertical="center" wrapText="1"/>
    </xf>
    <xf numFmtId="0" fontId="49" fillId="0" borderId="45" xfId="9" applyFont="1" applyBorder="1" applyAlignment="1">
      <alignment horizontal="left" vertical="center" wrapText="1"/>
    </xf>
    <xf numFmtId="0" fontId="38" fillId="0" borderId="45" xfId="9" applyFont="1" applyBorder="1" applyAlignment="1">
      <alignment horizontal="left" vertical="center" wrapText="1"/>
    </xf>
    <xf numFmtId="0" fontId="38" fillId="0" borderId="46" xfId="9" applyFont="1" applyBorder="1" applyAlignment="1">
      <alignment horizontal="left" vertical="center" wrapText="1"/>
    </xf>
    <xf numFmtId="0" fontId="38" fillId="8" borderId="0" xfId="9" applyFont="1" applyFill="1" applyAlignment="1" applyProtection="1">
      <alignment horizontal="left" vertical="center" wrapText="1"/>
      <protection locked="0"/>
    </xf>
    <xf numFmtId="0" fontId="38" fillId="8" borderId="7" xfId="9" applyFont="1" applyFill="1" applyBorder="1" applyAlignment="1" applyProtection="1">
      <alignment horizontal="left" vertical="center" wrapText="1"/>
      <protection locked="0"/>
    </xf>
    <xf numFmtId="0" fontId="38" fillId="43" borderId="0" xfId="9" applyFont="1" applyFill="1" applyAlignment="1" applyProtection="1">
      <alignment horizontal="left" vertical="center" wrapText="1"/>
      <protection locked="0"/>
    </xf>
    <xf numFmtId="0" fontId="38" fillId="43" borderId="7" xfId="9" applyFont="1" applyFill="1" applyBorder="1" applyAlignment="1" applyProtection="1">
      <alignment horizontal="left" vertical="center" wrapText="1"/>
      <protection locked="0"/>
    </xf>
    <xf numFmtId="0" fontId="48" fillId="0" borderId="9" xfId="9" applyFont="1" applyBorder="1" applyAlignment="1" applyProtection="1">
      <alignment horizontal="center" vertical="center"/>
      <protection locked="0"/>
    </xf>
    <xf numFmtId="0" fontId="38" fillId="43" borderId="10" xfId="9" applyFont="1" applyFill="1" applyBorder="1" applyAlignment="1" applyProtection="1">
      <alignment horizontal="center" vertical="center" wrapText="1"/>
      <protection locked="0"/>
    </xf>
    <xf numFmtId="0" fontId="38" fillId="43" borderId="45" xfId="9" applyFont="1" applyFill="1" applyBorder="1" applyAlignment="1" applyProtection="1">
      <alignment horizontal="center" vertical="center" wrapText="1"/>
      <protection locked="0"/>
    </xf>
    <xf numFmtId="0" fontId="38" fillId="43" borderId="46" xfId="9" applyFont="1" applyFill="1" applyBorder="1" applyAlignment="1" applyProtection="1">
      <alignment horizontal="center" vertical="center" wrapText="1"/>
      <protection locked="0"/>
    </xf>
    <xf numFmtId="0" fontId="42" fillId="30" borderId="10" xfId="0" applyFont="1" applyFill="1" applyBorder="1" applyAlignment="1">
      <alignment horizontal="left" vertical="top" wrapText="1"/>
    </xf>
    <xf numFmtId="0" fontId="42" fillId="30" borderId="46" xfId="0" applyFont="1" applyFill="1" applyBorder="1" applyAlignment="1">
      <alignment horizontal="left" vertical="top" wrapText="1"/>
    </xf>
    <xf numFmtId="0" fontId="42" fillId="28" borderId="10" xfId="0" applyFont="1" applyFill="1" applyBorder="1" applyAlignment="1">
      <alignment horizontal="left" vertical="top" wrapText="1"/>
    </xf>
    <xf numFmtId="0" fontId="42" fillId="28" borderId="45" xfId="0" applyFont="1" applyFill="1" applyBorder="1" applyAlignment="1">
      <alignment horizontal="left" vertical="top" wrapText="1"/>
    </xf>
    <xf numFmtId="0" fontId="42" fillId="20" borderId="10" xfId="0" applyFont="1" applyFill="1" applyBorder="1" applyAlignment="1">
      <alignment horizontal="left" vertical="top" wrapText="1"/>
    </xf>
    <xf numFmtId="0" fontId="42" fillId="20" borderId="45" xfId="0" applyFont="1" applyFill="1" applyBorder="1" applyAlignment="1">
      <alignment horizontal="left" vertical="top" wrapText="1"/>
    </xf>
    <xf numFmtId="0" fontId="42" fillId="20" borderId="46" xfId="0" applyFont="1" applyFill="1" applyBorder="1" applyAlignment="1">
      <alignment horizontal="left" vertical="top" wrapText="1"/>
    </xf>
    <xf numFmtId="0" fontId="42" fillId="26" borderId="10" xfId="0" applyFont="1" applyFill="1" applyBorder="1" applyAlignment="1">
      <alignment horizontal="left" vertical="top" wrapText="1"/>
    </xf>
    <xf numFmtId="0" fontId="42" fillId="26" borderId="45" xfId="0" applyFont="1" applyFill="1" applyBorder="1" applyAlignment="1">
      <alignment horizontal="left" vertical="top" wrapText="1"/>
    </xf>
    <xf numFmtId="0" fontId="42" fillId="26" borderId="46" xfId="0" applyFont="1" applyFill="1" applyBorder="1" applyAlignment="1">
      <alignment horizontal="left" vertical="top" wrapText="1"/>
    </xf>
    <xf numFmtId="0" fontId="40" fillId="15" borderId="10" xfId="9" applyFont="1" applyFill="1" applyBorder="1" applyAlignment="1">
      <alignment horizontal="center" vertical="center" wrapText="1"/>
    </xf>
    <xf numFmtId="0" fontId="40" fillId="15" borderId="46" xfId="9" applyFont="1" applyFill="1" applyBorder="1" applyAlignment="1">
      <alignment horizontal="center" vertical="center" wrapText="1"/>
    </xf>
    <xf numFmtId="49" fontId="40" fillId="15" borderId="10" xfId="9" applyNumberFormat="1" applyFont="1" applyFill="1" applyBorder="1" applyAlignment="1">
      <alignment horizontal="center" vertical="center" wrapText="1"/>
    </xf>
    <xf numFmtId="49" fontId="40" fillId="15" borderId="46" xfId="9" applyNumberFormat="1" applyFont="1" applyFill="1" applyBorder="1" applyAlignment="1">
      <alignment horizontal="center" vertical="center" wrapText="1"/>
    </xf>
    <xf numFmtId="0" fontId="41" fillId="15" borderId="10" xfId="9" applyFont="1" applyFill="1" applyBorder="1" applyAlignment="1">
      <alignment horizontal="center" vertical="center" wrapText="1"/>
    </xf>
    <xf numFmtId="0" fontId="41" fillId="15" borderId="46" xfId="9" applyFont="1" applyFill="1" applyBorder="1" applyAlignment="1">
      <alignment horizontal="center" vertical="center" wrapText="1"/>
    </xf>
    <xf numFmtId="0" fontId="41" fillId="15" borderId="43" xfId="9" applyFont="1" applyFill="1" applyBorder="1" applyAlignment="1">
      <alignment horizontal="center" vertical="center" wrapText="1"/>
    </xf>
    <xf numFmtId="0" fontId="41" fillId="15" borderId="54" xfId="9" applyFont="1" applyFill="1" applyBorder="1" applyAlignment="1">
      <alignment horizontal="center" vertical="center" wrapText="1"/>
    </xf>
    <xf numFmtId="0" fontId="46" fillId="15" borderId="10" xfId="0" applyFont="1" applyFill="1" applyBorder="1" applyAlignment="1">
      <alignment horizontal="center" vertical="center" wrapText="1"/>
    </xf>
    <xf numFmtId="0" fontId="46" fillId="15" borderId="46" xfId="0" applyFont="1" applyFill="1" applyBorder="1" applyAlignment="1">
      <alignment horizontal="center" vertical="center" wrapText="1"/>
    </xf>
    <xf numFmtId="0" fontId="46" fillId="15" borderId="51" xfId="0" applyFont="1" applyFill="1" applyBorder="1" applyAlignment="1">
      <alignment horizontal="center" vertical="center" wrapText="1"/>
    </xf>
    <xf numFmtId="0" fontId="46" fillId="15" borderId="53" xfId="0" applyFont="1" applyFill="1" applyBorder="1" applyAlignment="1">
      <alignment horizontal="center" vertical="center" wrapText="1"/>
    </xf>
    <xf numFmtId="0" fontId="42" fillId="29" borderId="10" xfId="0" applyFont="1" applyFill="1" applyBorder="1" applyAlignment="1">
      <alignment horizontal="left" vertical="top" wrapText="1"/>
    </xf>
    <xf numFmtId="0" fontId="42" fillId="29" borderId="45" xfId="0" applyFont="1" applyFill="1" applyBorder="1" applyAlignment="1">
      <alignment horizontal="left" vertical="top" wrapText="1"/>
    </xf>
    <xf numFmtId="0" fontId="42" fillId="29" borderId="46" xfId="0" applyFont="1" applyFill="1" applyBorder="1" applyAlignment="1">
      <alignment horizontal="left" vertical="top" wrapText="1"/>
    </xf>
  </cellXfs>
  <cellStyles count="13">
    <cellStyle name="パーセント 2" xfId="1" xr:uid="{00000000-0005-0000-0000-000000000000}"/>
    <cellStyle name="桁区切り" xfId="2" builtinId="6"/>
    <cellStyle name="桁区切り 2" xfId="3" xr:uid="{00000000-0005-0000-0000-000002000000}"/>
    <cellStyle name="桁区切り 3" xfId="4" xr:uid="{00000000-0005-0000-0000-000003000000}"/>
    <cellStyle name="桁区切り 4" xfId="5" xr:uid="{00000000-0005-0000-0000-000004000000}"/>
    <cellStyle name="桁区切り 4 2" xfId="12" xr:uid="{5D65C4E7-EBF5-4437-9A64-67059063A380}"/>
    <cellStyle name="桁区切り 5" xfId="11" xr:uid="{32033C26-B548-4A43-9907-7F4721334FDB}"/>
    <cellStyle name="標準" xfId="0" builtinId="0"/>
    <cellStyle name="標準 2" xfId="6" xr:uid="{00000000-0005-0000-0000-000006000000}"/>
    <cellStyle name="標準 3" xfId="7" xr:uid="{00000000-0005-0000-0000-000007000000}"/>
    <cellStyle name="標準 4" xfId="8" xr:uid="{00000000-0005-0000-0000-000008000000}"/>
    <cellStyle name="標準 4 2" xfId="10" xr:uid="{A3631594-744B-4530-B181-408FB8D69A4D}"/>
    <cellStyle name="標準 5" xfId="9" xr:uid="{00000000-0005-0000-0000-000009000000}"/>
  </cellStyles>
  <dxfs count="29">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s>
  <tableStyles count="0" defaultTableStyle="TableStyleMedium9" defaultPivotStyle="PivotStyleLight16"/>
  <colors>
    <mruColors>
      <color rgb="FFCCFFCC"/>
      <color rgb="FFCCFFFF"/>
      <color rgb="FFCCFF99"/>
      <color rgb="FFFFFF99"/>
      <color rgb="FFFFCCFF"/>
      <color rgb="FF99CCFF"/>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5.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6.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10.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11.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1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1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16.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1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1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20.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21.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2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2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2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26.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2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2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32.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3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3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3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3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38.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3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オフィス評価結果!$S$16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オフィス評価結果!$S$17</c:f>
              <c:numCache>
                <c:formatCode>General</c:formatCode>
                <c:ptCount val="1"/>
                <c:pt idx="0">
                  <c:v>2</c:v>
                </c:pt>
              </c:numCache>
            </c:numRef>
          </c:val>
          <c:extLst>
            <c:ext xmlns:c16="http://schemas.microsoft.com/office/drawing/2014/chart" uri="{C3380CC4-5D6E-409C-BE32-E72D297353CC}">
              <c16:uniqueId val="{00000000-89F1-49DF-9C6C-0460E3369C96}"/>
            </c:ext>
          </c:extLst>
        </c:ser>
        <c:ser>
          <c:idx val="1"/>
          <c:order val="1"/>
          <c:tx>
            <c:strRef>
              <c:f>オフィス評価結果!$T$16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オフィス評価結果!$T$17</c:f>
              <c:numCache>
                <c:formatCode>General</c:formatCode>
                <c:ptCount val="1"/>
                <c:pt idx="0">
                  <c:v>3</c:v>
                </c:pt>
              </c:numCache>
            </c:numRef>
          </c:val>
          <c:extLst>
            <c:ext xmlns:c16="http://schemas.microsoft.com/office/drawing/2014/chart" uri="{C3380CC4-5D6E-409C-BE32-E72D297353CC}">
              <c16:uniqueId val="{00000001-89F1-49DF-9C6C-0460E3369C96}"/>
            </c:ext>
          </c:extLst>
        </c:ser>
        <c:dLbls>
          <c:showLegendKey val="0"/>
          <c:showVal val="0"/>
          <c:showCatName val="0"/>
          <c:showSerName val="0"/>
          <c:showPercent val="0"/>
          <c:showBubbleSize val="0"/>
        </c:dLbls>
        <c:gapWidth val="50"/>
        <c:overlap val="100"/>
        <c:axId val="131528672"/>
        <c:axId val="131530240"/>
      </c:barChart>
      <c:catAx>
        <c:axId val="131528672"/>
        <c:scaling>
          <c:orientation val="minMax"/>
        </c:scaling>
        <c:delete val="1"/>
        <c:axPos val="l"/>
        <c:numFmt formatCode="General" sourceLinked="1"/>
        <c:majorTickMark val="out"/>
        <c:minorTickMark val="none"/>
        <c:tickLblPos val="nextTo"/>
        <c:crossAx val="131530240"/>
        <c:crosses val="autoZero"/>
        <c:auto val="1"/>
        <c:lblAlgn val="ctr"/>
        <c:lblOffset val="100"/>
        <c:noMultiLvlLbl val="0"/>
      </c:catAx>
      <c:valAx>
        <c:axId val="131530240"/>
        <c:scaling>
          <c:orientation val="minMax"/>
        </c:scaling>
        <c:delete val="1"/>
        <c:axPos val="b"/>
        <c:numFmt formatCode="0%" sourceLinked="1"/>
        <c:majorTickMark val="out"/>
        <c:minorTickMark val="none"/>
        <c:tickLblPos val="nextTo"/>
        <c:crossAx val="131528672"/>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オフィス評価結果!$T$7</c:f>
              <c:strCache>
                <c:ptCount val="1"/>
                <c:pt idx="0">
                  <c:v>充足率</c:v>
                </c:pt>
              </c:strCache>
            </c:strRef>
          </c:tx>
          <c:spPr>
            <a:ln w="38100">
              <a:solidFill>
                <a:srgbClr val="000080"/>
              </a:solidFill>
              <a:prstDash val="solid"/>
            </a:ln>
          </c:spPr>
          <c:marker>
            <c:symbol val="none"/>
          </c:marker>
          <c:cat>
            <c:strRef>
              <c:f>オフィス評価結果!$S$8:$S$12</c:f>
              <c:strCache>
                <c:ptCount val="5"/>
                <c:pt idx="0">
                  <c:v>１．エネルギー／温暖化ガス</c:v>
                </c:pt>
                <c:pt idx="1">
                  <c:v>２．水</c:v>
                </c:pt>
                <c:pt idx="2">
                  <c:v>３．資源利用／安全</c:v>
                </c:pt>
                <c:pt idx="3">
                  <c:v>４．生物多様性／敷地</c:v>
                </c:pt>
                <c:pt idx="4">
                  <c:v>５．屋内環境</c:v>
                </c:pt>
              </c:strCache>
            </c:strRef>
          </c:cat>
          <c:val>
            <c:numRef>
              <c:f>オフィス評価結果!$T$8:$T$12</c:f>
              <c:numCache>
                <c:formatCode>0%</c:formatCode>
                <c:ptCount val="5"/>
                <c:pt idx="0">
                  <c:v>0.6</c:v>
                </c:pt>
                <c:pt idx="1">
                  <c:v>0.6</c:v>
                </c:pt>
                <c:pt idx="2">
                  <c:v>0.53749999999999998</c:v>
                </c:pt>
                <c:pt idx="3">
                  <c:v>0.6</c:v>
                </c:pt>
                <c:pt idx="4">
                  <c:v>0.6</c:v>
                </c:pt>
              </c:numCache>
            </c:numRef>
          </c:val>
          <c:extLst>
            <c:ext xmlns:c16="http://schemas.microsoft.com/office/drawing/2014/chart" uri="{C3380CC4-5D6E-409C-BE32-E72D297353CC}">
              <c16:uniqueId val="{00000000-2F21-46FA-A48A-7FACF7AA2713}"/>
            </c:ext>
          </c:extLst>
        </c:ser>
        <c:dLbls>
          <c:showLegendKey val="0"/>
          <c:showVal val="0"/>
          <c:showCatName val="0"/>
          <c:showSerName val="0"/>
          <c:showPercent val="0"/>
          <c:showBubbleSize val="0"/>
        </c:dLbls>
        <c:axId val="131530632"/>
        <c:axId val="131531024"/>
      </c:radarChart>
      <c:catAx>
        <c:axId val="13153063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31531024"/>
        <c:crosses val="autoZero"/>
        <c:auto val="0"/>
        <c:lblAlgn val="ctr"/>
        <c:lblOffset val="100"/>
        <c:noMultiLvlLbl val="0"/>
      </c:catAx>
      <c:valAx>
        <c:axId val="131531024"/>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31530632"/>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オフィス評価結果!$T$23</c:f>
          <c:strCache>
            <c:ptCount val="1"/>
            <c:pt idx="0">
              <c:v>30,000m2以上</c:v>
            </c:pt>
          </c:strCache>
        </c:strRef>
      </c:tx>
      <c:layout>
        <c:manualLayout>
          <c:xMode val="edge"/>
          <c:yMode val="edge"/>
          <c:x val="0.41839414551244636"/>
          <c:y val="3.3766233766233764E-2"/>
        </c:manualLayout>
      </c:layout>
      <c:overlay val="0"/>
      <c:spPr>
        <a:noFill/>
        <a:ln w="25400">
          <a:noFill/>
        </a:ln>
      </c:spPr>
      <c:txPr>
        <a:bodyPr/>
        <a:lstStyle/>
        <a:p>
          <a:pPr>
            <a:defRPr sz="1400" b="1" i="0" u="none" strike="noStrike" baseline="0">
              <a:solidFill>
                <a:srgbClr val="000000"/>
              </a:solidFill>
              <a:latin typeface="ＭＳ Ｐゴシック"/>
              <a:ea typeface="ＭＳ Ｐゴシック"/>
              <a:cs typeface="ＭＳ Ｐゴシック"/>
            </a:defRPr>
          </a:pPr>
          <a:endParaRPr lang="ja-JP"/>
        </a:p>
      </c:txPr>
    </c:title>
    <c:autoTitleDeleted val="0"/>
    <c:plotArea>
      <c:layout>
        <c:manualLayout>
          <c:layoutTarget val="inner"/>
          <c:xMode val="edge"/>
          <c:yMode val="edge"/>
          <c:x val="0.11649016641452346"/>
          <c:y val="0.11948067101343222"/>
          <c:w val="0.86233043864978343"/>
          <c:h val="0.65194887879068475"/>
        </c:manualLayout>
      </c:layout>
      <c:barChart>
        <c:barDir val="col"/>
        <c:grouping val="clustered"/>
        <c:varyColors val="0"/>
        <c:ser>
          <c:idx val="1"/>
          <c:order val="0"/>
          <c:tx>
            <c:strRef>
              <c:f>オフィス評価結果!$T$23</c:f>
              <c:strCache>
                <c:ptCount val="1"/>
                <c:pt idx="0">
                  <c:v>30,000m2以上</c:v>
                </c:pt>
              </c:strCache>
            </c:strRef>
          </c:tx>
          <c:spPr>
            <a:solidFill>
              <a:srgbClr val="FFCC99"/>
            </a:solidFill>
            <a:ln w="12700">
              <a:solidFill>
                <a:srgbClr val="000000"/>
              </a:solidFill>
              <a:prstDash val="solid"/>
            </a:ln>
          </c:spPr>
          <c:invertIfNegative val="0"/>
          <c:cat>
            <c:numRef>
              <c:f>オフィス評価結果!$S$24:$S$48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オフィス評価結果!$T$24:$T$48</c:f>
              <c:numCache>
                <c:formatCode>General</c:formatCode>
                <c:ptCount val="25"/>
                <c:pt idx="0">
                  <c:v>1</c:v>
                </c:pt>
                <c:pt idx="1">
                  <c:v>2</c:v>
                </c:pt>
                <c:pt idx="2">
                  <c:v>3</c:v>
                </c:pt>
                <c:pt idx="3">
                  <c:v>4</c:v>
                </c:pt>
                <c:pt idx="4">
                  <c:v>8</c:v>
                </c:pt>
                <c:pt idx="5">
                  <c:v>9</c:v>
                </c:pt>
                <c:pt idx="6">
                  <c:v>22</c:v>
                </c:pt>
                <c:pt idx="7">
                  <c:v>22</c:v>
                </c:pt>
                <c:pt idx="8">
                  <c:v>34</c:v>
                </c:pt>
                <c:pt idx="9">
                  <c:v>39</c:v>
                </c:pt>
                <c:pt idx="10">
                  <c:v>44</c:v>
                </c:pt>
                <c:pt idx="11">
                  <c:v>32</c:v>
                </c:pt>
                <c:pt idx="12">
                  <c:v>23</c:v>
                </c:pt>
                <c:pt idx="13">
                  <c:v>23</c:v>
                </c:pt>
                <c:pt idx="14">
                  <c:v>14</c:v>
                </c:pt>
                <c:pt idx="15">
                  <c:v>5</c:v>
                </c:pt>
                <c:pt idx="16">
                  <c:v>6</c:v>
                </c:pt>
                <c:pt idx="17">
                  <c:v>12</c:v>
                </c:pt>
                <c:pt idx="18">
                  <c:v>3</c:v>
                </c:pt>
                <c:pt idx="19">
                  <c:v>5</c:v>
                </c:pt>
                <c:pt idx="20">
                  <c:v>4</c:v>
                </c:pt>
                <c:pt idx="21">
                  <c:v>1</c:v>
                </c:pt>
                <c:pt idx="22">
                  <c:v>2</c:v>
                </c:pt>
                <c:pt idx="23">
                  <c:v>3</c:v>
                </c:pt>
                <c:pt idx="24">
                  <c:v>0</c:v>
                </c:pt>
              </c:numCache>
            </c:numRef>
          </c:val>
          <c:extLst>
            <c:ext xmlns:c16="http://schemas.microsoft.com/office/drawing/2014/chart" uri="{C3380CC4-5D6E-409C-BE32-E72D297353CC}">
              <c16:uniqueId val="{00000000-426E-4910-B47D-03837DC6143C}"/>
            </c:ext>
          </c:extLst>
        </c:ser>
        <c:ser>
          <c:idx val="2"/>
          <c:order val="1"/>
          <c:tx>
            <c:strRef>
              <c:f>オフィス評価結果!$U$23</c:f>
              <c:strCache>
                <c:ptCount val="1"/>
                <c:pt idx="0">
                  <c:v>評価建物</c:v>
                </c:pt>
              </c:strCache>
            </c:strRef>
          </c:tx>
          <c:spPr>
            <a:solidFill>
              <a:srgbClr val="FF9900"/>
            </a:solidFill>
            <a:ln w="12700">
              <a:solidFill>
                <a:srgbClr val="000000"/>
              </a:solidFill>
              <a:prstDash val="solid"/>
            </a:ln>
          </c:spPr>
          <c:invertIfNegative val="0"/>
          <c:cat>
            <c:numRef>
              <c:f>オフィス評価結果!$S$24:$S$48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オフィス評価結果!$U$24:$U$48</c:f>
              <c:numCache>
                <c:formatCode>General</c:formatCode>
                <c:ptCount val="25"/>
                <c:pt idx="0">
                  <c:v>1</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extLst>
            <c:ext xmlns:c16="http://schemas.microsoft.com/office/drawing/2014/chart" uri="{C3380CC4-5D6E-409C-BE32-E72D297353CC}">
              <c16:uniqueId val="{00000001-426E-4910-B47D-03837DC6143C}"/>
            </c:ext>
          </c:extLst>
        </c:ser>
        <c:dLbls>
          <c:showLegendKey val="0"/>
          <c:showVal val="0"/>
          <c:showCatName val="0"/>
          <c:showSerName val="0"/>
          <c:showPercent val="0"/>
          <c:showBubbleSize val="0"/>
        </c:dLbls>
        <c:gapWidth val="20"/>
        <c:overlap val="100"/>
        <c:axId val="131529064"/>
        <c:axId val="131529456"/>
      </c:barChart>
      <c:catAx>
        <c:axId val="131529064"/>
        <c:scaling>
          <c:orientation val="minMax"/>
        </c:scaling>
        <c:delete val="0"/>
        <c:axPos val="b"/>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一次エネルギー消費原単位[実績値](MJ/㎡・年)</a:t>
                </a:r>
              </a:p>
            </c:rich>
          </c:tx>
          <c:layout>
            <c:manualLayout>
              <c:xMode val="edge"/>
              <c:yMode val="edge"/>
              <c:x val="0.30958565126409121"/>
              <c:y val="0.91688420765586121"/>
            </c:manualLayout>
          </c:layout>
          <c:overlay val="0"/>
          <c:spPr>
            <a:noFill/>
            <a:ln w="25400">
              <a:noFill/>
            </a:ln>
          </c:spPr>
        </c:title>
        <c:numFmt formatCode="#,##0_);[Red]\(#,##0\)" sourceLinked="1"/>
        <c:majorTickMark val="in"/>
        <c:minorTickMark val="none"/>
        <c:tickLblPos val="nextTo"/>
        <c:spPr>
          <a:ln w="3175">
            <a:solidFill>
              <a:srgbClr val="000000"/>
            </a:solidFill>
            <a:prstDash val="solid"/>
          </a:ln>
        </c:spPr>
        <c:txPr>
          <a:bodyPr rot="-540000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31529456"/>
        <c:crosses val="autoZero"/>
        <c:auto val="1"/>
        <c:lblAlgn val="ctr"/>
        <c:lblOffset val="100"/>
        <c:tickLblSkip val="1"/>
        <c:tickMarkSkip val="1"/>
        <c:noMultiLvlLbl val="0"/>
      </c:catAx>
      <c:valAx>
        <c:axId val="131529456"/>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件数(件）</a:t>
                </a:r>
              </a:p>
            </c:rich>
          </c:tx>
          <c:layout>
            <c:manualLayout>
              <c:xMode val="edge"/>
              <c:yMode val="edge"/>
              <c:x val="2.5906822161601964E-2"/>
              <c:y val="0.35584470123052797"/>
            </c:manualLayout>
          </c:layout>
          <c:overlay val="0"/>
          <c:spPr>
            <a:noFill/>
            <a:ln w="25400">
              <a:noFill/>
            </a:ln>
          </c:spPr>
        </c:title>
        <c:numFmt formatCode="General" sourceLinked="1"/>
        <c:majorTickMark val="in"/>
        <c:minorTickMark val="none"/>
        <c:tickLblPos val="nextTo"/>
        <c:spPr>
          <a:ln w="3175">
            <a:solidFill>
              <a:srgbClr val="000000"/>
            </a:solidFill>
            <a:prstDash val="solid"/>
          </a:ln>
        </c:spPr>
        <c:txPr>
          <a:bodyPr rot="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31529064"/>
        <c:crosses val="autoZero"/>
        <c:crossBetween val="between"/>
      </c:valAx>
      <c:spPr>
        <a:noFill/>
        <a:ln w="12700">
          <a:solidFill>
            <a:srgbClr val="808080"/>
          </a:solidFill>
          <a:prstDash val="solid"/>
        </a:ln>
      </c:spPr>
    </c:plotArea>
    <c:plotVisOnly val="0"/>
    <c:dispBlanksAs val="gap"/>
    <c:showDLblsOverMax val="0"/>
  </c:chart>
  <c:spPr>
    <a:noFill/>
    <a:ln w="3175">
      <a:solidFill>
        <a:srgbClr val="000000"/>
      </a:solidFill>
      <a:prstDash val="solid"/>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25" b="1" i="0" u="none" strike="noStrike" baseline="0">
                <a:solidFill>
                  <a:srgbClr val="000000"/>
                </a:solidFill>
                <a:latin typeface="ＭＳ Ｐゴシック"/>
                <a:ea typeface="ＭＳ Ｐゴシック"/>
                <a:cs typeface="ＭＳ Ｐゴシック"/>
              </a:defRPr>
            </a:pPr>
            <a:r>
              <a:rPr lang="ja-JP" altLang="en-US"/>
              <a:t>全データ</a:t>
            </a:r>
          </a:p>
        </c:rich>
      </c:tx>
      <c:layout>
        <c:manualLayout>
          <c:xMode val="edge"/>
          <c:yMode val="edge"/>
          <c:x val="0.45618571434226829"/>
          <c:y val="4.1096072668335808E-2"/>
        </c:manualLayout>
      </c:layout>
      <c:overlay val="0"/>
      <c:spPr>
        <a:noFill/>
        <a:ln w="25400">
          <a:noFill/>
        </a:ln>
      </c:spPr>
    </c:title>
    <c:autoTitleDeleted val="0"/>
    <c:plotArea>
      <c:layout>
        <c:manualLayout>
          <c:layoutTarget val="inner"/>
          <c:xMode val="edge"/>
          <c:yMode val="edge"/>
          <c:x val="0.11261956508830061"/>
          <c:y val="0.13356795621348039"/>
          <c:w val="0.86626572130972312"/>
          <c:h val="0.63291659713562343"/>
        </c:manualLayout>
      </c:layout>
      <c:barChart>
        <c:barDir val="col"/>
        <c:grouping val="clustered"/>
        <c:varyColors val="0"/>
        <c:ser>
          <c:idx val="1"/>
          <c:order val="0"/>
          <c:tx>
            <c:strRef>
              <c:f>オフィス評価結果!$T$54</c:f>
              <c:strCache>
                <c:ptCount val="1"/>
                <c:pt idx="0">
                  <c:v>水消費量[実績値](L/㎡・年)</c:v>
                </c:pt>
              </c:strCache>
            </c:strRef>
          </c:tx>
          <c:spPr>
            <a:solidFill>
              <a:srgbClr val="99CCFF"/>
            </a:solidFill>
            <a:ln w="12700">
              <a:solidFill>
                <a:srgbClr val="000000"/>
              </a:solidFill>
              <a:prstDash val="solid"/>
            </a:ln>
          </c:spPr>
          <c:invertIfNegative val="0"/>
          <c:cat>
            <c:numRef>
              <c:f>オフィス評価結果!$S$55:$S$79</c:f>
              <c:numCache>
                <c:formatCode>0_ </c:formatCode>
                <c:ptCount val="25"/>
                <c:pt idx="0">
                  <c:v>0</c:v>
                </c:pt>
                <c:pt idx="1">
                  <c:v>100</c:v>
                </c:pt>
                <c:pt idx="2">
                  <c:v>200</c:v>
                </c:pt>
                <c:pt idx="3">
                  <c:v>300</c:v>
                </c:pt>
                <c:pt idx="4">
                  <c:v>400</c:v>
                </c:pt>
                <c:pt idx="5">
                  <c:v>500</c:v>
                </c:pt>
                <c:pt idx="6">
                  <c:v>600</c:v>
                </c:pt>
                <c:pt idx="7">
                  <c:v>700</c:v>
                </c:pt>
                <c:pt idx="8">
                  <c:v>800</c:v>
                </c:pt>
                <c:pt idx="9">
                  <c:v>900</c:v>
                </c:pt>
                <c:pt idx="10">
                  <c:v>1000</c:v>
                </c:pt>
                <c:pt idx="11">
                  <c:v>1100</c:v>
                </c:pt>
                <c:pt idx="12">
                  <c:v>1200</c:v>
                </c:pt>
                <c:pt idx="13">
                  <c:v>1300</c:v>
                </c:pt>
                <c:pt idx="14">
                  <c:v>1400</c:v>
                </c:pt>
                <c:pt idx="15">
                  <c:v>1500</c:v>
                </c:pt>
                <c:pt idx="16">
                  <c:v>1600</c:v>
                </c:pt>
                <c:pt idx="17">
                  <c:v>1700</c:v>
                </c:pt>
                <c:pt idx="18">
                  <c:v>1800</c:v>
                </c:pt>
                <c:pt idx="19">
                  <c:v>1900</c:v>
                </c:pt>
                <c:pt idx="20">
                  <c:v>2000</c:v>
                </c:pt>
                <c:pt idx="21">
                  <c:v>2100</c:v>
                </c:pt>
                <c:pt idx="22">
                  <c:v>2200</c:v>
                </c:pt>
                <c:pt idx="23">
                  <c:v>2300</c:v>
                </c:pt>
                <c:pt idx="24">
                  <c:v>2400</c:v>
                </c:pt>
              </c:numCache>
            </c:numRef>
          </c:cat>
          <c:val>
            <c:numRef>
              <c:f>オフィス評価結果!$T$55:$T$79</c:f>
              <c:numCache>
                <c:formatCode>#,##0_);[Red]\(#,##0\)</c:formatCode>
                <c:ptCount val="25"/>
                <c:pt idx="3">
                  <c:v>90</c:v>
                </c:pt>
                <c:pt idx="4">
                  <c:v>183</c:v>
                </c:pt>
                <c:pt idx="5">
                  <c:v>234</c:v>
                </c:pt>
                <c:pt idx="6">
                  <c:v>230</c:v>
                </c:pt>
                <c:pt idx="7">
                  <c:v>236</c:v>
                </c:pt>
                <c:pt idx="8">
                  <c:v>198</c:v>
                </c:pt>
                <c:pt idx="9">
                  <c:v>165</c:v>
                </c:pt>
                <c:pt idx="10">
                  <c:v>139</c:v>
                </c:pt>
                <c:pt idx="11">
                  <c:v>131</c:v>
                </c:pt>
                <c:pt idx="12">
                  <c:v>77</c:v>
                </c:pt>
                <c:pt idx="13">
                  <c:v>46</c:v>
                </c:pt>
                <c:pt idx="14">
                  <c:v>48</c:v>
                </c:pt>
                <c:pt idx="15">
                  <c:v>26</c:v>
                </c:pt>
                <c:pt idx="16">
                  <c:v>26</c:v>
                </c:pt>
                <c:pt idx="17">
                  <c:v>24</c:v>
                </c:pt>
                <c:pt idx="18">
                  <c:v>15</c:v>
                </c:pt>
                <c:pt idx="19">
                  <c:v>14</c:v>
                </c:pt>
                <c:pt idx="20">
                  <c:v>6</c:v>
                </c:pt>
                <c:pt idx="21">
                  <c:v>13</c:v>
                </c:pt>
                <c:pt idx="22">
                  <c:v>4</c:v>
                </c:pt>
                <c:pt idx="23">
                  <c:v>11</c:v>
                </c:pt>
                <c:pt idx="24">
                  <c:v>3</c:v>
                </c:pt>
              </c:numCache>
            </c:numRef>
          </c:val>
          <c:extLst>
            <c:ext xmlns:c16="http://schemas.microsoft.com/office/drawing/2014/chart" uri="{C3380CC4-5D6E-409C-BE32-E72D297353CC}">
              <c16:uniqueId val="{00000000-0C44-4759-A728-CF2DF2A6C74F}"/>
            </c:ext>
          </c:extLst>
        </c:ser>
        <c:ser>
          <c:idx val="2"/>
          <c:order val="1"/>
          <c:tx>
            <c:strRef>
              <c:f>オフィス評価結果!$U$54</c:f>
              <c:strCache>
                <c:ptCount val="1"/>
                <c:pt idx="0">
                  <c:v>評価建物</c:v>
                </c:pt>
              </c:strCache>
            </c:strRef>
          </c:tx>
          <c:spPr>
            <a:solidFill>
              <a:srgbClr val="3366FF"/>
            </a:solidFill>
            <a:ln w="12700">
              <a:solidFill>
                <a:srgbClr val="000000"/>
              </a:solidFill>
              <a:prstDash val="solid"/>
            </a:ln>
          </c:spPr>
          <c:invertIfNegative val="0"/>
          <c:cat>
            <c:numRef>
              <c:f>オフィス評価結果!$S$55:$S$79</c:f>
              <c:numCache>
                <c:formatCode>0_ </c:formatCode>
                <c:ptCount val="25"/>
                <c:pt idx="0">
                  <c:v>0</c:v>
                </c:pt>
                <c:pt idx="1">
                  <c:v>100</c:v>
                </c:pt>
                <c:pt idx="2">
                  <c:v>200</c:v>
                </c:pt>
                <c:pt idx="3">
                  <c:v>300</c:v>
                </c:pt>
                <c:pt idx="4">
                  <c:v>400</c:v>
                </c:pt>
                <c:pt idx="5">
                  <c:v>500</c:v>
                </c:pt>
                <c:pt idx="6">
                  <c:v>600</c:v>
                </c:pt>
                <c:pt idx="7">
                  <c:v>700</c:v>
                </c:pt>
                <c:pt idx="8">
                  <c:v>800</c:v>
                </c:pt>
                <c:pt idx="9">
                  <c:v>900</c:v>
                </c:pt>
                <c:pt idx="10">
                  <c:v>1000</c:v>
                </c:pt>
                <c:pt idx="11">
                  <c:v>1100</c:v>
                </c:pt>
                <c:pt idx="12">
                  <c:v>1200</c:v>
                </c:pt>
                <c:pt idx="13">
                  <c:v>1300</c:v>
                </c:pt>
                <c:pt idx="14">
                  <c:v>1400</c:v>
                </c:pt>
                <c:pt idx="15">
                  <c:v>1500</c:v>
                </c:pt>
                <c:pt idx="16">
                  <c:v>1600</c:v>
                </c:pt>
                <c:pt idx="17">
                  <c:v>1700</c:v>
                </c:pt>
                <c:pt idx="18">
                  <c:v>1800</c:v>
                </c:pt>
                <c:pt idx="19">
                  <c:v>1900</c:v>
                </c:pt>
                <c:pt idx="20">
                  <c:v>2000</c:v>
                </c:pt>
                <c:pt idx="21">
                  <c:v>2100</c:v>
                </c:pt>
                <c:pt idx="22">
                  <c:v>2200</c:v>
                </c:pt>
                <c:pt idx="23">
                  <c:v>2300</c:v>
                </c:pt>
                <c:pt idx="24">
                  <c:v>2400</c:v>
                </c:pt>
              </c:numCache>
            </c:numRef>
          </c:cat>
          <c:val>
            <c:numRef>
              <c:f>オフィス評価結果!$U$55:$U$79</c:f>
              <c:numCache>
                <c:formatCode>General</c:formatCode>
                <c:ptCount val="2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extLst>
            <c:ext xmlns:c16="http://schemas.microsoft.com/office/drawing/2014/chart" uri="{C3380CC4-5D6E-409C-BE32-E72D297353CC}">
              <c16:uniqueId val="{00000001-0C44-4759-A728-CF2DF2A6C74F}"/>
            </c:ext>
          </c:extLst>
        </c:ser>
        <c:dLbls>
          <c:showLegendKey val="0"/>
          <c:showVal val="0"/>
          <c:showCatName val="0"/>
          <c:showSerName val="0"/>
          <c:showPercent val="0"/>
          <c:showBubbleSize val="0"/>
        </c:dLbls>
        <c:gapWidth val="20"/>
        <c:overlap val="100"/>
        <c:axId val="133056736"/>
        <c:axId val="133057912"/>
      </c:barChart>
      <c:catAx>
        <c:axId val="133056736"/>
        <c:scaling>
          <c:orientation val="minMax"/>
        </c:scaling>
        <c:delete val="0"/>
        <c:axPos val="b"/>
        <c:title>
          <c:tx>
            <c:strRef>
              <c:f>オフィス評価結果!$T$54</c:f>
              <c:strCache>
                <c:ptCount val="1"/>
                <c:pt idx="0">
                  <c:v>水消費量[実績値](L/㎡・年)</c:v>
                </c:pt>
              </c:strCache>
            </c:strRef>
          </c:tx>
          <c:layout>
            <c:manualLayout>
              <c:xMode val="edge"/>
              <c:yMode val="edge"/>
              <c:x val="0.39690724179839515"/>
              <c:y val="0.90684930512718165"/>
            </c:manualLayout>
          </c:layout>
          <c:overlay val="0"/>
          <c:spPr>
            <a:noFill/>
            <a:ln w="25400">
              <a:noFill/>
            </a:ln>
          </c:spPr>
          <c:txPr>
            <a:bodyPr/>
            <a:lstStyle/>
            <a:p>
              <a:pPr>
                <a:defRPr sz="1100" b="1" i="0" u="none" strike="noStrike" baseline="0">
                  <a:solidFill>
                    <a:srgbClr val="000000"/>
                  </a:solidFill>
                  <a:latin typeface="ＭＳ Ｐゴシック"/>
                  <a:ea typeface="ＭＳ Ｐゴシック"/>
                  <a:cs typeface="ＭＳ Ｐゴシック"/>
                </a:defRPr>
              </a:pPr>
              <a:endParaRPr lang="ja-JP"/>
            </a:p>
          </c:txPr>
        </c:title>
        <c:numFmt formatCode="0_ " sourceLinked="1"/>
        <c:majorTickMark val="in"/>
        <c:minorTickMark val="none"/>
        <c:tickLblPos val="nextTo"/>
        <c:spPr>
          <a:ln w="3175">
            <a:solidFill>
              <a:srgbClr val="000000"/>
            </a:solidFill>
            <a:prstDash val="solid"/>
          </a:ln>
        </c:spPr>
        <c:txPr>
          <a:bodyPr rot="-540000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33057912"/>
        <c:crosses val="autoZero"/>
        <c:auto val="1"/>
        <c:lblAlgn val="ctr"/>
        <c:lblOffset val="100"/>
        <c:tickLblSkip val="1"/>
        <c:tickMarkSkip val="1"/>
        <c:noMultiLvlLbl val="0"/>
      </c:catAx>
      <c:valAx>
        <c:axId val="133057912"/>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件数(件）</a:t>
                </a:r>
              </a:p>
            </c:rich>
          </c:tx>
          <c:layout>
            <c:manualLayout>
              <c:xMode val="edge"/>
              <c:yMode val="edge"/>
              <c:x val="2.577324893211878E-2"/>
              <c:y val="0.38630114784039088"/>
            </c:manualLayout>
          </c:layout>
          <c:overlay val="0"/>
          <c:spPr>
            <a:noFill/>
            <a:ln w="25400">
              <a:noFill/>
            </a:ln>
          </c:spPr>
        </c:title>
        <c:numFmt formatCode="#,##0_);[Red]\(#,##0\)" sourceLinked="1"/>
        <c:majorTickMark val="in"/>
        <c:minorTickMark val="none"/>
        <c:tickLblPos val="nextTo"/>
        <c:spPr>
          <a:ln w="3175">
            <a:solidFill>
              <a:srgbClr val="000000"/>
            </a:solidFill>
            <a:prstDash val="solid"/>
          </a:ln>
        </c:spPr>
        <c:txPr>
          <a:bodyPr rot="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33056736"/>
        <c:crosses val="autoZero"/>
        <c:crossBetween val="between"/>
      </c:valAx>
      <c:spPr>
        <a:noFill/>
        <a:ln w="12700">
          <a:solidFill>
            <a:srgbClr val="808080"/>
          </a:solidFill>
          <a:prstDash val="solid"/>
        </a:ln>
      </c:spPr>
    </c:plotArea>
    <c:plotVisOnly val="0"/>
    <c:dispBlanksAs val="gap"/>
    <c:showDLblsOverMax val="0"/>
  </c:chart>
  <c:spPr>
    <a:noFill/>
    <a:ln w="3175">
      <a:solidFill>
        <a:srgbClr val="000000"/>
      </a:solidFill>
      <a:prstDash val="solid"/>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オフィス評価結果!$X$1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6D9C-4EF2-A34C-9BACF7877CF3}"/>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6D9C-4EF2-A34C-9BACF7877CF3}"/>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6D9C-4EF2-A34C-9BACF7877CF3}"/>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6D9C-4EF2-A34C-9BACF7877CF3}"/>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6D9C-4EF2-A34C-9BACF7877CF3}"/>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6D9C-4EF2-A34C-9BACF7877CF3}"/>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6D9C-4EF2-A34C-9BACF7877CF3}"/>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6D9C-4EF2-A34C-9BACF7877CF3}"/>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6D9C-4EF2-A34C-9BACF7877CF3}"/>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6D9C-4EF2-A34C-9BACF7877CF3}"/>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6D9C-4EF2-A34C-9BACF7877CF3}"/>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6D9C-4EF2-A34C-9BACF7877CF3}"/>
              </c:ext>
            </c:extLst>
          </c:dPt>
          <c:cat>
            <c:strRef>
              <c:f>オフィス評価結果!$W$2:$W$13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オフィス評価結果!$X$2:$X$13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6D9C-4EF2-A34C-9BACF7877CF3}"/>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0B5F-4C27-96BA-53CF6D773DD8}"/>
              </c:ext>
            </c:extLst>
          </c:dPt>
          <c:cat>
            <c:strRef>
              <c:f>オフィス評価結果!$W$16</c:f>
              <c:strCache>
                <c:ptCount val="1"/>
                <c:pt idx="0">
                  <c:v>SDGsRank(Ring)</c:v>
                </c:pt>
              </c:strCache>
            </c:strRef>
          </c:cat>
          <c:val>
            <c:numRef>
              <c:f>オフィス評価結果!$X$16</c:f>
              <c:numCache>
                <c:formatCode>0.00</c:formatCode>
                <c:ptCount val="1"/>
                <c:pt idx="0">
                  <c:v>0</c:v>
                </c:pt>
              </c:numCache>
            </c:numRef>
          </c:val>
          <c:extLst>
            <c:ext xmlns:c16="http://schemas.microsoft.com/office/drawing/2014/chart" uri="{C3380CC4-5D6E-409C-BE32-E72D297353CC}">
              <c16:uniqueId val="{00000002-0B5F-4C27-96BA-53CF6D773DD8}"/>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オフィス評価結果!$W$16</c:f>
              <c:strCache>
                <c:ptCount val="1"/>
                <c:pt idx="0">
                  <c:v>SDGsRank(Ring)</c:v>
                </c:pt>
              </c:strCache>
            </c:strRef>
          </c:cat>
          <c:val>
            <c:numRef>
              <c:f>オフィス評価結果!$X$17</c:f>
              <c:numCache>
                <c:formatCode>0.00</c:formatCode>
                <c:ptCount val="1"/>
                <c:pt idx="0">
                  <c:v>0</c:v>
                </c:pt>
              </c:numCache>
            </c:numRef>
          </c:val>
          <c:extLst>
            <c:ext xmlns:c16="http://schemas.microsoft.com/office/drawing/2014/chart" uri="{C3380CC4-5D6E-409C-BE32-E72D297353CC}">
              <c16:uniqueId val="{00000003-0B5F-4C27-96BA-53CF6D773DD8}"/>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オフィス評価結果!$Z$16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2EC7-4AA9-A97E-E1AF71B93CF2}"/>
              </c:ext>
            </c:extLst>
          </c:dPt>
          <c:val>
            <c:numRef>
              <c:f>オフィス評価結果!$Z$17</c:f>
              <c:numCache>
                <c:formatCode>0.0_ </c:formatCode>
                <c:ptCount val="1"/>
                <c:pt idx="0">
                  <c:v>0</c:v>
                </c:pt>
              </c:numCache>
            </c:numRef>
          </c:val>
          <c:extLst>
            <c:ext xmlns:c16="http://schemas.microsoft.com/office/drawing/2014/chart" uri="{C3380CC4-5D6E-409C-BE32-E72D297353CC}">
              <c16:uniqueId val="{00000002-2EC7-4AA9-A97E-E1AF71B93CF2}"/>
            </c:ext>
          </c:extLst>
        </c:ser>
        <c:ser>
          <c:idx val="1"/>
          <c:order val="1"/>
          <c:tx>
            <c:strRef>
              <c:f>オフィス評価結果!$AA$16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オフィス評価結果!$AA$17</c:f>
              <c:numCache>
                <c:formatCode>General</c:formatCode>
                <c:ptCount val="1"/>
                <c:pt idx="0">
                  <c:v>0</c:v>
                </c:pt>
              </c:numCache>
            </c:numRef>
          </c:val>
          <c:extLst>
            <c:ext xmlns:c16="http://schemas.microsoft.com/office/drawing/2014/chart" uri="{C3380CC4-5D6E-409C-BE32-E72D297353CC}">
              <c16:uniqueId val="{00000003-2EC7-4AA9-A97E-E1AF71B93CF2}"/>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29E-2"/>
          <c:y val="7.4074967146112392E-2"/>
          <c:w val="0.93918918918918914"/>
          <c:h val="0.87655377789566324"/>
        </c:manualLayout>
      </c:layout>
      <c:barChart>
        <c:barDir val="bar"/>
        <c:grouping val="percentStacked"/>
        <c:varyColors val="0"/>
        <c:ser>
          <c:idx val="0"/>
          <c:order val="0"/>
          <c:tx>
            <c:strRef>
              <c:f>店舗評価結果!$S$16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店舗評価結果!$S$17</c:f>
              <c:numCache>
                <c:formatCode>General</c:formatCode>
                <c:ptCount val="1"/>
                <c:pt idx="0">
                  <c:v>3</c:v>
                </c:pt>
              </c:numCache>
            </c:numRef>
          </c:val>
          <c:extLst>
            <c:ext xmlns:c16="http://schemas.microsoft.com/office/drawing/2014/chart" uri="{C3380CC4-5D6E-409C-BE32-E72D297353CC}">
              <c16:uniqueId val="{00000000-D5AF-4E03-B956-00ED5035D621}"/>
            </c:ext>
          </c:extLst>
        </c:ser>
        <c:ser>
          <c:idx val="1"/>
          <c:order val="1"/>
          <c:tx>
            <c:strRef>
              <c:f>店舗評価結果!$T$16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店舗評価結果!$T$17</c:f>
              <c:numCache>
                <c:formatCode>General</c:formatCode>
                <c:ptCount val="1"/>
                <c:pt idx="0">
                  <c:v>2</c:v>
                </c:pt>
              </c:numCache>
            </c:numRef>
          </c:val>
          <c:extLst>
            <c:ext xmlns:c16="http://schemas.microsoft.com/office/drawing/2014/chart" uri="{C3380CC4-5D6E-409C-BE32-E72D297353CC}">
              <c16:uniqueId val="{00000001-D5AF-4E03-B956-00ED5035D621}"/>
            </c:ext>
          </c:extLst>
        </c:ser>
        <c:dLbls>
          <c:showLegendKey val="0"/>
          <c:showVal val="0"/>
          <c:showCatName val="0"/>
          <c:showSerName val="0"/>
          <c:showPercent val="0"/>
          <c:showBubbleSize val="0"/>
        </c:dLbls>
        <c:gapWidth val="50"/>
        <c:overlap val="100"/>
        <c:axId val="133055560"/>
        <c:axId val="133058304"/>
      </c:barChart>
      <c:catAx>
        <c:axId val="133055560"/>
        <c:scaling>
          <c:orientation val="minMax"/>
        </c:scaling>
        <c:delete val="1"/>
        <c:axPos val="l"/>
        <c:numFmt formatCode="General" sourceLinked="1"/>
        <c:majorTickMark val="out"/>
        <c:minorTickMark val="none"/>
        <c:tickLblPos val="nextTo"/>
        <c:crossAx val="133058304"/>
        <c:crosses val="autoZero"/>
        <c:auto val="1"/>
        <c:lblAlgn val="ctr"/>
        <c:lblOffset val="100"/>
        <c:noMultiLvlLbl val="0"/>
      </c:catAx>
      <c:valAx>
        <c:axId val="133058304"/>
        <c:scaling>
          <c:orientation val="minMax"/>
        </c:scaling>
        <c:delete val="1"/>
        <c:axPos val="b"/>
        <c:numFmt formatCode="0%" sourceLinked="1"/>
        <c:majorTickMark val="out"/>
        <c:minorTickMark val="none"/>
        <c:tickLblPos val="nextTo"/>
        <c:crossAx val="133055560"/>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2809817226"/>
          <c:y val="4.2386429614944529E-2"/>
        </c:manualLayout>
      </c:layout>
      <c:overlay val="0"/>
      <c:spPr>
        <a:noFill/>
        <a:ln w="25400">
          <a:noFill/>
        </a:ln>
      </c:spPr>
    </c:title>
    <c:autoTitleDeleted val="0"/>
    <c:plotArea>
      <c:layout>
        <c:manualLayout>
          <c:layoutTarget val="inner"/>
          <c:xMode val="edge"/>
          <c:yMode val="edge"/>
          <c:x val="0.31914917300084672"/>
          <c:y val="0.21629213483146068"/>
          <c:w val="0.38297900760101605"/>
          <c:h val="0.7078651685393258"/>
        </c:manualLayout>
      </c:layout>
      <c:radarChart>
        <c:radarStyle val="marker"/>
        <c:varyColors val="0"/>
        <c:ser>
          <c:idx val="0"/>
          <c:order val="0"/>
          <c:tx>
            <c:strRef>
              <c:f>店舗評価結果!$T$7</c:f>
              <c:strCache>
                <c:ptCount val="1"/>
                <c:pt idx="0">
                  <c:v>充足率</c:v>
                </c:pt>
              </c:strCache>
            </c:strRef>
          </c:tx>
          <c:spPr>
            <a:ln w="38100">
              <a:solidFill>
                <a:srgbClr val="000080"/>
              </a:solidFill>
              <a:prstDash val="solid"/>
            </a:ln>
          </c:spPr>
          <c:marker>
            <c:symbol val="none"/>
          </c:marker>
          <c:cat>
            <c:strRef>
              <c:f>店舗評価結果!$S$8:$S$12</c:f>
              <c:strCache>
                <c:ptCount val="5"/>
                <c:pt idx="0">
                  <c:v>１．エネルギー／温暖化ガス</c:v>
                </c:pt>
                <c:pt idx="1">
                  <c:v>２．水</c:v>
                </c:pt>
                <c:pt idx="2">
                  <c:v>３．資源利用／安全</c:v>
                </c:pt>
                <c:pt idx="3">
                  <c:v>４．生物多様性／敷地</c:v>
                </c:pt>
                <c:pt idx="4">
                  <c:v>５．屋内環境</c:v>
                </c:pt>
              </c:strCache>
            </c:strRef>
          </c:cat>
          <c:val>
            <c:numRef>
              <c:f>店舗評価結果!$T$8:$T$12</c:f>
              <c:numCache>
                <c:formatCode>0%</c:formatCode>
                <c:ptCount val="5"/>
                <c:pt idx="0">
                  <c:v>0.6</c:v>
                </c:pt>
                <c:pt idx="1">
                  <c:v>0.6</c:v>
                </c:pt>
                <c:pt idx="2">
                  <c:v>0.55000000000000004</c:v>
                </c:pt>
                <c:pt idx="3">
                  <c:v>0.6</c:v>
                </c:pt>
                <c:pt idx="4">
                  <c:v>0.9</c:v>
                </c:pt>
              </c:numCache>
            </c:numRef>
          </c:val>
          <c:extLst>
            <c:ext xmlns:c16="http://schemas.microsoft.com/office/drawing/2014/chart" uri="{C3380CC4-5D6E-409C-BE32-E72D297353CC}">
              <c16:uniqueId val="{00000000-64D4-4638-87FD-6D8AC9866FDE}"/>
            </c:ext>
          </c:extLst>
        </c:ser>
        <c:dLbls>
          <c:showLegendKey val="0"/>
          <c:showVal val="0"/>
          <c:showCatName val="0"/>
          <c:showSerName val="0"/>
          <c:showPercent val="0"/>
          <c:showBubbleSize val="0"/>
        </c:dLbls>
        <c:axId val="133055952"/>
        <c:axId val="133059088"/>
      </c:radarChart>
      <c:catAx>
        <c:axId val="13305595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33059088"/>
        <c:crosses val="autoZero"/>
        <c:auto val="0"/>
        <c:lblAlgn val="ctr"/>
        <c:lblOffset val="100"/>
        <c:noMultiLvlLbl val="0"/>
      </c:catAx>
      <c:valAx>
        <c:axId val="133059088"/>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33055952"/>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店舗評価結果!$X$1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7EE6-43DB-B5DE-4773D6C9F222}"/>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7EE6-43DB-B5DE-4773D6C9F222}"/>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7EE6-43DB-B5DE-4773D6C9F222}"/>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7EE6-43DB-B5DE-4773D6C9F222}"/>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7EE6-43DB-B5DE-4773D6C9F222}"/>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7EE6-43DB-B5DE-4773D6C9F222}"/>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7EE6-43DB-B5DE-4773D6C9F222}"/>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7EE6-43DB-B5DE-4773D6C9F222}"/>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7EE6-43DB-B5DE-4773D6C9F222}"/>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7EE6-43DB-B5DE-4773D6C9F222}"/>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7EE6-43DB-B5DE-4773D6C9F222}"/>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7EE6-43DB-B5DE-4773D6C9F222}"/>
              </c:ext>
            </c:extLst>
          </c:dPt>
          <c:cat>
            <c:strRef>
              <c:f>店舗評価結果!$W$2:$W$13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店舗評価結果!$X$2:$X$13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7EE6-43DB-B5DE-4773D6C9F222}"/>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0946-4DDC-AB26-36AC808ECD5A}"/>
              </c:ext>
            </c:extLst>
          </c:dPt>
          <c:cat>
            <c:strRef>
              <c:f>店舗評価結果!$W$16</c:f>
              <c:strCache>
                <c:ptCount val="1"/>
                <c:pt idx="0">
                  <c:v>SDGsRank(Ring)</c:v>
                </c:pt>
              </c:strCache>
            </c:strRef>
          </c:cat>
          <c:val>
            <c:numRef>
              <c:f>店舗評価結果!$X$16</c:f>
              <c:numCache>
                <c:formatCode>0.00</c:formatCode>
                <c:ptCount val="1"/>
                <c:pt idx="0">
                  <c:v>0</c:v>
                </c:pt>
              </c:numCache>
            </c:numRef>
          </c:val>
          <c:extLst>
            <c:ext xmlns:c16="http://schemas.microsoft.com/office/drawing/2014/chart" uri="{C3380CC4-5D6E-409C-BE32-E72D297353CC}">
              <c16:uniqueId val="{00000002-0946-4DDC-AB26-36AC808ECD5A}"/>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店舗評価結果!$W$16</c:f>
              <c:strCache>
                <c:ptCount val="1"/>
                <c:pt idx="0">
                  <c:v>SDGsRank(Ring)</c:v>
                </c:pt>
              </c:strCache>
            </c:strRef>
          </c:cat>
          <c:val>
            <c:numRef>
              <c:f>店舗評価結果!$X$17</c:f>
              <c:numCache>
                <c:formatCode>0.00</c:formatCode>
                <c:ptCount val="1"/>
                <c:pt idx="0">
                  <c:v>0</c:v>
                </c:pt>
              </c:numCache>
            </c:numRef>
          </c:val>
          <c:extLst>
            <c:ext xmlns:c16="http://schemas.microsoft.com/office/drawing/2014/chart" uri="{C3380CC4-5D6E-409C-BE32-E72D297353CC}">
              <c16:uniqueId val="{00000003-0946-4DDC-AB26-36AC808ECD5A}"/>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店舗評価結果!$Z$16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A8A2-460B-B123-263D39DAB63E}"/>
              </c:ext>
            </c:extLst>
          </c:dPt>
          <c:val>
            <c:numRef>
              <c:f>店舗評価結果!$Z$17</c:f>
              <c:numCache>
                <c:formatCode>0.0_ </c:formatCode>
                <c:ptCount val="1"/>
                <c:pt idx="0">
                  <c:v>0</c:v>
                </c:pt>
              </c:numCache>
            </c:numRef>
          </c:val>
          <c:extLst>
            <c:ext xmlns:c16="http://schemas.microsoft.com/office/drawing/2014/chart" uri="{C3380CC4-5D6E-409C-BE32-E72D297353CC}">
              <c16:uniqueId val="{00000002-A8A2-460B-B123-263D39DAB63E}"/>
            </c:ext>
          </c:extLst>
        </c:ser>
        <c:ser>
          <c:idx val="1"/>
          <c:order val="1"/>
          <c:tx>
            <c:strRef>
              <c:f>店舗評価結果!$AA$16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店舗評価結果!$AA$17</c:f>
              <c:numCache>
                <c:formatCode>General</c:formatCode>
                <c:ptCount val="1"/>
                <c:pt idx="0">
                  <c:v>0</c:v>
                </c:pt>
              </c:numCache>
            </c:numRef>
          </c:val>
          <c:extLst>
            <c:ext xmlns:c16="http://schemas.microsoft.com/office/drawing/2014/chart" uri="{C3380CC4-5D6E-409C-BE32-E72D297353CC}">
              <c16:uniqueId val="{00000003-A8A2-460B-B123-263D39DAB63E}"/>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物流評価結果!$S$16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物流評価結果!$S$17</c:f>
              <c:numCache>
                <c:formatCode>General</c:formatCode>
                <c:ptCount val="1"/>
                <c:pt idx="0">
                  <c:v>3</c:v>
                </c:pt>
              </c:numCache>
            </c:numRef>
          </c:val>
          <c:extLst>
            <c:ext xmlns:c16="http://schemas.microsoft.com/office/drawing/2014/chart" uri="{C3380CC4-5D6E-409C-BE32-E72D297353CC}">
              <c16:uniqueId val="{00000000-FBB8-49E5-B215-C4D776DC962E}"/>
            </c:ext>
          </c:extLst>
        </c:ser>
        <c:ser>
          <c:idx val="1"/>
          <c:order val="1"/>
          <c:tx>
            <c:strRef>
              <c:f>物流評価結果!$T$16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物流評価結果!$T$17</c:f>
              <c:numCache>
                <c:formatCode>General</c:formatCode>
                <c:ptCount val="1"/>
                <c:pt idx="0">
                  <c:v>2</c:v>
                </c:pt>
              </c:numCache>
            </c:numRef>
          </c:val>
          <c:extLst>
            <c:ext xmlns:c16="http://schemas.microsoft.com/office/drawing/2014/chart" uri="{C3380CC4-5D6E-409C-BE32-E72D297353CC}">
              <c16:uniqueId val="{00000001-FBB8-49E5-B215-C4D776DC962E}"/>
            </c:ext>
          </c:extLst>
        </c:ser>
        <c:dLbls>
          <c:showLegendKey val="0"/>
          <c:showVal val="0"/>
          <c:showCatName val="0"/>
          <c:showSerName val="0"/>
          <c:showPercent val="0"/>
          <c:showBubbleSize val="0"/>
        </c:dLbls>
        <c:gapWidth val="50"/>
        <c:overlap val="100"/>
        <c:axId val="133061832"/>
        <c:axId val="133054776"/>
      </c:barChart>
      <c:catAx>
        <c:axId val="133061832"/>
        <c:scaling>
          <c:orientation val="minMax"/>
        </c:scaling>
        <c:delete val="1"/>
        <c:axPos val="l"/>
        <c:numFmt formatCode="General" sourceLinked="1"/>
        <c:majorTickMark val="out"/>
        <c:minorTickMark val="none"/>
        <c:tickLblPos val="nextTo"/>
        <c:crossAx val="133054776"/>
        <c:crosses val="autoZero"/>
        <c:auto val="1"/>
        <c:lblAlgn val="ctr"/>
        <c:lblOffset val="100"/>
        <c:noMultiLvlLbl val="0"/>
      </c:catAx>
      <c:valAx>
        <c:axId val="133054776"/>
        <c:scaling>
          <c:orientation val="minMax"/>
        </c:scaling>
        <c:delete val="1"/>
        <c:axPos val="b"/>
        <c:numFmt formatCode="0%" sourceLinked="1"/>
        <c:majorTickMark val="out"/>
        <c:minorTickMark val="none"/>
        <c:tickLblPos val="nextTo"/>
        <c:crossAx val="133061832"/>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物流評価結果!$T$7</c:f>
              <c:strCache>
                <c:ptCount val="1"/>
                <c:pt idx="0">
                  <c:v>充足率</c:v>
                </c:pt>
              </c:strCache>
            </c:strRef>
          </c:tx>
          <c:spPr>
            <a:ln w="38100">
              <a:solidFill>
                <a:srgbClr val="000080"/>
              </a:solidFill>
              <a:prstDash val="solid"/>
            </a:ln>
          </c:spPr>
          <c:marker>
            <c:symbol val="none"/>
          </c:marker>
          <c:cat>
            <c:strRef>
              <c:f>物流評価結果!$S$8:$S$12</c:f>
              <c:strCache>
                <c:ptCount val="5"/>
                <c:pt idx="0">
                  <c:v>１．エネルギー／温暖化ガス</c:v>
                </c:pt>
                <c:pt idx="1">
                  <c:v>２．水</c:v>
                </c:pt>
                <c:pt idx="2">
                  <c:v>３．資源利用／安全</c:v>
                </c:pt>
                <c:pt idx="3">
                  <c:v>４．生物多様性／敷地</c:v>
                </c:pt>
                <c:pt idx="4">
                  <c:v>５．屋内環境</c:v>
                </c:pt>
              </c:strCache>
            </c:strRef>
          </c:cat>
          <c:val>
            <c:numRef>
              <c:f>物流評価結果!$T$8:$T$12</c:f>
              <c:numCache>
                <c:formatCode>0%</c:formatCode>
                <c:ptCount val="5"/>
                <c:pt idx="0">
                  <c:v>0.68571428571428572</c:v>
                </c:pt>
                <c:pt idx="1">
                  <c:v>0.6</c:v>
                </c:pt>
                <c:pt idx="2">
                  <c:v>0.53749999999999998</c:v>
                </c:pt>
                <c:pt idx="3">
                  <c:v>0.6</c:v>
                </c:pt>
                <c:pt idx="4">
                  <c:v>0.6</c:v>
                </c:pt>
              </c:numCache>
            </c:numRef>
          </c:val>
          <c:extLst>
            <c:ext xmlns:c16="http://schemas.microsoft.com/office/drawing/2014/chart" uri="{C3380CC4-5D6E-409C-BE32-E72D297353CC}">
              <c16:uniqueId val="{00000000-8396-405D-99CF-ABA868FD510E}"/>
            </c:ext>
          </c:extLst>
        </c:ser>
        <c:dLbls>
          <c:showLegendKey val="0"/>
          <c:showVal val="0"/>
          <c:showCatName val="0"/>
          <c:showSerName val="0"/>
          <c:showPercent val="0"/>
          <c:showBubbleSize val="0"/>
        </c:dLbls>
        <c:axId val="133059480"/>
        <c:axId val="133059872"/>
      </c:radarChart>
      <c:catAx>
        <c:axId val="13305948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33059872"/>
        <c:crosses val="autoZero"/>
        <c:auto val="0"/>
        <c:lblAlgn val="ctr"/>
        <c:lblOffset val="100"/>
        <c:noMultiLvlLbl val="0"/>
      </c:catAx>
      <c:valAx>
        <c:axId val="133059872"/>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33059480"/>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物流評価結果!$X$1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C6F1-4AE5-A231-F0DE73C29B33}"/>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C6F1-4AE5-A231-F0DE73C29B33}"/>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C6F1-4AE5-A231-F0DE73C29B33}"/>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C6F1-4AE5-A231-F0DE73C29B33}"/>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C6F1-4AE5-A231-F0DE73C29B33}"/>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C6F1-4AE5-A231-F0DE73C29B33}"/>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C6F1-4AE5-A231-F0DE73C29B33}"/>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C6F1-4AE5-A231-F0DE73C29B33}"/>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C6F1-4AE5-A231-F0DE73C29B33}"/>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C6F1-4AE5-A231-F0DE73C29B33}"/>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C6F1-4AE5-A231-F0DE73C29B33}"/>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C6F1-4AE5-A231-F0DE73C29B33}"/>
              </c:ext>
            </c:extLst>
          </c:dPt>
          <c:cat>
            <c:strRef>
              <c:f>物流評価結果!$W$2:$W$13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物流評価結果!$X$2:$X$13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C6F1-4AE5-A231-F0DE73C29B33}"/>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721D-453E-BAA7-AFB2FFE3251B}"/>
              </c:ext>
            </c:extLst>
          </c:dPt>
          <c:cat>
            <c:strRef>
              <c:f>物流評価結果!$W$16</c:f>
              <c:strCache>
                <c:ptCount val="1"/>
                <c:pt idx="0">
                  <c:v>SDGsRank(Ring)</c:v>
                </c:pt>
              </c:strCache>
            </c:strRef>
          </c:cat>
          <c:val>
            <c:numRef>
              <c:f>物流評価結果!$X$16</c:f>
              <c:numCache>
                <c:formatCode>0.00</c:formatCode>
                <c:ptCount val="1"/>
                <c:pt idx="0">
                  <c:v>0</c:v>
                </c:pt>
              </c:numCache>
            </c:numRef>
          </c:val>
          <c:extLst>
            <c:ext xmlns:c16="http://schemas.microsoft.com/office/drawing/2014/chart" uri="{C3380CC4-5D6E-409C-BE32-E72D297353CC}">
              <c16:uniqueId val="{00000002-721D-453E-BAA7-AFB2FFE3251B}"/>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物流評価結果!$W$16</c:f>
              <c:strCache>
                <c:ptCount val="1"/>
                <c:pt idx="0">
                  <c:v>SDGsRank(Ring)</c:v>
                </c:pt>
              </c:strCache>
            </c:strRef>
          </c:cat>
          <c:val>
            <c:numRef>
              <c:f>物流評価結果!$X$17</c:f>
              <c:numCache>
                <c:formatCode>0.00</c:formatCode>
                <c:ptCount val="1"/>
                <c:pt idx="0">
                  <c:v>0</c:v>
                </c:pt>
              </c:numCache>
            </c:numRef>
          </c:val>
          <c:extLst>
            <c:ext xmlns:c16="http://schemas.microsoft.com/office/drawing/2014/chart" uri="{C3380CC4-5D6E-409C-BE32-E72D297353CC}">
              <c16:uniqueId val="{00000003-721D-453E-BAA7-AFB2FFE3251B}"/>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物流評価結果!$Z$16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C723-44D4-A5F5-1502D2993174}"/>
              </c:ext>
            </c:extLst>
          </c:dPt>
          <c:val>
            <c:numRef>
              <c:f>物流評価結果!$Z$17</c:f>
              <c:numCache>
                <c:formatCode>0.0_ </c:formatCode>
                <c:ptCount val="1"/>
                <c:pt idx="0">
                  <c:v>0</c:v>
                </c:pt>
              </c:numCache>
            </c:numRef>
          </c:val>
          <c:extLst>
            <c:ext xmlns:c16="http://schemas.microsoft.com/office/drawing/2014/chart" uri="{C3380CC4-5D6E-409C-BE32-E72D297353CC}">
              <c16:uniqueId val="{00000002-C723-44D4-A5F5-1502D2993174}"/>
            </c:ext>
          </c:extLst>
        </c:ser>
        <c:ser>
          <c:idx val="1"/>
          <c:order val="1"/>
          <c:tx>
            <c:strRef>
              <c:f>物流評価結果!$AA$16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物流評価結果!$AA$17</c:f>
              <c:numCache>
                <c:formatCode>General</c:formatCode>
                <c:ptCount val="1"/>
                <c:pt idx="0">
                  <c:v>0</c:v>
                </c:pt>
              </c:numCache>
            </c:numRef>
          </c:val>
          <c:extLst>
            <c:ext xmlns:c16="http://schemas.microsoft.com/office/drawing/2014/chart" uri="{C3380CC4-5D6E-409C-BE32-E72D297353CC}">
              <c16:uniqueId val="{00000003-C723-44D4-A5F5-1502D2993174}"/>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ホテル評価結果!$S$16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ホテル評価結果!$S$17</c:f>
              <c:numCache>
                <c:formatCode>General</c:formatCode>
                <c:ptCount val="1"/>
                <c:pt idx="0">
                  <c:v>3</c:v>
                </c:pt>
              </c:numCache>
            </c:numRef>
          </c:val>
          <c:extLst>
            <c:ext xmlns:c16="http://schemas.microsoft.com/office/drawing/2014/chart" uri="{C3380CC4-5D6E-409C-BE32-E72D297353CC}">
              <c16:uniqueId val="{00000000-FED6-4B37-BD74-2DA987938F19}"/>
            </c:ext>
          </c:extLst>
        </c:ser>
        <c:ser>
          <c:idx val="1"/>
          <c:order val="1"/>
          <c:tx>
            <c:strRef>
              <c:f>ホテル評価結果!$T$16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ホテル評価結果!$T$17</c:f>
              <c:numCache>
                <c:formatCode>General</c:formatCode>
                <c:ptCount val="1"/>
                <c:pt idx="0">
                  <c:v>2</c:v>
                </c:pt>
              </c:numCache>
            </c:numRef>
          </c:val>
          <c:extLst>
            <c:ext xmlns:c16="http://schemas.microsoft.com/office/drawing/2014/chart" uri="{C3380CC4-5D6E-409C-BE32-E72D297353CC}">
              <c16:uniqueId val="{00000001-FED6-4B37-BD74-2DA987938F19}"/>
            </c:ext>
          </c:extLst>
        </c:ser>
        <c:dLbls>
          <c:showLegendKey val="0"/>
          <c:showVal val="0"/>
          <c:showCatName val="0"/>
          <c:showSerName val="0"/>
          <c:showPercent val="0"/>
          <c:showBubbleSize val="0"/>
        </c:dLbls>
        <c:gapWidth val="50"/>
        <c:overlap val="100"/>
        <c:axId val="131528672"/>
        <c:axId val="131530240"/>
      </c:barChart>
      <c:catAx>
        <c:axId val="131528672"/>
        <c:scaling>
          <c:orientation val="minMax"/>
        </c:scaling>
        <c:delete val="1"/>
        <c:axPos val="l"/>
        <c:numFmt formatCode="General" sourceLinked="1"/>
        <c:majorTickMark val="out"/>
        <c:minorTickMark val="none"/>
        <c:tickLblPos val="nextTo"/>
        <c:crossAx val="131530240"/>
        <c:crosses val="autoZero"/>
        <c:auto val="1"/>
        <c:lblAlgn val="ctr"/>
        <c:lblOffset val="100"/>
        <c:noMultiLvlLbl val="0"/>
      </c:catAx>
      <c:valAx>
        <c:axId val="131530240"/>
        <c:scaling>
          <c:orientation val="minMax"/>
        </c:scaling>
        <c:delete val="1"/>
        <c:axPos val="b"/>
        <c:numFmt formatCode="0%" sourceLinked="1"/>
        <c:majorTickMark val="out"/>
        <c:minorTickMark val="none"/>
        <c:tickLblPos val="nextTo"/>
        <c:crossAx val="131528672"/>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ホテル評価結果!$T$7</c:f>
              <c:strCache>
                <c:ptCount val="1"/>
                <c:pt idx="0">
                  <c:v>充足率</c:v>
                </c:pt>
              </c:strCache>
            </c:strRef>
          </c:tx>
          <c:spPr>
            <a:ln w="38100">
              <a:solidFill>
                <a:srgbClr val="000080"/>
              </a:solidFill>
              <a:prstDash val="solid"/>
            </a:ln>
          </c:spPr>
          <c:marker>
            <c:symbol val="none"/>
          </c:marker>
          <c:cat>
            <c:strRef>
              <c:f>ホテル評価結果!$S$8:$S$12</c:f>
              <c:strCache>
                <c:ptCount val="5"/>
                <c:pt idx="0">
                  <c:v>１．エネルギー／温暖化ガス</c:v>
                </c:pt>
                <c:pt idx="1">
                  <c:v>２．水</c:v>
                </c:pt>
                <c:pt idx="2">
                  <c:v>３．資源利用／安全</c:v>
                </c:pt>
                <c:pt idx="3">
                  <c:v>４．生物多様性／敷地</c:v>
                </c:pt>
                <c:pt idx="4">
                  <c:v>５．屋内環境</c:v>
                </c:pt>
              </c:strCache>
            </c:strRef>
          </c:cat>
          <c:val>
            <c:numRef>
              <c:f>ホテル評価結果!$T$8:$T$12</c:f>
              <c:numCache>
                <c:formatCode>0%</c:formatCode>
                <c:ptCount val="5"/>
                <c:pt idx="0">
                  <c:v>0.74285714285714288</c:v>
                </c:pt>
                <c:pt idx="1">
                  <c:v>0.6</c:v>
                </c:pt>
                <c:pt idx="2">
                  <c:v>0.53749999999999998</c:v>
                </c:pt>
                <c:pt idx="3">
                  <c:v>0.6</c:v>
                </c:pt>
                <c:pt idx="4">
                  <c:v>0.6</c:v>
                </c:pt>
              </c:numCache>
            </c:numRef>
          </c:val>
          <c:extLst>
            <c:ext xmlns:c16="http://schemas.microsoft.com/office/drawing/2014/chart" uri="{C3380CC4-5D6E-409C-BE32-E72D297353CC}">
              <c16:uniqueId val="{00000000-D607-4061-9809-EEC7E3C8A2A6}"/>
            </c:ext>
          </c:extLst>
        </c:ser>
        <c:dLbls>
          <c:showLegendKey val="0"/>
          <c:showVal val="0"/>
          <c:showCatName val="0"/>
          <c:showSerName val="0"/>
          <c:showPercent val="0"/>
          <c:showBubbleSize val="0"/>
        </c:dLbls>
        <c:axId val="131530632"/>
        <c:axId val="131531024"/>
      </c:radarChart>
      <c:catAx>
        <c:axId val="13153063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31531024"/>
        <c:crosses val="autoZero"/>
        <c:auto val="0"/>
        <c:lblAlgn val="ctr"/>
        <c:lblOffset val="100"/>
        <c:noMultiLvlLbl val="0"/>
      </c:catAx>
      <c:valAx>
        <c:axId val="131531024"/>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31530632"/>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ホテル評価結果!$X$1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5534-4EA5-9F85-B943BFA6C6A4}"/>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5534-4EA5-9F85-B943BFA6C6A4}"/>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5534-4EA5-9F85-B943BFA6C6A4}"/>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5534-4EA5-9F85-B943BFA6C6A4}"/>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5534-4EA5-9F85-B943BFA6C6A4}"/>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5534-4EA5-9F85-B943BFA6C6A4}"/>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5534-4EA5-9F85-B943BFA6C6A4}"/>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5534-4EA5-9F85-B943BFA6C6A4}"/>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5534-4EA5-9F85-B943BFA6C6A4}"/>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5534-4EA5-9F85-B943BFA6C6A4}"/>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5534-4EA5-9F85-B943BFA6C6A4}"/>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5534-4EA5-9F85-B943BFA6C6A4}"/>
              </c:ext>
            </c:extLst>
          </c:dPt>
          <c:cat>
            <c:strRef>
              <c:f>ホテル評価結果!$W$2:$W$13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ホテル評価結果!$X$2:$X$13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5534-4EA5-9F85-B943BFA6C6A4}"/>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38FF-47D8-ADE0-BEC17999D330}"/>
              </c:ext>
            </c:extLst>
          </c:dPt>
          <c:cat>
            <c:strRef>
              <c:f>ホテル評価結果!$W$16</c:f>
              <c:strCache>
                <c:ptCount val="1"/>
                <c:pt idx="0">
                  <c:v>SDGsRank(Ring)</c:v>
                </c:pt>
              </c:strCache>
            </c:strRef>
          </c:cat>
          <c:val>
            <c:numRef>
              <c:f>ホテル評価結果!$X$16</c:f>
              <c:numCache>
                <c:formatCode>0.00</c:formatCode>
                <c:ptCount val="1"/>
                <c:pt idx="0">
                  <c:v>0</c:v>
                </c:pt>
              </c:numCache>
            </c:numRef>
          </c:val>
          <c:extLst>
            <c:ext xmlns:c16="http://schemas.microsoft.com/office/drawing/2014/chart" uri="{C3380CC4-5D6E-409C-BE32-E72D297353CC}">
              <c16:uniqueId val="{00000002-38FF-47D8-ADE0-BEC17999D330}"/>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ホテル評価結果!$W$16</c:f>
              <c:strCache>
                <c:ptCount val="1"/>
                <c:pt idx="0">
                  <c:v>SDGsRank(Ring)</c:v>
                </c:pt>
              </c:strCache>
            </c:strRef>
          </c:cat>
          <c:val>
            <c:numRef>
              <c:f>ホテル評価結果!$X$17</c:f>
              <c:numCache>
                <c:formatCode>0.00</c:formatCode>
                <c:ptCount val="1"/>
                <c:pt idx="0">
                  <c:v>0</c:v>
                </c:pt>
              </c:numCache>
            </c:numRef>
          </c:val>
          <c:extLst>
            <c:ext xmlns:c16="http://schemas.microsoft.com/office/drawing/2014/chart" uri="{C3380CC4-5D6E-409C-BE32-E72D297353CC}">
              <c16:uniqueId val="{00000003-38FF-47D8-ADE0-BEC17999D330}"/>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ホテル評価結果!$Z$16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F7F6-43C9-807D-D281A4C5723C}"/>
              </c:ext>
            </c:extLst>
          </c:dPt>
          <c:val>
            <c:numRef>
              <c:f>ホテル評価結果!$Z$17</c:f>
              <c:numCache>
                <c:formatCode>0.0_ </c:formatCode>
                <c:ptCount val="1"/>
                <c:pt idx="0">
                  <c:v>0</c:v>
                </c:pt>
              </c:numCache>
            </c:numRef>
          </c:val>
          <c:extLst>
            <c:ext xmlns:c16="http://schemas.microsoft.com/office/drawing/2014/chart" uri="{C3380CC4-5D6E-409C-BE32-E72D297353CC}">
              <c16:uniqueId val="{00000002-F7F6-43C9-807D-D281A4C5723C}"/>
            </c:ext>
          </c:extLst>
        </c:ser>
        <c:ser>
          <c:idx val="1"/>
          <c:order val="1"/>
          <c:tx>
            <c:strRef>
              <c:f>ホテル評価結果!$AA$16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ホテル評価結果!$AA$17</c:f>
              <c:numCache>
                <c:formatCode>General</c:formatCode>
                <c:ptCount val="1"/>
                <c:pt idx="0">
                  <c:v>0</c:v>
                </c:pt>
              </c:numCache>
            </c:numRef>
          </c:val>
          <c:extLst>
            <c:ext xmlns:c16="http://schemas.microsoft.com/office/drawing/2014/chart" uri="{C3380CC4-5D6E-409C-BE32-E72D297353CC}">
              <c16:uniqueId val="{00000003-F7F6-43C9-807D-D281A4C5723C}"/>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集合住宅評価結果!$S$16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集合住宅評価結果!$S$17</c:f>
              <c:numCache>
                <c:formatCode>General</c:formatCode>
                <c:ptCount val="1"/>
                <c:pt idx="0">
                  <c:v>3</c:v>
                </c:pt>
              </c:numCache>
            </c:numRef>
          </c:val>
          <c:extLst>
            <c:ext xmlns:c16="http://schemas.microsoft.com/office/drawing/2014/chart" uri="{C3380CC4-5D6E-409C-BE32-E72D297353CC}">
              <c16:uniqueId val="{00000000-F440-4CFF-9136-1DB963450A67}"/>
            </c:ext>
          </c:extLst>
        </c:ser>
        <c:ser>
          <c:idx val="1"/>
          <c:order val="1"/>
          <c:tx>
            <c:strRef>
              <c:f>集合住宅評価結果!$T$16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集合住宅評価結果!$T$17</c:f>
              <c:numCache>
                <c:formatCode>General</c:formatCode>
                <c:ptCount val="1"/>
                <c:pt idx="0">
                  <c:v>2</c:v>
                </c:pt>
              </c:numCache>
            </c:numRef>
          </c:val>
          <c:extLst>
            <c:ext xmlns:c16="http://schemas.microsoft.com/office/drawing/2014/chart" uri="{C3380CC4-5D6E-409C-BE32-E72D297353CC}">
              <c16:uniqueId val="{00000001-F440-4CFF-9136-1DB963450A67}"/>
            </c:ext>
          </c:extLst>
        </c:ser>
        <c:dLbls>
          <c:showLegendKey val="0"/>
          <c:showVal val="0"/>
          <c:showCatName val="0"/>
          <c:showSerName val="0"/>
          <c:showPercent val="0"/>
          <c:showBubbleSize val="0"/>
        </c:dLbls>
        <c:gapWidth val="50"/>
        <c:overlap val="100"/>
        <c:axId val="133060264"/>
        <c:axId val="133061048"/>
      </c:barChart>
      <c:catAx>
        <c:axId val="133060264"/>
        <c:scaling>
          <c:orientation val="minMax"/>
        </c:scaling>
        <c:delete val="1"/>
        <c:axPos val="l"/>
        <c:numFmt formatCode="General" sourceLinked="1"/>
        <c:majorTickMark val="out"/>
        <c:minorTickMark val="none"/>
        <c:tickLblPos val="nextTo"/>
        <c:crossAx val="133061048"/>
        <c:crosses val="autoZero"/>
        <c:auto val="1"/>
        <c:lblAlgn val="ctr"/>
        <c:lblOffset val="100"/>
        <c:noMultiLvlLbl val="0"/>
      </c:catAx>
      <c:valAx>
        <c:axId val="133061048"/>
        <c:scaling>
          <c:orientation val="minMax"/>
        </c:scaling>
        <c:delete val="1"/>
        <c:axPos val="b"/>
        <c:numFmt formatCode="0%" sourceLinked="1"/>
        <c:majorTickMark val="out"/>
        <c:minorTickMark val="none"/>
        <c:tickLblPos val="nextTo"/>
        <c:crossAx val="133060264"/>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集合住宅評価結果!$T$7</c:f>
              <c:strCache>
                <c:ptCount val="1"/>
                <c:pt idx="0">
                  <c:v>充足率</c:v>
                </c:pt>
              </c:strCache>
            </c:strRef>
          </c:tx>
          <c:spPr>
            <a:ln w="38100">
              <a:solidFill>
                <a:srgbClr val="000080"/>
              </a:solidFill>
              <a:prstDash val="solid"/>
            </a:ln>
          </c:spPr>
          <c:marker>
            <c:symbol val="none"/>
          </c:marker>
          <c:cat>
            <c:strRef>
              <c:f>集合住宅評価結果!$S$8:$S$12</c:f>
              <c:strCache>
                <c:ptCount val="5"/>
                <c:pt idx="0">
                  <c:v>１．エネルギー／温暖化ガス</c:v>
                </c:pt>
                <c:pt idx="1">
                  <c:v>２．水</c:v>
                </c:pt>
                <c:pt idx="2">
                  <c:v>３．資源利用／安全</c:v>
                </c:pt>
                <c:pt idx="3">
                  <c:v>４．生物多様性／敷地</c:v>
                </c:pt>
                <c:pt idx="4">
                  <c:v>５．屋内環境</c:v>
                </c:pt>
              </c:strCache>
            </c:strRef>
          </c:cat>
          <c:val>
            <c:numRef>
              <c:f>集合住宅評価結果!$T$8:$T$12</c:f>
              <c:numCache>
                <c:formatCode>0%</c:formatCode>
                <c:ptCount val="5"/>
                <c:pt idx="0">
                  <c:v>0.76666666666666672</c:v>
                </c:pt>
                <c:pt idx="1">
                  <c:v>0.6</c:v>
                </c:pt>
                <c:pt idx="2">
                  <c:v>0.53749999999999998</c:v>
                </c:pt>
                <c:pt idx="3">
                  <c:v>0.6</c:v>
                </c:pt>
                <c:pt idx="4">
                  <c:v>0.48333333333333328</c:v>
                </c:pt>
              </c:numCache>
            </c:numRef>
          </c:val>
          <c:extLst>
            <c:ext xmlns:c16="http://schemas.microsoft.com/office/drawing/2014/chart" uri="{C3380CC4-5D6E-409C-BE32-E72D297353CC}">
              <c16:uniqueId val="{00000000-93AB-4B07-915F-F3D4D5B76091}"/>
            </c:ext>
          </c:extLst>
        </c:ser>
        <c:dLbls>
          <c:showLegendKey val="0"/>
          <c:showVal val="0"/>
          <c:showCatName val="0"/>
          <c:showSerName val="0"/>
          <c:showPercent val="0"/>
          <c:showBubbleSize val="0"/>
        </c:dLbls>
        <c:axId val="133055168"/>
        <c:axId val="186450072"/>
      </c:radarChart>
      <c:catAx>
        <c:axId val="133055168"/>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86450072"/>
        <c:crosses val="autoZero"/>
        <c:auto val="0"/>
        <c:lblAlgn val="ctr"/>
        <c:lblOffset val="100"/>
        <c:noMultiLvlLbl val="0"/>
      </c:catAx>
      <c:valAx>
        <c:axId val="186450072"/>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33055168"/>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集合住宅評価結果!$X$1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D35C-428D-8410-E9DB133BCB39}"/>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D35C-428D-8410-E9DB133BCB39}"/>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D35C-428D-8410-E9DB133BCB39}"/>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D35C-428D-8410-E9DB133BCB39}"/>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D35C-428D-8410-E9DB133BCB39}"/>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D35C-428D-8410-E9DB133BCB39}"/>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D35C-428D-8410-E9DB133BCB39}"/>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D35C-428D-8410-E9DB133BCB39}"/>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D35C-428D-8410-E9DB133BCB39}"/>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D35C-428D-8410-E9DB133BCB39}"/>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D35C-428D-8410-E9DB133BCB39}"/>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D35C-428D-8410-E9DB133BCB39}"/>
              </c:ext>
            </c:extLst>
          </c:dPt>
          <c:cat>
            <c:strRef>
              <c:f>集合住宅評価結果!$W$2:$W$13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集合住宅評価結果!$X$2:$X$13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D35C-428D-8410-E9DB133BCB39}"/>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A6A5-4AD9-8D96-19C780BD4D41}"/>
              </c:ext>
            </c:extLst>
          </c:dPt>
          <c:cat>
            <c:strRef>
              <c:f>集合住宅評価結果!$W$16</c:f>
              <c:strCache>
                <c:ptCount val="1"/>
                <c:pt idx="0">
                  <c:v>SDGsRank(Ring)</c:v>
                </c:pt>
              </c:strCache>
            </c:strRef>
          </c:cat>
          <c:val>
            <c:numRef>
              <c:f>集合住宅評価結果!$X$16</c:f>
              <c:numCache>
                <c:formatCode>0.00</c:formatCode>
                <c:ptCount val="1"/>
                <c:pt idx="0">
                  <c:v>0</c:v>
                </c:pt>
              </c:numCache>
            </c:numRef>
          </c:val>
          <c:extLst>
            <c:ext xmlns:c16="http://schemas.microsoft.com/office/drawing/2014/chart" uri="{C3380CC4-5D6E-409C-BE32-E72D297353CC}">
              <c16:uniqueId val="{00000002-A6A5-4AD9-8D96-19C780BD4D41}"/>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集合住宅評価結果!$W$16</c:f>
              <c:strCache>
                <c:ptCount val="1"/>
                <c:pt idx="0">
                  <c:v>SDGsRank(Ring)</c:v>
                </c:pt>
              </c:strCache>
            </c:strRef>
          </c:cat>
          <c:val>
            <c:numRef>
              <c:f>集合住宅評価結果!$X$17</c:f>
              <c:numCache>
                <c:formatCode>0.00</c:formatCode>
                <c:ptCount val="1"/>
                <c:pt idx="0">
                  <c:v>0</c:v>
                </c:pt>
              </c:numCache>
            </c:numRef>
          </c:val>
          <c:extLst>
            <c:ext xmlns:c16="http://schemas.microsoft.com/office/drawing/2014/chart" uri="{C3380CC4-5D6E-409C-BE32-E72D297353CC}">
              <c16:uniqueId val="{00000003-A6A5-4AD9-8D96-19C780BD4D41}"/>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集合住宅評価結果!$Z$16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3615-4F2E-BBC5-E62EFDA31D1B}"/>
              </c:ext>
            </c:extLst>
          </c:dPt>
          <c:val>
            <c:numRef>
              <c:f>集合住宅評価結果!$Z$17</c:f>
              <c:numCache>
                <c:formatCode>0.0_ </c:formatCode>
                <c:ptCount val="1"/>
                <c:pt idx="0">
                  <c:v>0</c:v>
                </c:pt>
              </c:numCache>
            </c:numRef>
          </c:val>
          <c:extLst>
            <c:ext xmlns:c16="http://schemas.microsoft.com/office/drawing/2014/chart" uri="{C3380CC4-5D6E-409C-BE32-E72D297353CC}">
              <c16:uniqueId val="{00000002-3615-4F2E-BBC5-E62EFDA31D1B}"/>
            </c:ext>
          </c:extLst>
        </c:ser>
        <c:ser>
          <c:idx val="1"/>
          <c:order val="1"/>
          <c:tx>
            <c:strRef>
              <c:f>集合住宅評価結果!$AA$16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集合住宅評価結果!$AA$17</c:f>
              <c:numCache>
                <c:formatCode>General</c:formatCode>
                <c:ptCount val="1"/>
                <c:pt idx="0">
                  <c:v>0</c:v>
                </c:pt>
              </c:numCache>
            </c:numRef>
          </c:val>
          <c:extLst>
            <c:ext xmlns:c16="http://schemas.microsoft.com/office/drawing/2014/chart" uri="{C3380CC4-5D6E-409C-BE32-E72D297353CC}">
              <c16:uniqueId val="{00000003-3615-4F2E-BBC5-E62EFDA31D1B}"/>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オフィス改修評価結果!$S$16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オフィス改修評価結果!$S$17</c:f>
              <c:numCache>
                <c:formatCode>General</c:formatCode>
                <c:ptCount val="1"/>
                <c:pt idx="0">
                  <c:v>3</c:v>
                </c:pt>
              </c:numCache>
            </c:numRef>
          </c:val>
          <c:extLst>
            <c:ext xmlns:c16="http://schemas.microsoft.com/office/drawing/2014/chart" uri="{C3380CC4-5D6E-409C-BE32-E72D297353CC}">
              <c16:uniqueId val="{00000000-0A90-4135-89B0-E036D0956541}"/>
            </c:ext>
          </c:extLst>
        </c:ser>
        <c:ser>
          <c:idx val="1"/>
          <c:order val="1"/>
          <c:tx>
            <c:strRef>
              <c:f>オフィス改修評価結果!$T$16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オフィス改修評価結果!$T$17</c:f>
              <c:numCache>
                <c:formatCode>General</c:formatCode>
                <c:ptCount val="1"/>
                <c:pt idx="0">
                  <c:v>2</c:v>
                </c:pt>
              </c:numCache>
            </c:numRef>
          </c:val>
          <c:extLst>
            <c:ext xmlns:c16="http://schemas.microsoft.com/office/drawing/2014/chart" uri="{C3380CC4-5D6E-409C-BE32-E72D297353CC}">
              <c16:uniqueId val="{00000001-0A90-4135-89B0-E036D0956541}"/>
            </c:ext>
          </c:extLst>
        </c:ser>
        <c:dLbls>
          <c:showLegendKey val="0"/>
          <c:showVal val="0"/>
          <c:showCatName val="0"/>
          <c:showSerName val="0"/>
          <c:showPercent val="0"/>
          <c:showBubbleSize val="0"/>
        </c:dLbls>
        <c:gapWidth val="50"/>
        <c:overlap val="100"/>
        <c:axId val="186450464"/>
        <c:axId val="186456736"/>
      </c:barChart>
      <c:catAx>
        <c:axId val="186450464"/>
        <c:scaling>
          <c:orientation val="minMax"/>
        </c:scaling>
        <c:delete val="1"/>
        <c:axPos val="l"/>
        <c:numFmt formatCode="General" sourceLinked="1"/>
        <c:majorTickMark val="out"/>
        <c:minorTickMark val="none"/>
        <c:tickLblPos val="nextTo"/>
        <c:crossAx val="186456736"/>
        <c:crosses val="autoZero"/>
        <c:auto val="1"/>
        <c:lblAlgn val="ctr"/>
        <c:lblOffset val="100"/>
        <c:noMultiLvlLbl val="0"/>
      </c:catAx>
      <c:valAx>
        <c:axId val="186456736"/>
        <c:scaling>
          <c:orientation val="minMax"/>
        </c:scaling>
        <c:delete val="1"/>
        <c:axPos val="b"/>
        <c:numFmt formatCode="0%" sourceLinked="1"/>
        <c:majorTickMark val="out"/>
        <c:minorTickMark val="none"/>
        <c:tickLblPos val="nextTo"/>
        <c:crossAx val="186450464"/>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オフィス改修評価結果!$T$7</c:f>
              <c:strCache>
                <c:ptCount val="1"/>
                <c:pt idx="0">
                  <c:v>充足率</c:v>
                </c:pt>
              </c:strCache>
            </c:strRef>
          </c:tx>
          <c:spPr>
            <a:ln w="38100">
              <a:solidFill>
                <a:srgbClr val="000080"/>
              </a:solidFill>
              <a:prstDash val="solid"/>
            </a:ln>
          </c:spPr>
          <c:marker>
            <c:symbol val="none"/>
          </c:marker>
          <c:cat>
            <c:strRef>
              <c:f>オフィス改修評価結果!$S$8:$S$12</c:f>
              <c:strCache>
                <c:ptCount val="5"/>
                <c:pt idx="0">
                  <c:v>１．エネルギー／温暖化ガス</c:v>
                </c:pt>
                <c:pt idx="1">
                  <c:v>２．水</c:v>
                </c:pt>
                <c:pt idx="2">
                  <c:v>３．資源利用／安全</c:v>
                </c:pt>
                <c:pt idx="3">
                  <c:v>４．生物多様性／敷地</c:v>
                </c:pt>
                <c:pt idx="4">
                  <c:v>５．屋内環境</c:v>
                </c:pt>
              </c:strCache>
            </c:strRef>
          </c:cat>
          <c:val>
            <c:numRef>
              <c:f>オフィス改修評価結果!$T$8:$T$12</c:f>
              <c:numCache>
                <c:formatCode>0%</c:formatCode>
                <c:ptCount val="5"/>
                <c:pt idx="0">
                  <c:v>0.6</c:v>
                </c:pt>
                <c:pt idx="1">
                  <c:v>0.6</c:v>
                </c:pt>
                <c:pt idx="2">
                  <c:v>0.53749999999999998</c:v>
                </c:pt>
                <c:pt idx="3">
                  <c:v>0.6</c:v>
                </c:pt>
                <c:pt idx="4">
                  <c:v>0.8</c:v>
                </c:pt>
              </c:numCache>
            </c:numRef>
          </c:val>
          <c:extLst>
            <c:ext xmlns:c16="http://schemas.microsoft.com/office/drawing/2014/chart" uri="{C3380CC4-5D6E-409C-BE32-E72D297353CC}">
              <c16:uniqueId val="{00000000-D7BC-4E5E-88F9-34441C73ABFC}"/>
            </c:ext>
          </c:extLst>
        </c:ser>
        <c:dLbls>
          <c:showLegendKey val="0"/>
          <c:showVal val="0"/>
          <c:showCatName val="0"/>
          <c:showSerName val="0"/>
          <c:showPercent val="0"/>
          <c:showBubbleSize val="0"/>
        </c:dLbls>
        <c:axId val="186452424"/>
        <c:axId val="186454776"/>
      </c:radarChart>
      <c:catAx>
        <c:axId val="18645242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86454776"/>
        <c:crosses val="autoZero"/>
        <c:auto val="0"/>
        <c:lblAlgn val="ctr"/>
        <c:lblOffset val="100"/>
        <c:noMultiLvlLbl val="0"/>
      </c:catAx>
      <c:valAx>
        <c:axId val="186454776"/>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86452424"/>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オフィス改修評価結果!$T$23</c:f>
          <c:strCache>
            <c:ptCount val="1"/>
            <c:pt idx="0">
              <c:v>30,000m2以上</c:v>
            </c:pt>
          </c:strCache>
        </c:strRef>
      </c:tx>
      <c:layout>
        <c:manualLayout>
          <c:xMode val="edge"/>
          <c:yMode val="edge"/>
          <c:x val="0.41839414551244636"/>
          <c:y val="3.3766233766233764E-2"/>
        </c:manualLayout>
      </c:layout>
      <c:overlay val="0"/>
      <c:spPr>
        <a:noFill/>
        <a:ln w="25400">
          <a:noFill/>
        </a:ln>
      </c:spPr>
      <c:txPr>
        <a:bodyPr/>
        <a:lstStyle/>
        <a:p>
          <a:pPr>
            <a:defRPr sz="1400" b="1" i="0" u="none" strike="noStrike" baseline="0">
              <a:solidFill>
                <a:srgbClr val="000000"/>
              </a:solidFill>
              <a:latin typeface="ＭＳ Ｐゴシック"/>
              <a:ea typeface="ＭＳ Ｐゴシック"/>
              <a:cs typeface="ＭＳ Ｐゴシック"/>
            </a:defRPr>
          </a:pPr>
          <a:endParaRPr lang="ja-JP"/>
        </a:p>
      </c:txPr>
    </c:title>
    <c:autoTitleDeleted val="0"/>
    <c:plotArea>
      <c:layout>
        <c:manualLayout>
          <c:layoutTarget val="inner"/>
          <c:xMode val="edge"/>
          <c:yMode val="edge"/>
          <c:x val="0.11649016641452346"/>
          <c:y val="0.11948067101343222"/>
          <c:w val="0.86233043864978343"/>
          <c:h val="0.65194887879068475"/>
        </c:manualLayout>
      </c:layout>
      <c:barChart>
        <c:barDir val="col"/>
        <c:grouping val="clustered"/>
        <c:varyColors val="0"/>
        <c:ser>
          <c:idx val="1"/>
          <c:order val="0"/>
          <c:tx>
            <c:strRef>
              <c:f>オフィス改修評価結果!$T$23</c:f>
              <c:strCache>
                <c:ptCount val="1"/>
                <c:pt idx="0">
                  <c:v>30,000m2以上</c:v>
                </c:pt>
              </c:strCache>
            </c:strRef>
          </c:tx>
          <c:spPr>
            <a:solidFill>
              <a:srgbClr val="FFCC99"/>
            </a:solidFill>
            <a:ln w="12700">
              <a:solidFill>
                <a:srgbClr val="000000"/>
              </a:solidFill>
              <a:prstDash val="solid"/>
            </a:ln>
          </c:spPr>
          <c:invertIfNegative val="0"/>
          <c:cat>
            <c:numRef>
              <c:f>オフィス改修評価結果!$S$24:$S$48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オフィス改修評価結果!$T$24:$T$48</c:f>
              <c:numCache>
                <c:formatCode>General</c:formatCode>
                <c:ptCount val="25"/>
                <c:pt idx="0">
                  <c:v>1</c:v>
                </c:pt>
                <c:pt idx="1">
                  <c:v>2</c:v>
                </c:pt>
                <c:pt idx="2">
                  <c:v>3</c:v>
                </c:pt>
                <c:pt idx="3">
                  <c:v>4</c:v>
                </c:pt>
                <c:pt idx="4">
                  <c:v>8</c:v>
                </c:pt>
                <c:pt idx="5">
                  <c:v>9</c:v>
                </c:pt>
                <c:pt idx="6">
                  <c:v>22</c:v>
                </c:pt>
                <c:pt idx="7">
                  <c:v>22</c:v>
                </c:pt>
                <c:pt idx="8">
                  <c:v>34</c:v>
                </c:pt>
                <c:pt idx="9">
                  <c:v>39</c:v>
                </c:pt>
                <c:pt idx="10">
                  <c:v>44</c:v>
                </c:pt>
                <c:pt idx="11">
                  <c:v>32</c:v>
                </c:pt>
                <c:pt idx="12">
                  <c:v>23</c:v>
                </c:pt>
                <c:pt idx="13">
                  <c:v>23</c:v>
                </c:pt>
                <c:pt idx="14">
                  <c:v>14</c:v>
                </c:pt>
                <c:pt idx="15">
                  <c:v>5</c:v>
                </c:pt>
                <c:pt idx="16">
                  <c:v>6</c:v>
                </c:pt>
                <c:pt idx="17">
                  <c:v>12</c:v>
                </c:pt>
                <c:pt idx="18">
                  <c:v>3</c:v>
                </c:pt>
                <c:pt idx="19">
                  <c:v>5</c:v>
                </c:pt>
                <c:pt idx="20">
                  <c:v>4</c:v>
                </c:pt>
                <c:pt idx="21">
                  <c:v>1</c:v>
                </c:pt>
                <c:pt idx="22">
                  <c:v>2</c:v>
                </c:pt>
                <c:pt idx="23">
                  <c:v>3</c:v>
                </c:pt>
                <c:pt idx="24">
                  <c:v>0</c:v>
                </c:pt>
              </c:numCache>
            </c:numRef>
          </c:val>
          <c:extLst>
            <c:ext xmlns:c16="http://schemas.microsoft.com/office/drawing/2014/chart" uri="{C3380CC4-5D6E-409C-BE32-E72D297353CC}">
              <c16:uniqueId val="{00000000-6F66-4832-8872-DDB64D2B43AB}"/>
            </c:ext>
          </c:extLst>
        </c:ser>
        <c:ser>
          <c:idx val="2"/>
          <c:order val="1"/>
          <c:tx>
            <c:strRef>
              <c:f>オフィス改修評価結果!$U$23</c:f>
              <c:strCache>
                <c:ptCount val="1"/>
                <c:pt idx="0">
                  <c:v>評価建物</c:v>
                </c:pt>
              </c:strCache>
            </c:strRef>
          </c:tx>
          <c:spPr>
            <a:solidFill>
              <a:srgbClr val="FF9900"/>
            </a:solidFill>
            <a:ln w="12700">
              <a:solidFill>
                <a:srgbClr val="000000"/>
              </a:solidFill>
              <a:prstDash val="solid"/>
            </a:ln>
          </c:spPr>
          <c:invertIfNegative val="0"/>
          <c:cat>
            <c:numRef>
              <c:f>オフィス改修評価結果!$S$24:$S$48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オフィス改修評価結果!$U$24:$U$48</c:f>
              <c:numCache>
                <c:formatCode>General</c:formatCode>
                <c:ptCount val="25"/>
                <c:pt idx="0">
                  <c:v>1</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extLst>
            <c:ext xmlns:c16="http://schemas.microsoft.com/office/drawing/2014/chart" uri="{C3380CC4-5D6E-409C-BE32-E72D297353CC}">
              <c16:uniqueId val="{00000001-6F66-4832-8872-DDB64D2B43AB}"/>
            </c:ext>
          </c:extLst>
        </c:ser>
        <c:dLbls>
          <c:showLegendKey val="0"/>
          <c:showVal val="0"/>
          <c:showCatName val="0"/>
          <c:showSerName val="0"/>
          <c:showPercent val="0"/>
          <c:showBubbleSize val="0"/>
        </c:dLbls>
        <c:gapWidth val="20"/>
        <c:overlap val="100"/>
        <c:axId val="186450856"/>
        <c:axId val="186451248"/>
      </c:barChart>
      <c:catAx>
        <c:axId val="186450856"/>
        <c:scaling>
          <c:orientation val="minMax"/>
        </c:scaling>
        <c:delete val="0"/>
        <c:axPos val="b"/>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一次エネルギー消費原単位[実績値](MJ/㎡・年)</a:t>
                </a:r>
              </a:p>
            </c:rich>
          </c:tx>
          <c:layout>
            <c:manualLayout>
              <c:xMode val="edge"/>
              <c:yMode val="edge"/>
              <c:x val="0.30958565126409121"/>
              <c:y val="0.91688420765586121"/>
            </c:manualLayout>
          </c:layout>
          <c:overlay val="0"/>
          <c:spPr>
            <a:noFill/>
            <a:ln w="25400">
              <a:noFill/>
            </a:ln>
          </c:spPr>
        </c:title>
        <c:numFmt formatCode="#,##0_);[Red]\(#,##0\)" sourceLinked="1"/>
        <c:majorTickMark val="in"/>
        <c:minorTickMark val="none"/>
        <c:tickLblPos val="nextTo"/>
        <c:spPr>
          <a:ln w="3175">
            <a:solidFill>
              <a:srgbClr val="000000"/>
            </a:solidFill>
            <a:prstDash val="solid"/>
          </a:ln>
        </c:spPr>
        <c:txPr>
          <a:bodyPr rot="-540000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86451248"/>
        <c:crosses val="autoZero"/>
        <c:auto val="1"/>
        <c:lblAlgn val="ctr"/>
        <c:lblOffset val="100"/>
        <c:tickLblSkip val="1"/>
        <c:tickMarkSkip val="1"/>
        <c:noMultiLvlLbl val="0"/>
      </c:catAx>
      <c:valAx>
        <c:axId val="186451248"/>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件数(件）</a:t>
                </a:r>
              </a:p>
            </c:rich>
          </c:tx>
          <c:layout>
            <c:manualLayout>
              <c:xMode val="edge"/>
              <c:yMode val="edge"/>
              <c:x val="2.5906822161601964E-2"/>
              <c:y val="0.35584470123052797"/>
            </c:manualLayout>
          </c:layout>
          <c:overlay val="0"/>
          <c:spPr>
            <a:noFill/>
            <a:ln w="25400">
              <a:noFill/>
            </a:ln>
          </c:spPr>
        </c:title>
        <c:numFmt formatCode="General" sourceLinked="1"/>
        <c:majorTickMark val="in"/>
        <c:minorTickMark val="none"/>
        <c:tickLblPos val="nextTo"/>
        <c:spPr>
          <a:ln w="3175">
            <a:solidFill>
              <a:srgbClr val="000000"/>
            </a:solidFill>
            <a:prstDash val="solid"/>
          </a:ln>
        </c:spPr>
        <c:txPr>
          <a:bodyPr rot="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86450856"/>
        <c:crosses val="autoZero"/>
        <c:crossBetween val="between"/>
      </c:valAx>
      <c:spPr>
        <a:noFill/>
        <a:ln w="12700">
          <a:solidFill>
            <a:srgbClr val="808080"/>
          </a:solidFill>
          <a:prstDash val="solid"/>
        </a:ln>
      </c:spPr>
    </c:plotArea>
    <c:plotVisOnly val="0"/>
    <c:dispBlanksAs val="gap"/>
    <c:showDLblsOverMax val="0"/>
  </c:chart>
  <c:spPr>
    <a:noFill/>
    <a:ln w="3175">
      <a:solidFill>
        <a:srgbClr val="000000"/>
      </a:solidFill>
      <a:prstDash val="solid"/>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25" b="1" i="0" u="none" strike="noStrike" baseline="0">
                <a:solidFill>
                  <a:srgbClr val="000000"/>
                </a:solidFill>
                <a:latin typeface="ＭＳ Ｐゴシック"/>
                <a:ea typeface="ＭＳ Ｐゴシック"/>
                <a:cs typeface="ＭＳ Ｐゴシック"/>
              </a:defRPr>
            </a:pPr>
            <a:r>
              <a:rPr lang="ja-JP" altLang="en-US"/>
              <a:t>全データ</a:t>
            </a:r>
          </a:p>
        </c:rich>
      </c:tx>
      <c:layout>
        <c:manualLayout>
          <c:xMode val="edge"/>
          <c:yMode val="edge"/>
          <c:x val="0.45618571434226829"/>
          <c:y val="4.1096072668335808E-2"/>
        </c:manualLayout>
      </c:layout>
      <c:overlay val="0"/>
      <c:spPr>
        <a:noFill/>
        <a:ln w="25400">
          <a:noFill/>
        </a:ln>
      </c:spPr>
    </c:title>
    <c:autoTitleDeleted val="0"/>
    <c:plotArea>
      <c:layout>
        <c:manualLayout>
          <c:layoutTarget val="inner"/>
          <c:xMode val="edge"/>
          <c:yMode val="edge"/>
          <c:x val="0.11261956508830061"/>
          <c:y val="0.13356795621348039"/>
          <c:w val="0.86626572130972312"/>
          <c:h val="0.63291659713562343"/>
        </c:manualLayout>
      </c:layout>
      <c:barChart>
        <c:barDir val="col"/>
        <c:grouping val="clustered"/>
        <c:varyColors val="0"/>
        <c:ser>
          <c:idx val="1"/>
          <c:order val="0"/>
          <c:tx>
            <c:strRef>
              <c:f>オフィス改修評価結果!$T$54</c:f>
              <c:strCache>
                <c:ptCount val="1"/>
                <c:pt idx="0">
                  <c:v>水消費量[実績値](L/㎡・年)</c:v>
                </c:pt>
              </c:strCache>
            </c:strRef>
          </c:tx>
          <c:spPr>
            <a:solidFill>
              <a:srgbClr val="99CCFF"/>
            </a:solidFill>
            <a:ln w="12700">
              <a:solidFill>
                <a:srgbClr val="000000"/>
              </a:solidFill>
              <a:prstDash val="solid"/>
            </a:ln>
          </c:spPr>
          <c:invertIfNegative val="0"/>
          <c:cat>
            <c:numRef>
              <c:f>オフィス改修評価結果!$S$55:$S$79</c:f>
              <c:numCache>
                <c:formatCode>General</c:formatCode>
                <c:ptCount val="25"/>
                <c:pt idx="0">
                  <c:v>0</c:v>
                </c:pt>
                <c:pt idx="1">
                  <c:v>100</c:v>
                </c:pt>
                <c:pt idx="2">
                  <c:v>200</c:v>
                </c:pt>
                <c:pt idx="3">
                  <c:v>300</c:v>
                </c:pt>
                <c:pt idx="4">
                  <c:v>400</c:v>
                </c:pt>
                <c:pt idx="5">
                  <c:v>500</c:v>
                </c:pt>
                <c:pt idx="6">
                  <c:v>600</c:v>
                </c:pt>
                <c:pt idx="7">
                  <c:v>700</c:v>
                </c:pt>
                <c:pt idx="8">
                  <c:v>800</c:v>
                </c:pt>
                <c:pt idx="9">
                  <c:v>900</c:v>
                </c:pt>
                <c:pt idx="10">
                  <c:v>1000</c:v>
                </c:pt>
                <c:pt idx="11">
                  <c:v>1100</c:v>
                </c:pt>
                <c:pt idx="12">
                  <c:v>1200</c:v>
                </c:pt>
                <c:pt idx="13">
                  <c:v>1300</c:v>
                </c:pt>
                <c:pt idx="14">
                  <c:v>1400</c:v>
                </c:pt>
                <c:pt idx="15">
                  <c:v>1500</c:v>
                </c:pt>
                <c:pt idx="16">
                  <c:v>1600</c:v>
                </c:pt>
                <c:pt idx="17">
                  <c:v>1700</c:v>
                </c:pt>
                <c:pt idx="18">
                  <c:v>1800</c:v>
                </c:pt>
                <c:pt idx="19">
                  <c:v>1900</c:v>
                </c:pt>
                <c:pt idx="20">
                  <c:v>2000</c:v>
                </c:pt>
                <c:pt idx="21">
                  <c:v>2100</c:v>
                </c:pt>
                <c:pt idx="22">
                  <c:v>2200</c:v>
                </c:pt>
                <c:pt idx="23">
                  <c:v>2300</c:v>
                </c:pt>
                <c:pt idx="24">
                  <c:v>2400</c:v>
                </c:pt>
              </c:numCache>
            </c:numRef>
          </c:cat>
          <c:val>
            <c:numRef>
              <c:f>オフィス改修評価結果!$T$55:$T$79</c:f>
              <c:numCache>
                <c:formatCode>General</c:formatCode>
                <c:ptCount val="25"/>
                <c:pt idx="0">
                  <c:v>0</c:v>
                </c:pt>
                <c:pt idx="1">
                  <c:v>0</c:v>
                </c:pt>
                <c:pt idx="2">
                  <c:v>0</c:v>
                </c:pt>
                <c:pt idx="3">
                  <c:v>90</c:v>
                </c:pt>
                <c:pt idx="4">
                  <c:v>183</c:v>
                </c:pt>
                <c:pt idx="5">
                  <c:v>234</c:v>
                </c:pt>
                <c:pt idx="6">
                  <c:v>230</c:v>
                </c:pt>
                <c:pt idx="7">
                  <c:v>236</c:v>
                </c:pt>
                <c:pt idx="8">
                  <c:v>198</c:v>
                </c:pt>
                <c:pt idx="9">
                  <c:v>165</c:v>
                </c:pt>
                <c:pt idx="10">
                  <c:v>139</c:v>
                </c:pt>
                <c:pt idx="11">
                  <c:v>131</c:v>
                </c:pt>
                <c:pt idx="12">
                  <c:v>77</c:v>
                </c:pt>
                <c:pt idx="13">
                  <c:v>46</c:v>
                </c:pt>
                <c:pt idx="14">
                  <c:v>48</c:v>
                </c:pt>
                <c:pt idx="15">
                  <c:v>26</c:v>
                </c:pt>
                <c:pt idx="16">
                  <c:v>26</c:v>
                </c:pt>
                <c:pt idx="17">
                  <c:v>24</c:v>
                </c:pt>
                <c:pt idx="18">
                  <c:v>15</c:v>
                </c:pt>
                <c:pt idx="19">
                  <c:v>14</c:v>
                </c:pt>
                <c:pt idx="20">
                  <c:v>6</c:v>
                </c:pt>
                <c:pt idx="21">
                  <c:v>13</c:v>
                </c:pt>
                <c:pt idx="22">
                  <c:v>4</c:v>
                </c:pt>
                <c:pt idx="23">
                  <c:v>11</c:v>
                </c:pt>
                <c:pt idx="24">
                  <c:v>3</c:v>
                </c:pt>
              </c:numCache>
            </c:numRef>
          </c:val>
          <c:extLst>
            <c:ext xmlns:c16="http://schemas.microsoft.com/office/drawing/2014/chart" uri="{C3380CC4-5D6E-409C-BE32-E72D297353CC}">
              <c16:uniqueId val="{00000000-F730-4FDD-963F-1911C0D5E558}"/>
            </c:ext>
          </c:extLst>
        </c:ser>
        <c:ser>
          <c:idx val="2"/>
          <c:order val="1"/>
          <c:tx>
            <c:strRef>
              <c:f>オフィス改修評価結果!$U$54</c:f>
              <c:strCache>
                <c:ptCount val="1"/>
                <c:pt idx="0">
                  <c:v>評価建物</c:v>
                </c:pt>
              </c:strCache>
            </c:strRef>
          </c:tx>
          <c:spPr>
            <a:solidFill>
              <a:srgbClr val="3366FF"/>
            </a:solidFill>
            <a:ln w="12700">
              <a:solidFill>
                <a:srgbClr val="000000"/>
              </a:solidFill>
              <a:prstDash val="solid"/>
            </a:ln>
          </c:spPr>
          <c:invertIfNegative val="0"/>
          <c:cat>
            <c:numRef>
              <c:f>オフィス改修評価結果!$S$55:$S$79</c:f>
              <c:numCache>
                <c:formatCode>General</c:formatCode>
                <c:ptCount val="25"/>
                <c:pt idx="0">
                  <c:v>0</c:v>
                </c:pt>
                <c:pt idx="1">
                  <c:v>100</c:v>
                </c:pt>
                <c:pt idx="2">
                  <c:v>200</c:v>
                </c:pt>
                <c:pt idx="3">
                  <c:v>300</c:v>
                </c:pt>
                <c:pt idx="4">
                  <c:v>400</c:v>
                </c:pt>
                <c:pt idx="5">
                  <c:v>500</c:v>
                </c:pt>
                <c:pt idx="6">
                  <c:v>600</c:v>
                </c:pt>
                <c:pt idx="7">
                  <c:v>700</c:v>
                </c:pt>
                <c:pt idx="8">
                  <c:v>800</c:v>
                </c:pt>
                <c:pt idx="9">
                  <c:v>900</c:v>
                </c:pt>
                <c:pt idx="10">
                  <c:v>1000</c:v>
                </c:pt>
                <c:pt idx="11">
                  <c:v>1100</c:v>
                </c:pt>
                <c:pt idx="12">
                  <c:v>1200</c:v>
                </c:pt>
                <c:pt idx="13">
                  <c:v>1300</c:v>
                </c:pt>
                <c:pt idx="14">
                  <c:v>1400</c:v>
                </c:pt>
                <c:pt idx="15">
                  <c:v>1500</c:v>
                </c:pt>
                <c:pt idx="16">
                  <c:v>1600</c:v>
                </c:pt>
                <c:pt idx="17">
                  <c:v>1700</c:v>
                </c:pt>
                <c:pt idx="18">
                  <c:v>1800</c:v>
                </c:pt>
                <c:pt idx="19">
                  <c:v>1900</c:v>
                </c:pt>
                <c:pt idx="20">
                  <c:v>2000</c:v>
                </c:pt>
                <c:pt idx="21">
                  <c:v>2100</c:v>
                </c:pt>
                <c:pt idx="22">
                  <c:v>2200</c:v>
                </c:pt>
                <c:pt idx="23">
                  <c:v>2300</c:v>
                </c:pt>
                <c:pt idx="24">
                  <c:v>2400</c:v>
                </c:pt>
              </c:numCache>
            </c:numRef>
          </c:cat>
          <c:val>
            <c:numRef>
              <c:f>オフィス改修評価結果!$U$55:$U$79</c:f>
              <c:numCache>
                <c:formatCode>General</c:formatCode>
                <c:ptCount val="2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extLst>
            <c:ext xmlns:c16="http://schemas.microsoft.com/office/drawing/2014/chart" uri="{C3380CC4-5D6E-409C-BE32-E72D297353CC}">
              <c16:uniqueId val="{00000001-F730-4FDD-963F-1911C0D5E558}"/>
            </c:ext>
          </c:extLst>
        </c:ser>
        <c:dLbls>
          <c:showLegendKey val="0"/>
          <c:showVal val="0"/>
          <c:showCatName val="0"/>
          <c:showSerName val="0"/>
          <c:showPercent val="0"/>
          <c:showBubbleSize val="0"/>
        </c:dLbls>
        <c:gapWidth val="20"/>
        <c:overlap val="100"/>
        <c:axId val="186457520"/>
        <c:axId val="186452816"/>
      </c:barChart>
      <c:catAx>
        <c:axId val="186457520"/>
        <c:scaling>
          <c:orientation val="minMax"/>
        </c:scaling>
        <c:delete val="0"/>
        <c:axPos val="b"/>
        <c:title>
          <c:tx>
            <c:strRef>
              <c:f>オフィス改修評価結果!$T$54</c:f>
              <c:strCache>
                <c:ptCount val="1"/>
                <c:pt idx="0">
                  <c:v>水消費量[実績値](L/㎡・年)</c:v>
                </c:pt>
              </c:strCache>
            </c:strRef>
          </c:tx>
          <c:layout>
            <c:manualLayout>
              <c:xMode val="edge"/>
              <c:yMode val="edge"/>
              <c:x val="0.39690724179839515"/>
              <c:y val="0.90684930512718165"/>
            </c:manualLayout>
          </c:layout>
          <c:overlay val="0"/>
          <c:spPr>
            <a:noFill/>
            <a:ln w="25400">
              <a:noFill/>
            </a:ln>
          </c:spPr>
          <c:txPr>
            <a:bodyPr/>
            <a:lstStyle/>
            <a:p>
              <a:pPr>
                <a:defRPr sz="1100" b="1" i="0" u="none" strike="noStrike" baseline="0">
                  <a:solidFill>
                    <a:srgbClr val="000000"/>
                  </a:solidFill>
                  <a:latin typeface="ＭＳ Ｐゴシック"/>
                  <a:ea typeface="ＭＳ Ｐゴシック"/>
                  <a:cs typeface="ＭＳ Ｐゴシック"/>
                </a:defRPr>
              </a:pPr>
              <a:endParaRPr lang="ja-JP"/>
            </a:p>
          </c:txPr>
        </c:title>
        <c:numFmt formatCode="General" sourceLinked="1"/>
        <c:majorTickMark val="in"/>
        <c:minorTickMark val="none"/>
        <c:tickLblPos val="nextTo"/>
        <c:spPr>
          <a:ln w="3175">
            <a:solidFill>
              <a:srgbClr val="000000"/>
            </a:solidFill>
            <a:prstDash val="solid"/>
          </a:ln>
        </c:spPr>
        <c:txPr>
          <a:bodyPr rot="-540000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86452816"/>
        <c:crosses val="autoZero"/>
        <c:auto val="1"/>
        <c:lblAlgn val="ctr"/>
        <c:lblOffset val="100"/>
        <c:tickLblSkip val="1"/>
        <c:tickMarkSkip val="1"/>
        <c:noMultiLvlLbl val="0"/>
      </c:catAx>
      <c:valAx>
        <c:axId val="186452816"/>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件数(件）</a:t>
                </a:r>
              </a:p>
            </c:rich>
          </c:tx>
          <c:layout>
            <c:manualLayout>
              <c:xMode val="edge"/>
              <c:yMode val="edge"/>
              <c:x val="2.577324893211878E-2"/>
              <c:y val="0.38630114784039088"/>
            </c:manualLayout>
          </c:layout>
          <c:overlay val="0"/>
          <c:spPr>
            <a:noFill/>
            <a:ln w="25400">
              <a:noFill/>
            </a:ln>
          </c:spPr>
        </c:title>
        <c:numFmt formatCode="General" sourceLinked="1"/>
        <c:majorTickMark val="in"/>
        <c:minorTickMark val="none"/>
        <c:tickLblPos val="nextTo"/>
        <c:spPr>
          <a:ln w="3175">
            <a:solidFill>
              <a:srgbClr val="000000"/>
            </a:solidFill>
            <a:prstDash val="solid"/>
          </a:ln>
        </c:spPr>
        <c:txPr>
          <a:bodyPr rot="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86457520"/>
        <c:crosses val="autoZero"/>
        <c:crossBetween val="between"/>
      </c:valAx>
      <c:spPr>
        <a:noFill/>
        <a:ln w="12700">
          <a:solidFill>
            <a:srgbClr val="808080"/>
          </a:solidFill>
          <a:prstDash val="solid"/>
        </a:ln>
      </c:spPr>
    </c:plotArea>
    <c:plotVisOnly val="0"/>
    <c:dispBlanksAs val="gap"/>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オフィス改修評価結果!$X$1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7824-4B47-B174-557FF0960567}"/>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7824-4B47-B174-557FF0960567}"/>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7824-4B47-B174-557FF0960567}"/>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7824-4B47-B174-557FF0960567}"/>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7824-4B47-B174-557FF0960567}"/>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7824-4B47-B174-557FF0960567}"/>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7824-4B47-B174-557FF0960567}"/>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7824-4B47-B174-557FF0960567}"/>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7824-4B47-B174-557FF0960567}"/>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7824-4B47-B174-557FF0960567}"/>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7824-4B47-B174-557FF0960567}"/>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7824-4B47-B174-557FF0960567}"/>
              </c:ext>
            </c:extLst>
          </c:dPt>
          <c:cat>
            <c:strRef>
              <c:f>オフィス改修評価結果!$W$2:$W$13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オフィス改修評価結果!$X$2:$X$13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7824-4B47-B174-557FF0960567}"/>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55DD-4FCA-8E0F-B2A76AB16097}"/>
              </c:ext>
            </c:extLst>
          </c:dPt>
          <c:cat>
            <c:strRef>
              <c:f>オフィス改修評価結果!$W$16</c:f>
              <c:strCache>
                <c:ptCount val="1"/>
                <c:pt idx="0">
                  <c:v>SDGsRank(Ring)</c:v>
                </c:pt>
              </c:strCache>
            </c:strRef>
          </c:cat>
          <c:val>
            <c:numRef>
              <c:f>オフィス改修評価結果!$X$16</c:f>
              <c:numCache>
                <c:formatCode>0.00</c:formatCode>
                <c:ptCount val="1"/>
                <c:pt idx="0">
                  <c:v>0</c:v>
                </c:pt>
              </c:numCache>
            </c:numRef>
          </c:val>
          <c:extLst>
            <c:ext xmlns:c16="http://schemas.microsoft.com/office/drawing/2014/chart" uri="{C3380CC4-5D6E-409C-BE32-E72D297353CC}">
              <c16:uniqueId val="{00000002-55DD-4FCA-8E0F-B2A76AB16097}"/>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オフィス改修評価結果!$W$16</c:f>
              <c:strCache>
                <c:ptCount val="1"/>
                <c:pt idx="0">
                  <c:v>SDGsRank(Ring)</c:v>
                </c:pt>
              </c:strCache>
            </c:strRef>
          </c:cat>
          <c:val>
            <c:numRef>
              <c:f>オフィス改修評価結果!$X$17</c:f>
              <c:numCache>
                <c:formatCode>0.00</c:formatCode>
                <c:ptCount val="1"/>
                <c:pt idx="0">
                  <c:v>0</c:v>
                </c:pt>
              </c:numCache>
            </c:numRef>
          </c:val>
          <c:extLst>
            <c:ext xmlns:c16="http://schemas.microsoft.com/office/drawing/2014/chart" uri="{C3380CC4-5D6E-409C-BE32-E72D297353CC}">
              <c16:uniqueId val="{00000003-55DD-4FCA-8E0F-B2A76AB16097}"/>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オフィス改修評価結果!$Z$16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6D21-4DA5-8718-375D4C6D0EBF}"/>
              </c:ext>
            </c:extLst>
          </c:dPt>
          <c:val>
            <c:numRef>
              <c:f>オフィス改修評価結果!$Z$17</c:f>
              <c:numCache>
                <c:formatCode>0.0_ </c:formatCode>
                <c:ptCount val="1"/>
                <c:pt idx="0">
                  <c:v>0</c:v>
                </c:pt>
              </c:numCache>
            </c:numRef>
          </c:val>
          <c:extLst>
            <c:ext xmlns:c16="http://schemas.microsoft.com/office/drawing/2014/chart" uri="{C3380CC4-5D6E-409C-BE32-E72D297353CC}">
              <c16:uniqueId val="{00000002-6D21-4DA5-8718-375D4C6D0EBF}"/>
            </c:ext>
          </c:extLst>
        </c:ser>
        <c:ser>
          <c:idx val="1"/>
          <c:order val="1"/>
          <c:tx>
            <c:strRef>
              <c:f>オフィス改修評価結果!$AA$16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オフィス改修評価結果!$AA$17</c:f>
              <c:numCache>
                <c:formatCode>General</c:formatCode>
                <c:ptCount val="1"/>
                <c:pt idx="0">
                  <c:v>0</c:v>
                </c:pt>
              </c:numCache>
            </c:numRef>
          </c:val>
          <c:extLst>
            <c:ext xmlns:c16="http://schemas.microsoft.com/office/drawing/2014/chart" uri="{C3380CC4-5D6E-409C-BE32-E72D297353CC}">
              <c16:uniqueId val="{00000003-6D21-4DA5-8718-375D4C6D0EBF}"/>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29E-2"/>
          <c:y val="7.4074967146112392E-2"/>
          <c:w val="0.93918918918918914"/>
          <c:h val="0.87655377789566324"/>
        </c:manualLayout>
      </c:layout>
      <c:barChart>
        <c:barDir val="bar"/>
        <c:grouping val="percentStacked"/>
        <c:varyColors val="0"/>
        <c:ser>
          <c:idx val="0"/>
          <c:order val="0"/>
          <c:tx>
            <c:strRef>
              <c:f>店舗改修評価結果!$S$16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店舗改修評価結果!$S$17</c:f>
              <c:numCache>
                <c:formatCode>General</c:formatCode>
                <c:ptCount val="1"/>
                <c:pt idx="0">
                  <c:v>3</c:v>
                </c:pt>
              </c:numCache>
            </c:numRef>
          </c:val>
          <c:extLst>
            <c:ext xmlns:c16="http://schemas.microsoft.com/office/drawing/2014/chart" uri="{C3380CC4-5D6E-409C-BE32-E72D297353CC}">
              <c16:uniqueId val="{00000000-B98E-451C-9EBC-50BF20BF4BFC}"/>
            </c:ext>
          </c:extLst>
        </c:ser>
        <c:ser>
          <c:idx val="1"/>
          <c:order val="1"/>
          <c:tx>
            <c:strRef>
              <c:f>店舗改修評価結果!$T$16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店舗改修評価結果!$T$17</c:f>
              <c:numCache>
                <c:formatCode>General</c:formatCode>
                <c:ptCount val="1"/>
                <c:pt idx="0">
                  <c:v>2</c:v>
                </c:pt>
              </c:numCache>
            </c:numRef>
          </c:val>
          <c:extLst>
            <c:ext xmlns:c16="http://schemas.microsoft.com/office/drawing/2014/chart" uri="{C3380CC4-5D6E-409C-BE32-E72D297353CC}">
              <c16:uniqueId val="{00000001-B98E-451C-9EBC-50BF20BF4BFC}"/>
            </c:ext>
          </c:extLst>
        </c:ser>
        <c:dLbls>
          <c:showLegendKey val="0"/>
          <c:showVal val="0"/>
          <c:showCatName val="0"/>
          <c:showSerName val="0"/>
          <c:showPercent val="0"/>
          <c:showBubbleSize val="0"/>
        </c:dLbls>
        <c:gapWidth val="50"/>
        <c:overlap val="100"/>
        <c:axId val="186457128"/>
        <c:axId val="186453600"/>
      </c:barChart>
      <c:catAx>
        <c:axId val="186457128"/>
        <c:scaling>
          <c:orientation val="minMax"/>
        </c:scaling>
        <c:delete val="1"/>
        <c:axPos val="l"/>
        <c:numFmt formatCode="General" sourceLinked="1"/>
        <c:majorTickMark val="out"/>
        <c:minorTickMark val="none"/>
        <c:tickLblPos val="nextTo"/>
        <c:crossAx val="186453600"/>
        <c:crosses val="autoZero"/>
        <c:auto val="1"/>
        <c:lblAlgn val="ctr"/>
        <c:lblOffset val="100"/>
        <c:noMultiLvlLbl val="0"/>
      </c:catAx>
      <c:valAx>
        <c:axId val="186453600"/>
        <c:scaling>
          <c:orientation val="minMax"/>
        </c:scaling>
        <c:delete val="1"/>
        <c:axPos val="b"/>
        <c:numFmt formatCode="0%" sourceLinked="1"/>
        <c:majorTickMark val="out"/>
        <c:minorTickMark val="none"/>
        <c:tickLblPos val="nextTo"/>
        <c:crossAx val="186457128"/>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2809817226"/>
          <c:y val="4.2386429614944529E-2"/>
        </c:manualLayout>
      </c:layout>
      <c:overlay val="0"/>
      <c:spPr>
        <a:noFill/>
        <a:ln w="25400">
          <a:noFill/>
        </a:ln>
      </c:spPr>
    </c:title>
    <c:autoTitleDeleted val="0"/>
    <c:plotArea>
      <c:layout>
        <c:manualLayout>
          <c:layoutTarget val="inner"/>
          <c:xMode val="edge"/>
          <c:yMode val="edge"/>
          <c:x val="0.31914917300084672"/>
          <c:y val="0.21629213483146068"/>
          <c:w val="0.38297900760101605"/>
          <c:h val="0.7078651685393258"/>
        </c:manualLayout>
      </c:layout>
      <c:radarChart>
        <c:radarStyle val="marker"/>
        <c:varyColors val="0"/>
        <c:ser>
          <c:idx val="0"/>
          <c:order val="0"/>
          <c:tx>
            <c:strRef>
              <c:f>店舗改修評価結果!$T$7</c:f>
              <c:strCache>
                <c:ptCount val="1"/>
                <c:pt idx="0">
                  <c:v>充足率</c:v>
                </c:pt>
              </c:strCache>
            </c:strRef>
          </c:tx>
          <c:spPr>
            <a:ln w="38100">
              <a:solidFill>
                <a:srgbClr val="000080"/>
              </a:solidFill>
              <a:prstDash val="solid"/>
            </a:ln>
          </c:spPr>
          <c:marker>
            <c:symbol val="none"/>
          </c:marker>
          <c:cat>
            <c:strRef>
              <c:f>店舗改修評価結果!$S$8:$S$12</c:f>
              <c:strCache>
                <c:ptCount val="5"/>
                <c:pt idx="0">
                  <c:v>１．エネルギー／温暖化ガス</c:v>
                </c:pt>
                <c:pt idx="1">
                  <c:v>２．水</c:v>
                </c:pt>
                <c:pt idx="2">
                  <c:v>３．資源利用／安全</c:v>
                </c:pt>
                <c:pt idx="3">
                  <c:v>４．生物多様性／敷地</c:v>
                </c:pt>
                <c:pt idx="4">
                  <c:v>５．屋内環境</c:v>
                </c:pt>
              </c:strCache>
            </c:strRef>
          </c:cat>
          <c:val>
            <c:numRef>
              <c:f>店舗改修評価結果!$T$8:$T$12</c:f>
              <c:numCache>
                <c:formatCode>0%</c:formatCode>
                <c:ptCount val="5"/>
                <c:pt idx="0">
                  <c:v>0.6</c:v>
                </c:pt>
                <c:pt idx="1">
                  <c:v>0.7</c:v>
                </c:pt>
                <c:pt idx="2">
                  <c:v>0.55000000000000004</c:v>
                </c:pt>
                <c:pt idx="3">
                  <c:v>0.6</c:v>
                </c:pt>
                <c:pt idx="4">
                  <c:v>1.1000000000000001</c:v>
                </c:pt>
              </c:numCache>
            </c:numRef>
          </c:val>
          <c:extLst>
            <c:ext xmlns:c16="http://schemas.microsoft.com/office/drawing/2014/chart" uri="{C3380CC4-5D6E-409C-BE32-E72D297353CC}">
              <c16:uniqueId val="{00000000-22DE-4B51-B9E9-A881DFE9D74E}"/>
            </c:ext>
          </c:extLst>
        </c:ser>
        <c:dLbls>
          <c:showLegendKey val="0"/>
          <c:showVal val="0"/>
          <c:showCatName val="0"/>
          <c:showSerName val="0"/>
          <c:showPercent val="0"/>
          <c:showBubbleSize val="0"/>
        </c:dLbls>
        <c:axId val="186454384"/>
        <c:axId val="186455560"/>
      </c:radarChart>
      <c:catAx>
        <c:axId val="18645438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86455560"/>
        <c:crosses val="autoZero"/>
        <c:auto val="0"/>
        <c:lblAlgn val="ctr"/>
        <c:lblOffset val="100"/>
        <c:noMultiLvlLbl val="0"/>
      </c:catAx>
      <c:valAx>
        <c:axId val="186455560"/>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86454384"/>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店舗改修評価結果!$X$1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69BB-4CD5-9CE9-7B871C791E1D}"/>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69BB-4CD5-9CE9-7B871C791E1D}"/>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69BB-4CD5-9CE9-7B871C791E1D}"/>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69BB-4CD5-9CE9-7B871C791E1D}"/>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69BB-4CD5-9CE9-7B871C791E1D}"/>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69BB-4CD5-9CE9-7B871C791E1D}"/>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69BB-4CD5-9CE9-7B871C791E1D}"/>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69BB-4CD5-9CE9-7B871C791E1D}"/>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69BB-4CD5-9CE9-7B871C791E1D}"/>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69BB-4CD5-9CE9-7B871C791E1D}"/>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69BB-4CD5-9CE9-7B871C791E1D}"/>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69BB-4CD5-9CE9-7B871C791E1D}"/>
              </c:ext>
            </c:extLst>
          </c:dPt>
          <c:cat>
            <c:strRef>
              <c:f>店舗改修評価結果!$W$2:$W$13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店舗改修評価結果!$X$2:$X$13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69BB-4CD5-9CE9-7B871C791E1D}"/>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28C4-4A02-A01A-383D051A3F83}"/>
              </c:ext>
            </c:extLst>
          </c:dPt>
          <c:cat>
            <c:strRef>
              <c:f>店舗改修評価結果!$W$16</c:f>
              <c:strCache>
                <c:ptCount val="1"/>
                <c:pt idx="0">
                  <c:v>SDGsRank(Ring)</c:v>
                </c:pt>
              </c:strCache>
            </c:strRef>
          </c:cat>
          <c:val>
            <c:numRef>
              <c:f>店舗改修評価結果!$X$16</c:f>
              <c:numCache>
                <c:formatCode>0.00</c:formatCode>
                <c:ptCount val="1"/>
                <c:pt idx="0">
                  <c:v>0</c:v>
                </c:pt>
              </c:numCache>
            </c:numRef>
          </c:val>
          <c:extLst>
            <c:ext xmlns:c16="http://schemas.microsoft.com/office/drawing/2014/chart" uri="{C3380CC4-5D6E-409C-BE32-E72D297353CC}">
              <c16:uniqueId val="{00000002-28C4-4A02-A01A-383D051A3F83}"/>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店舗改修評価結果!$W$16</c:f>
              <c:strCache>
                <c:ptCount val="1"/>
                <c:pt idx="0">
                  <c:v>SDGsRank(Ring)</c:v>
                </c:pt>
              </c:strCache>
            </c:strRef>
          </c:cat>
          <c:val>
            <c:numRef>
              <c:f>店舗改修評価結果!$X$17</c:f>
              <c:numCache>
                <c:formatCode>0.00</c:formatCode>
                <c:ptCount val="1"/>
                <c:pt idx="0">
                  <c:v>0</c:v>
                </c:pt>
              </c:numCache>
            </c:numRef>
          </c:val>
          <c:extLst>
            <c:ext xmlns:c16="http://schemas.microsoft.com/office/drawing/2014/chart" uri="{C3380CC4-5D6E-409C-BE32-E72D297353CC}">
              <c16:uniqueId val="{00000003-28C4-4A02-A01A-383D051A3F83}"/>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店舗改修評価結果!$Z$16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2404-4CAF-B148-8E0AF70F61B5}"/>
              </c:ext>
            </c:extLst>
          </c:dPt>
          <c:val>
            <c:numRef>
              <c:f>店舗改修評価結果!$Z$17</c:f>
              <c:numCache>
                <c:formatCode>0.0_ </c:formatCode>
                <c:ptCount val="1"/>
                <c:pt idx="0">
                  <c:v>0</c:v>
                </c:pt>
              </c:numCache>
            </c:numRef>
          </c:val>
          <c:extLst>
            <c:ext xmlns:c16="http://schemas.microsoft.com/office/drawing/2014/chart" uri="{C3380CC4-5D6E-409C-BE32-E72D297353CC}">
              <c16:uniqueId val="{00000002-2404-4CAF-B148-8E0AF70F61B5}"/>
            </c:ext>
          </c:extLst>
        </c:ser>
        <c:ser>
          <c:idx val="1"/>
          <c:order val="1"/>
          <c:tx>
            <c:strRef>
              <c:f>店舗改修評価結果!$AA$16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店舗改修評価結果!$AA$17</c:f>
              <c:numCache>
                <c:formatCode>General</c:formatCode>
                <c:ptCount val="1"/>
                <c:pt idx="0">
                  <c:v>0</c:v>
                </c:pt>
              </c:numCache>
            </c:numRef>
          </c:val>
          <c:extLst>
            <c:ext xmlns:c16="http://schemas.microsoft.com/office/drawing/2014/chart" uri="{C3380CC4-5D6E-409C-BE32-E72D297353CC}">
              <c16:uniqueId val="{00000003-2404-4CAF-B148-8E0AF70F61B5}"/>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Radio" checked="Checked" firstButton="1" fmlaLink="$M$13" lockText="1" noThreeD="1"/>
</file>

<file path=xl/ctrlProps/ctrlProp2.xml><?xml version="1.0" encoding="utf-8"?>
<formControlPr xmlns="http://schemas.microsoft.com/office/spreadsheetml/2009/9/main" objectType="Radio" checked="Checked" firstButton="1" fmlaLink="$M$19"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CheckBox" fmlaLink="$N$76" lockText="1" noThreeD="1"/>
</file>

<file path=xl/ctrlProps/ctrlProp5.xml><?xml version="1.0" encoding="utf-8"?>
<formControlPr xmlns="http://schemas.microsoft.com/office/spreadsheetml/2009/9/main" objectType="CheckBox" fmlaLink="$N$77" lockText="1" noThreeD="1"/>
</file>

<file path=xl/ctrlProps/ctrlProp6.xml><?xml version="1.0" encoding="utf-8"?>
<formControlPr xmlns="http://schemas.microsoft.com/office/spreadsheetml/2009/9/main" objectType="CheckBox" fmlaLink="$N$78" lockText="1" noThreeD="1"/>
</file>

<file path=xl/ctrlProps/ctrlProp7.xml><?xml version="1.0" encoding="utf-8"?>
<formControlPr xmlns="http://schemas.microsoft.com/office/spreadsheetml/2009/9/main" objectType="CheckBox" fmlaLink="$N$55" lockText="1" noThreeD="1"/>
</file>

<file path=xl/ctrlProps/ctrlProp8.xml><?xml version="1.0" encoding="utf-8"?>
<formControlPr xmlns="http://schemas.microsoft.com/office/spreadsheetml/2009/9/main" objectType="CheckBox" fmlaLink="$N$56" lockText="1" noThreeD="1"/>
</file>

<file path=xl/ctrlProps/ctrlProp9.xml><?xml version="1.0" encoding="utf-8"?>
<formControlPr xmlns="http://schemas.microsoft.com/office/spreadsheetml/2009/9/main" objectType="CheckBox" fmlaLink="$N$52" lockText="1" noThreeD="1"/>
</file>

<file path=xl/ctrlProps/ctrlProp10.xml><?xml version="1.0" encoding="utf-8"?>
<formControlPr xmlns="http://schemas.microsoft.com/office/spreadsheetml/2009/9/main" objectType="CheckBox" fmlaLink="$N$25" lockText="1" noThreeD="1"/>
</file>

<file path=xl/ctrlProps/ctrlProp11.xml><?xml version="1.0" encoding="utf-8"?>
<formControlPr xmlns="http://schemas.microsoft.com/office/spreadsheetml/2009/9/main" objectType="CheckBox" fmlaLink="$N$14"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CheckBox" fmlaLink="$N$39" lockText="1" noThreeD="1"/>
</file>

<file path=xl/ctrlProps/ctrlProp15.xml><?xml version="1.0" encoding="utf-8"?>
<formControlPr xmlns="http://schemas.microsoft.com/office/spreadsheetml/2009/9/main" objectType="CheckBox" fmlaLink="$N$41" lockText="1" noThreeD="1"/>
</file>

<file path=xl/ctrlProps/ctrlProp16.xml><?xml version="1.0" encoding="utf-8"?>
<formControlPr xmlns="http://schemas.microsoft.com/office/spreadsheetml/2009/9/main" objectType="CheckBox" fmlaLink="$N$45" lockText="1" noThreeD="1"/>
</file>

<file path=xl/ctrlProps/ctrlProp17.xml><?xml version="1.0" encoding="utf-8"?>
<formControlPr xmlns="http://schemas.microsoft.com/office/spreadsheetml/2009/9/main" objectType="CheckBox" fmlaLink="$N$42" lockText="1" noThreeD="1"/>
</file>

<file path=xl/ctrlProps/ctrlProp18.xml><?xml version="1.0" encoding="utf-8"?>
<formControlPr xmlns="http://schemas.microsoft.com/office/spreadsheetml/2009/9/main" objectType="CheckBox" fmlaLink="$N$79" lockText="1" noThreeD="1"/>
</file>

<file path=xl/ctrlProps/ctrlProp19.xml><?xml version="1.0" encoding="utf-8"?>
<formControlPr xmlns="http://schemas.microsoft.com/office/spreadsheetml/2009/9/main" objectType="CheckBox" fmlaLink="$N$90" lockText="1" noThreeD="1"/>
</file>

<file path=xl/ctrlProps/ctrlProp20.xml><?xml version="1.0" encoding="utf-8"?>
<formControlPr xmlns="http://schemas.microsoft.com/office/spreadsheetml/2009/9/main" objectType="CheckBox" fmlaLink="$N$113" lockText="1" noThreeD="1"/>
</file>

<file path=xl/ctrlProps/ctrlProp21.xml><?xml version="1.0" encoding="utf-8"?>
<formControlPr xmlns="http://schemas.microsoft.com/office/spreadsheetml/2009/9/main" objectType="CheckBox" fmlaLink="$N$68" lockText="1" noThreeD="1"/>
</file>

<file path=xl/ctrlProps/ctrlProp22.xml><?xml version="1.0" encoding="utf-8"?>
<formControlPr xmlns="http://schemas.microsoft.com/office/spreadsheetml/2009/9/main" objectType="CheckBox" fmlaLink="$N$13" lockText="1"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checked="Checked" firstButton="1" fmlaLink="$M$24"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checked="Checked" firstButton="1" fmlaLink="$M$59"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Radio" lockText="1" noThreeD="1"/>
</file>

<file path=xl/ctrlProps/ctrlProp32.xml><?xml version="1.0" encoding="utf-8"?>
<formControlPr xmlns="http://schemas.microsoft.com/office/spreadsheetml/2009/9/main" objectType="GBox" noThreeD="1"/>
</file>

<file path=xl/ctrlProps/ctrlProp33.xml><?xml version="1.0" encoding="utf-8"?>
<formControlPr xmlns="http://schemas.microsoft.com/office/spreadsheetml/2009/9/main" objectType="Radio" checked="Checked" firstButton="1" fmlaLink="$M$60" lockText="1" noThreeD="1"/>
</file>

<file path=xl/ctrlProps/ctrlProp34.xml><?xml version="1.0" encoding="utf-8"?>
<formControlPr xmlns="http://schemas.microsoft.com/office/spreadsheetml/2009/9/main" objectType="Radio" lockText="1" noThreeD="1"/>
</file>

<file path=xl/ctrlProps/ctrlProp35.xml><?xml version="1.0" encoding="utf-8"?>
<formControlPr xmlns="http://schemas.microsoft.com/office/spreadsheetml/2009/9/main" objectType="Radio" lockText="1" noThreeD="1"/>
</file>

<file path=xl/ctrlProps/ctrlProp36.xml><?xml version="1.0" encoding="utf-8"?>
<formControlPr xmlns="http://schemas.microsoft.com/office/spreadsheetml/2009/9/main" objectType="GBox" noThreeD="1"/>
</file>

<file path=xl/ctrlProps/ctrlProp37.xml><?xml version="1.0" encoding="utf-8"?>
<formControlPr xmlns="http://schemas.microsoft.com/office/spreadsheetml/2009/9/main" objectType="Radio" checked="Checked" firstButton="1" fmlaLink="$M$80" lockText="1"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CheckBox" fmlaLink="$N$59" lockText="1" noThreeD="1"/>
</file>

<file path=xl/ctrlProps/ctrlProp40.xml><?xml version="1.0" encoding="utf-8"?>
<formControlPr xmlns="http://schemas.microsoft.com/office/spreadsheetml/2009/9/main" objectType="CheckBox" fmlaLink="$N$60" lockText="1" noThreeD="1"/>
</file>

<file path=xl/ctrlProps/ctrlProp41.xml><?xml version="1.0" encoding="utf-8"?>
<formControlPr xmlns="http://schemas.microsoft.com/office/spreadsheetml/2009/9/main" objectType="CheckBox" fmlaLink="$N$80" lockText="1" noThreeD="1"/>
</file>

<file path=xl/ctrlProps/ctrlProp42.xml><?xml version="1.0" encoding="utf-8"?>
<formControlPr xmlns="http://schemas.microsoft.com/office/spreadsheetml/2009/9/main" objectType="GBox" noThreeD="1"/>
</file>

<file path=xl/ctrlProps/ctrlProp43.xml><?xml version="1.0" encoding="utf-8"?>
<formControlPr xmlns="http://schemas.microsoft.com/office/spreadsheetml/2009/9/main" objectType="CheckBox" fmlaLink="$N$29" lockText="1" noThreeD="1"/>
</file>

<file path=xl/ctrlProps/ctrlProp44.xml><?xml version="1.0" encoding="utf-8"?>
<formControlPr xmlns="http://schemas.microsoft.com/office/spreadsheetml/2009/9/main" objectType="CheckBox" fmlaLink="$N$30" lockText="1" noThreeD="1"/>
</file>

<file path=xl/ctrlProps/ctrlProp45.xml><?xml version="1.0" encoding="utf-8"?>
<formControlPr xmlns="http://schemas.microsoft.com/office/spreadsheetml/2009/9/main" objectType="CheckBox" fmlaLink="$N$32" lockText="1" noThreeD="1"/>
</file>

<file path=xl/ctrlProps/ctrlProp46.xml><?xml version="1.0" encoding="utf-8"?>
<formControlPr xmlns="http://schemas.microsoft.com/office/spreadsheetml/2009/9/main" objectType="CheckBox" fmlaLink="$N$36" lockText="1" noThreeD="1"/>
</file>

<file path=xl/ctrlProps/ctrlProp47.xml><?xml version="1.0" encoding="utf-8"?>
<formControlPr xmlns="http://schemas.microsoft.com/office/spreadsheetml/2009/9/main" objectType="CheckBox" fmlaLink="$N$31" lockText="1" noThreeD="1"/>
</file>

<file path=xl/ctrlProps/ctrlProp48.xml><?xml version="1.0" encoding="utf-8"?>
<formControlPr xmlns="http://schemas.microsoft.com/office/spreadsheetml/2009/9/main" objectType="GBox" noThreeD="1"/>
</file>

<file path=xl/ctrlProps/ctrlProp49.xml><?xml version="1.0" encoding="utf-8"?>
<formControlPr xmlns="http://schemas.microsoft.com/office/spreadsheetml/2009/9/main" objectType="Radio" checked="Checked" firstButton="1" fmlaLink="$M$28"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Radio" checked="Checked" firstButton="1" fmlaLink="$M$33" lockText="1" noThreeD="1"/>
</file>

<file path=xl/ctrlProps/ctrlProp52.xml><?xml version="1.0" encoding="utf-8"?>
<formControlPr xmlns="http://schemas.microsoft.com/office/spreadsheetml/2009/9/main" objectType="Radio" lockText="1" noThreeD="1"/>
</file>

<file path=xl/ctrlProps/ctrlProp53.xml><?xml version="1.0" encoding="utf-8"?>
<formControlPr xmlns="http://schemas.microsoft.com/office/spreadsheetml/2009/9/main" objectType="CheckBox" fmlaLink="$N$28" lockText="1"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GBox" noThreeD="1"/>
</file>

<file path=xl/ctrlProps/ctrlProp56.xml><?xml version="1.0" encoding="utf-8"?>
<formControlPr xmlns="http://schemas.microsoft.com/office/spreadsheetml/2009/9/main" objectType="CheckBox" fmlaLink="$N$40" lockText="1" noThreeD="1"/>
</file>

<file path=xl/ctrlProps/ctrlProp57.xml><?xml version="1.0" encoding="utf-8"?>
<formControlPr xmlns="http://schemas.microsoft.com/office/spreadsheetml/2009/9/main" objectType="Radio" checked="Checked" firstButton="1" fmlaLink="$M$40" lockText="1" noThreeD="1"/>
</file>

<file path=xl/ctrlProps/ctrlProp58.xml><?xml version="1.0" encoding="utf-8"?>
<formControlPr xmlns="http://schemas.microsoft.com/office/spreadsheetml/2009/9/main" objectType="Radio" lockText="1" noThreeD="1"/>
</file>

<file path=xl/ctrlProps/ctrlProp59.xml><?xml version="1.0" encoding="utf-8"?>
<formControlPr xmlns="http://schemas.microsoft.com/office/spreadsheetml/2009/9/main" objectType="Radio" lockText="1"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Radio" checked="Checked" firstButton="1" fmlaLink="$M$41" lockText="1" noThreeD="1"/>
</file>

<file path=xl/ctrlProps/ctrlProp62.xml><?xml version="1.0" encoding="utf-8"?>
<formControlPr xmlns="http://schemas.microsoft.com/office/spreadsheetml/2009/9/main" objectType="Radio" lockText="1" noThreeD="1"/>
</file>

<file path=xl/ctrlProps/ctrlProp63.xml><?xml version="1.0" encoding="utf-8"?>
<formControlPr xmlns="http://schemas.microsoft.com/office/spreadsheetml/2009/9/main" objectType="Radio" lockText="1" noThreeD="1"/>
</file>

<file path=xl/ctrlProps/ctrlProp64.xml><?xml version="1.0" encoding="utf-8"?>
<formControlPr xmlns="http://schemas.microsoft.com/office/spreadsheetml/2009/9/main" objectType="GBox" noThreeD="1"/>
</file>

<file path=xl/ctrlProps/ctrlProp65.xml><?xml version="1.0" encoding="utf-8"?>
<formControlPr xmlns="http://schemas.microsoft.com/office/spreadsheetml/2009/9/main" objectType="Radio" checked="Checked" firstButton="1" fmlaLink="$M$44" lockText="1" noThreeD="1"/>
</file>

<file path=xl/ctrlProps/ctrlProp66.xml><?xml version="1.0" encoding="utf-8"?>
<formControlPr xmlns="http://schemas.microsoft.com/office/spreadsheetml/2009/9/main" objectType="Radio" lockText="1" noThreeD="1"/>
</file>

<file path=xl/ctrlProps/ctrlProp67.xml><?xml version="1.0" encoding="utf-8"?>
<formControlPr xmlns="http://schemas.microsoft.com/office/spreadsheetml/2009/9/main" objectType="GBox" noThreeD="1"/>
</file>

<file path=xl/ctrlProps/ctrlProp68.xml><?xml version="1.0" encoding="utf-8"?>
<formControlPr xmlns="http://schemas.microsoft.com/office/spreadsheetml/2009/9/main" objectType="Radio" checked="Checked" firstButton="1" fmlaLink="$M$46" lockText="1" noThreeD="1"/>
</file>

<file path=xl/ctrlProps/ctrlProp69.xml><?xml version="1.0" encoding="utf-8"?>
<formControlPr xmlns="http://schemas.microsoft.com/office/spreadsheetml/2009/9/main" objectType="Radio" lockText="1" noThreeD="1"/>
</file>

<file path=xl/ctrlProps/ctrlProp70.xml><?xml version="1.0" encoding="utf-8"?>
<formControlPr xmlns="http://schemas.microsoft.com/office/spreadsheetml/2009/9/main" objectType="Radio" lockText="1" noThreeD="1"/>
</file>

<file path=xl/ctrlProps/ctrlProp71.xml><?xml version="1.0" encoding="utf-8"?>
<formControlPr xmlns="http://schemas.microsoft.com/office/spreadsheetml/2009/9/main" objectType="GBox" noThreeD="1"/>
</file>

<file path=xl/ctrlProps/ctrlProp72.xml><?xml version="1.0" encoding="utf-8"?>
<formControlPr xmlns="http://schemas.microsoft.com/office/spreadsheetml/2009/9/main" objectType="CheckBox" fmlaLink="$N$46" lockText="1" noThreeD="1"/>
</file>

<file path=xl/ctrlProps/ctrlProp73.xml><?xml version="1.0" encoding="utf-8"?>
<formControlPr xmlns="http://schemas.microsoft.com/office/spreadsheetml/2009/9/main" objectType="Radio" checked="Checked" firstButton="1" fmlaLink="$M$61" lockText="1" noThreeD="1"/>
</file>

<file path=xl/ctrlProps/ctrlProp74.xml><?xml version="1.0" encoding="utf-8"?>
<formControlPr xmlns="http://schemas.microsoft.com/office/spreadsheetml/2009/9/main" objectType="Radio" lockText="1"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GBox" noThreeD="1"/>
</file>

<file path=xl/ctrlProps/ctrlProp77.xml><?xml version="1.0" encoding="utf-8"?>
<formControlPr xmlns="http://schemas.microsoft.com/office/spreadsheetml/2009/9/main" objectType="CheckBox" fmlaLink="$N$61" lockText="1" noThreeD="1"/>
</file>

<file path=xl/ctrlProps/ctrlProp78.xml><?xml version="1.0" encoding="utf-8"?>
<formControlPr xmlns="http://schemas.microsoft.com/office/spreadsheetml/2009/9/main" objectType="CheckBox" fmlaLink="$N$100" lockText="1" noThreeD="1"/>
</file>

<file path=xl/ctrlProps/ctrlProp79.xml><?xml version="1.0" encoding="utf-8"?>
<formControlPr xmlns="http://schemas.microsoft.com/office/spreadsheetml/2009/9/main" objectType="Radio" checked="Checked" firstButton="1" fmlaLink="$M$100" lockText="1" noThreeD="1"/>
</file>

<file path=xl/ctrlProps/ctrlProp80.xml><?xml version="1.0" encoding="utf-8"?>
<formControlPr xmlns="http://schemas.microsoft.com/office/spreadsheetml/2009/9/main" objectType="Radio" lockText="1" noThreeD="1"/>
</file>

<file path=xl/ctrlProps/ctrlProp81.xml><?xml version="1.0" encoding="utf-8"?>
<formControlPr xmlns="http://schemas.microsoft.com/office/spreadsheetml/2009/9/main" objectType="Radio" lockText="1" noThreeD="1"/>
</file>

<file path=xl/ctrlProps/ctrlProp82.xml><?xml version="1.0" encoding="utf-8"?>
<formControlPr xmlns="http://schemas.microsoft.com/office/spreadsheetml/2009/9/main" objectType="GBox" noThreeD="1"/>
</file>

<file path=xl/ctrlProps/ctrlProp83.xml><?xml version="1.0" encoding="utf-8"?>
<formControlPr xmlns="http://schemas.microsoft.com/office/spreadsheetml/2009/9/main" objectType="CheckBox" fmlaLink="$N$85" lockText="1" noThreeD="1"/>
</file>

<file path=xl/ctrlProps/ctrlProp84.xml><?xml version="1.0" encoding="utf-8"?>
<formControlPr xmlns="http://schemas.microsoft.com/office/spreadsheetml/2009/9/main" objectType="Radio" checked="Checked" firstButton="1" fmlaLink="$M$26" lockText="1" noThreeD="1"/>
</file>

<file path=xl/ctrlProps/ctrlProp85.xml><?xml version="1.0" encoding="utf-8"?>
<formControlPr xmlns="http://schemas.microsoft.com/office/spreadsheetml/2009/9/main" objectType="Radio" lockText="1" noThreeD="1"/>
</file>

<file path=xl/ctrlProps/ctrlProp86.xml><?xml version="1.0" encoding="utf-8"?>
<formControlPr xmlns="http://schemas.microsoft.com/office/spreadsheetml/2009/9/main" objectType="Radio" lockText="1" noThreeD="1"/>
</file>

<file path=xl/ctrlProps/ctrlProp87.xml><?xml version="1.0" encoding="utf-8"?>
<formControlPr xmlns="http://schemas.microsoft.com/office/spreadsheetml/2009/9/main" objectType="GBox" noThreeD="1"/>
</file>

<file path=xl/ctrlProps/ctrlProp88.xml><?xml version="1.0" encoding="utf-8"?>
<formControlPr xmlns="http://schemas.microsoft.com/office/spreadsheetml/2009/9/main" objectType="CheckBox" fmlaLink="$N$72" lockText="1" noThreeD="1"/>
</file>

<file path=xl/ctrlProps/ctrlProp89.xml><?xml version="1.0" encoding="utf-8"?>
<formControlPr xmlns="http://schemas.microsoft.com/office/spreadsheetml/2009/9/main" objectType="Radio" checked="Checked" firstButton="1" fmlaLink="$M$92" lockText="1" noThreeD="1"/>
</file>

<file path=xl/ctrlProps/ctrlProp90.xml><?xml version="1.0" encoding="utf-8"?>
<formControlPr xmlns="http://schemas.microsoft.com/office/spreadsheetml/2009/9/main" objectType="GBox" noThreeD="1"/>
</file>

<file path=xl/ctrlProps/ctrlProp91.xml><?xml version="1.0" encoding="utf-8"?>
<formControlPr xmlns="http://schemas.microsoft.com/office/spreadsheetml/2009/9/main" objectType="Radio" lockText="1" noThreeD="1"/>
</file>

<file path=xl/ctrlProps/ctrlProp92.xml><?xml version="1.0" encoding="utf-8"?>
<formControlPr xmlns="http://schemas.microsoft.com/office/spreadsheetml/2009/9/main" objectType="CheckBox" fmlaLink="$N$96" lockText="1" noThreeD="1"/>
</file>

<file path=xl/ctrlProps/ctrlProp93.xml><?xml version="1.0" encoding="utf-8"?>
<formControlPr xmlns="http://schemas.microsoft.com/office/spreadsheetml/2009/9/main" objectType="CheckBox" fmlaLink="$N$97" lockText="1" noThreeD="1"/>
</file>

<file path=xl/ctrlProps/ctrlProp94.xml><?xml version="1.0" encoding="utf-8"?>
<formControlPr xmlns="http://schemas.microsoft.com/office/spreadsheetml/2009/9/main" objectType="CheckBox" fmlaLink="$N$98" lockText="1" noThreeD="1"/>
</file>

<file path=xl/ctrlProps/ctrlProp95.xml><?xml version="1.0" encoding="utf-8"?>
<formControlPr xmlns="http://schemas.microsoft.com/office/spreadsheetml/2009/9/main" objectType="CheckBox" fmlaLink="$N$105" lockText="1" noThreeD="1"/>
</file>

<file path=xl/ctrlProps/ctrlProp96.xml><?xml version="1.0" encoding="utf-8"?>
<formControlPr xmlns="http://schemas.microsoft.com/office/spreadsheetml/2009/9/main" objectType="CheckBox" fmlaLink="$N$106" lockText="1" noThreeD="1"/>
</file>

<file path=xl/ctrlProps/ctrlProp97.xml><?xml version="1.0" encoding="utf-8"?>
<formControlPr xmlns="http://schemas.microsoft.com/office/spreadsheetml/2009/9/main" objectType="CheckBox" fmlaLink="$N$107" lockText="1" noThreeD="1"/>
</file>

<file path=xl/drawings/_rels/drawing1.xml.rels><?xml version="1.0" encoding="UTF-8" standalone="yes"?>
<Relationships xmlns="http://schemas.openxmlformats.org/package/2006/relationships"><Relationship Id="rId8" Type="http://schemas.openxmlformats.org/officeDocument/2006/relationships/chart" Target="../charts/chart5.xml"/><Relationship Id="rId13" Type="http://schemas.openxmlformats.org/officeDocument/2006/relationships/image" Target="../media/image11.png"/><Relationship Id="rId18" Type="http://schemas.openxmlformats.org/officeDocument/2006/relationships/image" Target="../media/image16.png"/><Relationship Id="rId3" Type="http://schemas.openxmlformats.org/officeDocument/2006/relationships/chart" Target="../charts/chart1.xml"/><Relationship Id="rId21" Type="http://schemas.openxmlformats.org/officeDocument/2006/relationships/image" Target="../media/image19.png"/><Relationship Id="rId7" Type="http://schemas.openxmlformats.org/officeDocument/2006/relationships/image" Target="../media/image5.png"/><Relationship Id="rId12" Type="http://schemas.openxmlformats.org/officeDocument/2006/relationships/image" Target="../media/image10.png"/><Relationship Id="rId17" Type="http://schemas.openxmlformats.org/officeDocument/2006/relationships/image" Target="../media/image15.png"/><Relationship Id="rId2" Type="http://schemas.openxmlformats.org/officeDocument/2006/relationships/image" Target="../media/image2.emf"/><Relationship Id="rId16" Type="http://schemas.openxmlformats.org/officeDocument/2006/relationships/image" Target="../media/image14.png"/><Relationship Id="rId20" Type="http://schemas.openxmlformats.org/officeDocument/2006/relationships/image" Target="../media/image18.png"/><Relationship Id="rId1" Type="http://schemas.openxmlformats.org/officeDocument/2006/relationships/image" Target="../media/image1.emf"/><Relationship Id="rId6" Type="http://schemas.openxmlformats.org/officeDocument/2006/relationships/chart" Target="../charts/chart4.xml"/><Relationship Id="rId11" Type="http://schemas.openxmlformats.org/officeDocument/2006/relationships/image" Target="../media/image9.png"/><Relationship Id="rId5" Type="http://schemas.openxmlformats.org/officeDocument/2006/relationships/chart" Target="../charts/chart3.xml"/><Relationship Id="rId15" Type="http://schemas.openxmlformats.org/officeDocument/2006/relationships/image" Target="../media/image13.png"/><Relationship Id="rId23" Type="http://schemas.openxmlformats.org/officeDocument/2006/relationships/image" Target="../media/image22.emf"/><Relationship Id="rId10" Type="http://schemas.openxmlformats.org/officeDocument/2006/relationships/image" Target="../media/image8.png"/><Relationship Id="rId19" Type="http://schemas.openxmlformats.org/officeDocument/2006/relationships/image" Target="../media/image17.png"/><Relationship Id="rId4" Type="http://schemas.openxmlformats.org/officeDocument/2006/relationships/chart" Target="../charts/chart2.xml"/><Relationship Id="rId9" Type="http://schemas.openxmlformats.org/officeDocument/2006/relationships/chart" Target="../charts/chart6.xml"/><Relationship Id="rId14" Type="http://schemas.openxmlformats.org/officeDocument/2006/relationships/image" Target="../media/image12.png"/><Relationship Id="rId22" Type="http://schemas.openxmlformats.org/officeDocument/2006/relationships/chart" Target="../charts/chart7.xml"/></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chart" Target="../charts/chart9.xml"/><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chart" Target="../charts/chart8.xml"/><Relationship Id="rId16" Type="http://schemas.openxmlformats.org/officeDocument/2006/relationships/image" Target="../media/image17.png"/><Relationship Id="rId20" Type="http://schemas.openxmlformats.org/officeDocument/2006/relationships/image" Target="../media/image22.emf"/><Relationship Id="rId1" Type="http://schemas.openxmlformats.org/officeDocument/2006/relationships/image" Target="../media/image2.emf"/><Relationship Id="rId6" Type="http://schemas.openxmlformats.org/officeDocument/2006/relationships/chart" Target="../charts/chart11.xml"/><Relationship Id="rId11" Type="http://schemas.openxmlformats.org/officeDocument/2006/relationships/image" Target="../media/image12.png"/><Relationship Id="rId5" Type="http://schemas.openxmlformats.org/officeDocument/2006/relationships/chart" Target="../charts/chart10.xml"/><Relationship Id="rId15" Type="http://schemas.openxmlformats.org/officeDocument/2006/relationships/image" Target="../media/image16.png"/><Relationship Id="rId10" Type="http://schemas.openxmlformats.org/officeDocument/2006/relationships/image" Target="../media/image11.png"/><Relationship Id="rId19" Type="http://schemas.openxmlformats.org/officeDocument/2006/relationships/chart" Target="../charts/chart12.xml"/><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drawing3.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chart" Target="../charts/chart14.xml"/><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chart" Target="../charts/chart13.xml"/><Relationship Id="rId16" Type="http://schemas.openxmlformats.org/officeDocument/2006/relationships/image" Target="../media/image17.png"/><Relationship Id="rId20" Type="http://schemas.openxmlformats.org/officeDocument/2006/relationships/image" Target="../media/image22.emf"/><Relationship Id="rId1" Type="http://schemas.openxmlformats.org/officeDocument/2006/relationships/image" Target="../media/image2.emf"/><Relationship Id="rId6" Type="http://schemas.openxmlformats.org/officeDocument/2006/relationships/chart" Target="../charts/chart16.xml"/><Relationship Id="rId11" Type="http://schemas.openxmlformats.org/officeDocument/2006/relationships/image" Target="../media/image12.png"/><Relationship Id="rId5" Type="http://schemas.openxmlformats.org/officeDocument/2006/relationships/chart" Target="../charts/chart15.xml"/><Relationship Id="rId15" Type="http://schemas.openxmlformats.org/officeDocument/2006/relationships/image" Target="../media/image16.png"/><Relationship Id="rId10" Type="http://schemas.openxmlformats.org/officeDocument/2006/relationships/image" Target="../media/image11.png"/><Relationship Id="rId19" Type="http://schemas.openxmlformats.org/officeDocument/2006/relationships/chart" Target="../charts/chart17.xml"/><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drawing4.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chart" Target="../charts/chart19.xml"/><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chart" Target="../charts/chart18.xml"/><Relationship Id="rId16" Type="http://schemas.openxmlformats.org/officeDocument/2006/relationships/image" Target="../media/image17.png"/><Relationship Id="rId20" Type="http://schemas.openxmlformats.org/officeDocument/2006/relationships/image" Target="../media/image22.emf"/><Relationship Id="rId1" Type="http://schemas.openxmlformats.org/officeDocument/2006/relationships/image" Target="../media/image2.emf"/><Relationship Id="rId6" Type="http://schemas.openxmlformats.org/officeDocument/2006/relationships/chart" Target="../charts/chart21.xml"/><Relationship Id="rId11" Type="http://schemas.openxmlformats.org/officeDocument/2006/relationships/image" Target="../media/image12.png"/><Relationship Id="rId5" Type="http://schemas.openxmlformats.org/officeDocument/2006/relationships/chart" Target="../charts/chart20.xml"/><Relationship Id="rId15" Type="http://schemas.openxmlformats.org/officeDocument/2006/relationships/image" Target="../media/image16.png"/><Relationship Id="rId10" Type="http://schemas.openxmlformats.org/officeDocument/2006/relationships/image" Target="../media/image11.png"/><Relationship Id="rId19" Type="http://schemas.openxmlformats.org/officeDocument/2006/relationships/chart" Target="../charts/chart22.xml"/><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drawing5.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chart" Target="../charts/chart24.xml"/><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chart" Target="../charts/chart23.xml"/><Relationship Id="rId16" Type="http://schemas.openxmlformats.org/officeDocument/2006/relationships/image" Target="../media/image17.png"/><Relationship Id="rId20" Type="http://schemas.openxmlformats.org/officeDocument/2006/relationships/image" Target="../media/image22.emf"/><Relationship Id="rId1" Type="http://schemas.openxmlformats.org/officeDocument/2006/relationships/image" Target="../media/image2.emf"/><Relationship Id="rId6" Type="http://schemas.openxmlformats.org/officeDocument/2006/relationships/chart" Target="../charts/chart26.xml"/><Relationship Id="rId11" Type="http://schemas.openxmlformats.org/officeDocument/2006/relationships/image" Target="../media/image12.png"/><Relationship Id="rId5" Type="http://schemas.openxmlformats.org/officeDocument/2006/relationships/chart" Target="../charts/chart25.xml"/><Relationship Id="rId15" Type="http://schemas.openxmlformats.org/officeDocument/2006/relationships/image" Target="../media/image16.png"/><Relationship Id="rId10" Type="http://schemas.openxmlformats.org/officeDocument/2006/relationships/image" Target="../media/image11.png"/><Relationship Id="rId19" Type="http://schemas.openxmlformats.org/officeDocument/2006/relationships/chart" Target="../charts/chart27.xml"/><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drawing6.xml.rels><?xml version="1.0" encoding="UTF-8" standalone="yes"?>
<Relationships xmlns="http://schemas.openxmlformats.org/package/2006/relationships"><Relationship Id="rId8" Type="http://schemas.openxmlformats.org/officeDocument/2006/relationships/chart" Target="../charts/chart33.xml"/><Relationship Id="rId13" Type="http://schemas.openxmlformats.org/officeDocument/2006/relationships/image" Target="../media/image12.png"/><Relationship Id="rId18" Type="http://schemas.openxmlformats.org/officeDocument/2006/relationships/image" Target="../media/image17.png"/><Relationship Id="rId3" Type="http://schemas.openxmlformats.org/officeDocument/2006/relationships/chart" Target="../charts/chart29.xml"/><Relationship Id="rId21" Type="http://schemas.openxmlformats.org/officeDocument/2006/relationships/chart" Target="../charts/chart34.xml"/><Relationship Id="rId7" Type="http://schemas.openxmlformats.org/officeDocument/2006/relationships/chart" Target="../charts/chart32.xml"/><Relationship Id="rId12" Type="http://schemas.openxmlformats.org/officeDocument/2006/relationships/image" Target="../media/image11.png"/><Relationship Id="rId17" Type="http://schemas.openxmlformats.org/officeDocument/2006/relationships/image" Target="../media/image16.png"/><Relationship Id="rId2" Type="http://schemas.openxmlformats.org/officeDocument/2006/relationships/chart" Target="../charts/chart28.xml"/><Relationship Id="rId16" Type="http://schemas.openxmlformats.org/officeDocument/2006/relationships/image" Target="../media/image15.png"/><Relationship Id="rId20" Type="http://schemas.openxmlformats.org/officeDocument/2006/relationships/image" Target="../media/image19.png"/><Relationship Id="rId1" Type="http://schemas.openxmlformats.org/officeDocument/2006/relationships/image" Target="../media/image2.emf"/><Relationship Id="rId6" Type="http://schemas.openxmlformats.org/officeDocument/2006/relationships/image" Target="../media/image5.png"/><Relationship Id="rId11" Type="http://schemas.openxmlformats.org/officeDocument/2006/relationships/image" Target="../media/image10.png"/><Relationship Id="rId5" Type="http://schemas.openxmlformats.org/officeDocument/2006/relationships/chart" Target="../charts/chart31.xml"/><Relationship Id="rId15" Type="http://schemas.openxmlformats.org/officeDocument/2006/relationships/image" Target="../media/image14.png"/><Relationship Id="rId10" Type="http://schemas.openxmlformats.org/officeDocument/2006/relationships/image" Target="../media/image9.png"/><Relationship Id="rId19" Type="http://schemas.openxmlformats.org/officeDocument/2006/relationships/image" Target="../media/image18.png"/><Relationship Id="rId4" Type="http://schemas.openxmlformats.org/officeDocument/2006/relationships/chart" Target="../charts/chart30.xml"/><Relationship Id="rId9" Type="http://schemas.openxmlformats.org/officeDocument/2006/relationships/image" Target="../media/image8.png"/><Relationship Id="rId14" Type="http://schemas.openxmlformats.org/officeDocument/2006/relationships/image" Target="../media/image13.png"/><Relationship Id="rId22" Type="http://schemas.openxmlformats.org/officeDocument/2006/relationships/image" Target="../media/image22.emf"/></Relationships>
</file>

<file path=xl/drawings/_rels/drawing7.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chart" Target="../charts/chart36.xml"/><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chart" Target="../charts/chart35.xml"/><Relationship Id="rId16" Type="http://schemas.openxmlformats.org/officeDocument/2006/relationships/image" Target="../media/image17.png"/><Relationship Id="rId20" Type="http://schemas.openxmlformats.org/officeDocument/2006/relationships/chart" Target="../charts/chart39.xml"/><Relationship Id="rId1" Type="http://schemas.openxmlformats.org/officeDocument/2006/relationships/image" Target="../media/image2.emf"/><Relationship Id="rId6" Type="http://schemas.openxmlformats.org/officeDocument/2006/relationships/chart" Target="../charts/chart38.xml"/><Relationship Id="rId11" Type="http://schemas.openxmlformats.org/officeDocument/2006/relationships/image" Target="../media/image12.png"/><Relationship Id="rId5" Type="http://schemas.openxmlformats.org/officeDocument/2006/relationships/chart" Target="../charts/chart37.xml"/><Relationship Id="rId15" Type="http://schemas.openxmlformats.org/officeDocument/2006/relationships/image" Target="../media/image16.png"/><Relationship Id="rId10" Type="http://schemas.openxmlformats.org/officeDocument/2006/relationships/image" Target="../media/image11.png"/><Relationship Id="rId19" Type="http://schemas.openxmlformats.org/officeDocument/2006/relationships/image" Target="../media/image22.emf"/><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23.emf"/></Relationships>
</file>

<file path=xl/drawings/drawing1.xml><?xml version="1.0" encoding="utf-8"?>
<xdr:wsDr xmlns:xdr="http://schemas.openxmlformats.org/drawingml/2006/spreadsheetDrawing" xmlns:a="http://schemas.openxmlformats.org/drawingml/2006/main">
  <xdr:twoCellAnchor editAs="oneCell">
    <xdr:from>
      <xdr:col>17</xdr:col>
      <xdr:colOff>274320</xdr:colOff>
      <xdr:row>137</xdr:row>
      <xdr:rowOff>80010</xdr:rowOff>
    </xdr:from>
    <xdr:to>
      <xdr:col>16384</xdr:col>
      <xdr:colOff>663575</xdr:colOff>
      <xdr:row>177</xdr:row>
      <xdr:rowOff>15240</xdr:rowOff>
    </xdr:to>
    <xdr:pic>
      <xdr:nvPicPr>
        <xdr:cNvPr id="4" name="図 3">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a:ext>
          </a:extLst>
        </a:blip>
        <a:srcRect t="7910"/>
        <a:stretch>
          <a:fillRect/>
        </a:stretch>
      </xdr:blipFill>
      <xdr:spPr bwMode="auto">
        <a:xfrm>
          <a:off x="15514320" y="21705570"/>
          <a:ext cx="669290" cy="3613785"/>
        </a:xfrm>
        <a:prstGeom prst="rect">
          <a:avLst/>
        </a:prstGeom>
        <a:noFill/>
        <a:ln>
          <a:noFill/>
        </a:ln>
      </xdr:spPr>
    </xdr:pic>
    <xdr:clientData/>
  </xdr:twoCellAnchor>
  <xdr:twoCellAnchor>
    <xdr:from>
      <xdr:col>10</xdr:col>
      <xdr:colOff>1171575</xdr:colOff>
      <xdr:row>1</xdr:row>
      <xdr:rowOff>76200</xdr:rowOff>
    </xdr:from>
    <xdr:to>
      <xdr:col>12</xdr:col>
      <xdr:colOff>933450</xdr:colOff>
      <xdr:row>3</xdr:row>
      <xdr:rowOff>161925</xdr:rowOff>
    </xdr:to>
    <xdr:pic>
      <xdr:nvPicPr>
        <xdr:cNvPr id="168226" name="Picture 38">
          <a:extLst>
            <a:ext uri="{FF2B5EF4-FFF2-40B4-BE49-F238E27FC236}">
              <a16:creationId xmlns:a16="http://schemas.microsoft.com/office/drawing/2014/main" id="{00000000-0008-0000-0100-000022910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69884" t="27533" b="27725"/>
        <a:stretch>
          <a:fillRect/>
        </a:stretch>
      </xdr:blipFill>
      <xdr:spPr bwMode="auto">
        <a:xfrm>
          <a:off x="8782050" y="247650"/>
          <a:ext cx="19716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411480</xdr:colOff>
      <xdr:row>16</xdr:row>
      <xdr:rowOff>123824</xdr:rowOff>
    </xdr:from>
    <xdr:to>
      <xdr:col>8</xdr:col>
      <xdr:colOff>400620</xdr:colOff>
      <xdr:row>21</xdr:row>
      <xdr:rowOff>117044</xdr:rowOff>
    </xdr:to>
    <xdr:graphicFrame macro="">
      <xdr:nvGraphicFramePr>
        <xdr:cNvPr id="168227" name="Chart 7">
          <a:extLst>
            <a:ext uri="{FF2B5EF4-FFF2-40B4-BE49-F238E27FC236}">
              <a16:creationId xmlns:a16="http://schemas.microsoft.com/office/drawing/2014/main" id="{00000000-0008-0000-0100-0000239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8102</xdr:colOff>
      <xdr:row>33</xdr:row>
      <xdr:rowOff>102031</xdr:rowOff>
    </xdr:from>
    <xdr:to>
      <xdr:col>16</xdr:col>
      <xdr:colOff>4965940</xdr:colOff>
      <xdr:row>54</xdr:row>
      <xdr:rowOff>43639</xdr:rowOff>
    </xdr:to>
    <xdr:graphicFrame macro="">
      <xdr:nvGraphicFramePr>
        <xdr:cNvPr id="168228" name="Chart 9">
          <a:extLst>
            <a:ext uri="{FF2B5EF4-FFF2-40B4-BE49-F238E27FC236}">
              <a16:creationId xmlns:a16="http://schemas.microsoft.com/office/drawing/2014/main" id="{00000000-0008-0000-0100-0000249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15</xdr:col>
      <xdr:colOff>8102</xdr:colOff>
      <xdr:row>54</xdr:row>
      <xdr:rowOff>142470</xdr:rowOff>
    </xdr:from>
    <xdr:to>
      <xdr:col>16</xdr:col>
      <xdr:colOff>4966817</xdr:colOff>
      <xdr:row>77</xdr:row>
      <xdr:rowOff>169552</xdr:rowOff>
    </xdr:to>
    <xdr:graphicFrame macro="">
      <xdr:nvGraphicFramePr>
        <xdr:cNvPr id="168229" name="Chart 14">
          <a:extLst>
            <a:ext uri="{FF2B5EF4-FFF2-40B4-BE49-F238E27FC236}">
              <a16:creationId xmlns:a16="http://schemas.microsoft.com/office/drawing/2014/main" id="{00000000-0008-0000-0100-0000259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15</xdr:col>
      <xdr:colOff>8102</xdr:colOff>
      <xdr:row>78</xdr:row>
      <xdr:rowOff>53041</xdr:rowOff>
    </xdr:from>
    <xdr:to>
      <xdr:col>16</xdr:col>
      <xdr:colOff>4485285</xdr:colOff>
      <xdr:row>100</xdr:row>
      <xdr:rowOff>16436</xdr:rowOff>
    </xdr:to>
    <xdr:graphicFrame macro="">
      <xdr:nvGraphicFramePr>
        <xdr:cNvPr id="168230" name="Chart 15">
          <a:extLst>
            <a:ext uri="{FF2B5EF4-FFF2-40B4-BE49-F238E27FC236}">
              <a16:creationId xmlns:a16="http://schemas.microsoft.com/office/drawing/2014/main" id="{00000000-0008-0000-0100-0000269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xdr:col>
      <xdr:colOff>71437</xdr:colOff>
      <xdr:row>1</xdr:row>
      <xdr:rowOff>11906</xdr:rowOff>
    </xdr:from>
    <xdr:to>
      <xdr:col>7</xdr:col>
      <xdr:colOff>932405</xdr:colOff>
      <xdr:row>4</xdr:row>
      <xdr:rowOff>154781</xdr:rowOff>
    </xdr:to>
    <xdr:pic>
      <xdr:nvPicPr>
        <xdr:cNvPr id="2" name="図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val="0"/>
            </a:ext>
          </a:extLst>
        </a:blip>
        <a:stretch>
          <a:fillRect/>
        </a:stretch>
      </xdr:blipFill>
      <xdr:spPr>
        <a:xfrm>
          <a:off x="214312" y="178594"/>
          <a:ext cx="4874803" cy="642937"/>
        </a:xfrm>
        <a:prstGeom prst="rect">
          <a:avLst/>
        </a:prstGeom>
      </xdr:spPr>
    </xdr:pic>
    <xdr:clientData/>
  </xdr:twoCellAnchor>
  <xdr:twoCellAnchor>
    <xdr:from>
      <xdr:col>15</xdr:col>
      <xdr:colOff>8102</xdr:colOff>
      <xdr:row>2</xdr:row>
      <xdr:rowOff>8993</xdr:rowOff>
    </xdr:from>
    <xdr:to>
      <xdr:col>16</xdr:col>
      <xdr:colOff>4976145</xdr:colOff>
      <xdr:row>32</xdr:row>
      <xdr:rowOff>112638</xdr:rowOff>
    </xdr:to>
    <xdr:sp macro="" textlink="">
      <xdr:nvSpPr>
        <xdr:cNvPr id="3" name="正方形/長方形 2">
          <a:extLst>
            <a:ext uri="{FF2B5EF4-FFF2-40B4-BE49-F238E27FC236}">
              <a16:creationId xmlns:a16="http://schemas.microsoft.com/office/drawing/2014/main" id="{00000000-0008-0000-0100-000003000000}"/>
            </a:ext>
          </a:extLst>
        </xdr:cNvPr>
        <xdr:cNvSpPr/>
      </xdr:nvSpPr>
      <xdr:spPr>
        <a:xfrm>
          <a:off x="11156493" y="356863"/>
          <a:ext cx="5655500" cy="5329971"/>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55920</xdr:colOff>
      <xdr:row>1</xdr:row>
      <xdr:rowOff>98061</xdr:rowOff>
    </xdr:from>
    <xdr:to>
      <xdr:col>16</xdr:col>
      <xdr:colOff>4473230</xdr:colOff>
      <xdr:row>32</xdr:row>
      <xdr:rowOff>198755</xdr:rowOff>
    </xdr:to>
    <xdr:grpSp>
      <xdr:nvGrpSpPr>
        <xdr:cNvPr id="52" name="グループ化 51">
          <a:extLst>
            <a:ext uri="{FF2B5EF4-FFF2-40B4-BE49-F238E27FC236}">
              <a16:creationId xmlns:a16="http://schemas.microsoft.com/office/drawing/2014/main" id="{00000000-0008-0000-0100-000034000000}"/>
            </a:ext>
          </a:extLst>
        </xdr:cNvPr>
        <xdr:cNvGrpSpPr>
          <a:grpSpLocks noChangeAspect="1"/>
        </xdr:cNvGrpSpPr>
      </xdr:nvGrpSpPr>
      <xdr:grpSpPr>
        <a:xfrm>
          <a:off x="11219220" y="269511"/>
          <a:ext cx="5112635" cy="5358494"/>
          <a:chOff x="11113781" y="938893"/>
          <a:chExt cx="5549153" cy="5312692"/>
        </a:xfrm>
      </xdr:grpSpPr>
      <xdr:sp macro="" textlink="">
        <xdr:nvSpPr>
          <xdr:cNvPr id="53" name="テキスト ボックス 52">
            <a:extLst>
              <a:ext uri="{FF2B5EF4-FFF2-40B4-BE49-F238E27FC236}">
                <a16:creationId xmlns:a16="http://schemas.microsoft.com/office/drawing/2014/main" id="{00000000-0008-0000-0100-000035000000}"/>
              </a:ext>
            </a:extLst>
          </xdr:cNvPr>
          <xdr:cNvSpPr txBox="1"/>
        </xdr:nvSpPr>
        <xdr:spPr>
          <a:xfrm>
            <a:off x="11138824" y="5979769"/>
            <a:ext cx="4798083" cy="27181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54" name="グループ化 53">
            <a:extLst>
              <a:ext uri="{FF2B5EF4-FFF2-40B4-BE49-F238E27FC236}">
                <a16:creationId xmlns:a16="http://schemas.microsoft.com/office/drawing/2014/main" id="{00000000-0008-0000-0100-000036000000}"/>
              </a:ext>
            </a:extLst>
          </xdr:cNvPr>
          <xdr:cNvGrpSpPr/>
        </xdr:nvGrpSpPr>
        <xdr:grpSpPr>
          <a:xfrm>
            <a:off x="11113781" y="938893"/>
            <a:ext cx="5549153" cy="5005090"/>
            <a:chOff x="17945416" y="882763"/>
            <a:chExt cx="5553405" cy="5025500"/>
          </a:xfrm>
        </xdr:grpSpPr>
        <xdr:grpSp>
          <xdr:nvGrpSpPr>
            <xdr:cNvPr id="55" name="グループ化 54">
              <a:extLst>
                <a:ext uri="{FF2B5EF4-FFF2-40B4-BE49-F238E27FC236}">
                  <a16:creationId xmlns:a16="http://schemas.microsoft.com/office/drawing/2014/main" id="{00000000-0008-0000-0100-000037000000}"/>
                </a:ext>
              </a:extLst>
            </xdr:cNvPr>
            <xdr:cNvGrpSpPr/>
          </xdr:nvGrpSpPr>
          <xdr:grpSpPr>
            <a:xfrm>
              <a:off x="17945416" y="882763"/>
              <a:ext cx="5553405" cy="5025500"/>
              <a:chOff x="17962359" y="870857"/>
              <a:chExt cx="5557527" cy="5124413"/>
            </a:xfrm>
          </xdr:grpSpPr>
          <xdr:graphicFrame macro="">
            <xdr:nvGraphicFramePr>
              <xdr:cNvPr id="68" name="グラフ 67">
                <a:extLst>
                  <a:ext uri="{FF2B5EF4-FFF2-40B4-BE49-F238E27FC236}">
                    <a16:creationId xmlns:a16="http://schemas.microsoft.com/office/drawing/2014/main" id="{00000000-0008-0000-0100-000044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69" name="テキスト ボックス 68">
                <a:extLst>
                  <a:ext uri="{FF2B5EF4-FFF2-40B4-BE49-F238E27FC236}">
                    <a16:creationId xmlns:a16="http://schemas.microsoft.com/office/drawing/2014/main" id="{00000000-0008-0000-0100-000045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70" name="テキスト ボックス 69">
                <a:extLst>
                  <a:ext uri="{FF2B5EF4-FFF2-40B4-BE49-F238E27FC236}">
                    <a16:creationId xmlns:a16="http://schemas.microsoft.com/office/drawing/2014/main" id="{00000000-0008-0000-0100-000046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71" name="テキスト ボックス 70">
                <a:extLst>
                  <a:ext uri="{FF2B5EF4-FFF2-40B4-BE49-F238E27FC236}">
                    <a16:creationId xmlns:a16="http://schemas.microsoft.com/office/drawing/2014/main" id="{00000000-0008-0000-0100-000047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72" name="テキスト ボックス 71">
                <a:extLst>
                  <a:ext uri="{FF2B5EF4-FFF2-40B4-BE49-F238E27FC236}">
                    <a16:creationId xmlns:a16="http://schemas.microsoft.com/office/drawing/2014/main" id="{00000000-0008-0000-0100-000048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73" name="テキスト ボックス 72">
                <a:extLst>
                  <a:ext uri="{FF2B5EF4-FFF2-40B4-BE49-F238E27FC236}">
                    <a16:creationId xmlns:a16="http://schemas.microsoft.com/office/drawing/2014/main" id="{00000000-0008-0000-0100-000049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76" name="テキスト ボックス 75">
                <a:extLst>
                  <a:ext uri="{FF2B5EF4-FFF2-40B4-BE49-F238E27FC236}">
                    <a16:creationId xmlns:a16="http://schemas.microsoft.com/office/drawing/2014/main" id="{00000000-0008-0000-0100-00004C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87" name="テキスト ボックス 86">
                <a:extLst>
                  <a:ext uri="{FF2B5EF4-FFF2-40B4-BE49-F238E27FC236}">
                    <a16:creationId xmlns:a16="http://schemas.microsoft.com/office/drawing/2014/main" id="{00000000-0008-0000-0100-000057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88" name="テキスト ボックス 87">
                <a:extLst>
                  <a:ext uri="{FF2B5EF4-FFF2-40B4-BE49-F238E27FC236}">
                    <a16:creationId xmlns:a16="http://schemas.microsoft.com/office/drawing/2014/main" id="{00000000-0008-0000-0100-000058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89" name="テキスト ボックス 88">
                <a:extLst>
                  <a:ext uri="{FF2B5EF4-FFF2-40B4-BE49-F238E27FC236}">
                    <a16:creationId xmlns:a16="http://schemas.microsoft.com/office/drawing/2014/main" id="{00000000-0008-0000-0100-000059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90" name="テキスト ボックス 89">
                <a:extLst>
                  <a:ext uri="{FF2B5EF4-FFF2-40B4-BE49-F238E27FC236}">
                    <a16:creationId xmlns:a16="http://schemas.microsoft.com/office/drawing/2014/main" id="{00000000-0008-0000-0100-00005A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91" name="テキスト ボックス 90">
                <a:extLst>
                  <a:ext uri="{FF2B5EF4-FFF2-40B4-BE49-F238E27FC236}">
                    <a16:creationId xmlns:a16="http://schemas.microsoft.com/office/drawing/2014/main" id="{00000000-0008-0000-0100-00005B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92" name="テキスト ボックス 91">
                <a:extLst>
                  <a:ext uri="{FF2B5EF4-FFF2-40B4-BE49-F238E27FC236}">
                    <a16:creationId xmlns:a16="http://schemas.microsoft.com/office/drawing/2014/main" id="{00000000-0008-0000-0100-00005C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93" name="直線コネクタ 92">
                <a:extLst>
                  <a:ext uri="{FF2B5EF4-FFF2-40B4-BE49-F238E27FC236}">
                    <a16:creationId xmlns:a16="http://schemas.microsoft.com/office/drawing/2014/main" id="{00000000-0008-0000-0100-00005D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94" name="Chart 123">
                <a:extLst>
                  <a:ext uri="{FF2B5EF4-FFF2-40B4-BE49-F238E27FC236}">
                    <a16:creationId xmlns:a16="http://schemas.microsoft.com/office/drawing/2014/main" id="{00000000-0008-0000-0100-00005E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9"/>
              </a:graphicData>
            </a:graphic>
          </xdr:graphicFrame>
          <xdr:pic>
            <xdr:nvPicPr>
              <xdr:cNvPr id="95" name="図 94">
                <a:extLst>
                  <a:ext uri="{FF2B5EF4-FFF2-40B4-BE49-F238E27FC236}">
                    <a16:creationId xmlns:a16="http://schemas.microsoft.com/office/drawing/2014/main" id="{00000000-0008-0000-0100-00005F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96" name="図 95">
                <a:extLst>
                  <a:ext uri="{FF2B5EF4-FFF2-40B4-BE49-F238E27FC236}">
                    <a16:creationId xmlns:a16="http://schemas.microsoft.com/office/drawing/2014/main" id="{00000000-0008-0000-0100-000060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97" name="図 96">
                <a:extLst>
                  <a:ext uri="{FF2B5EF4-FFF2-40B4-BE49-F238E27FC236}">
                    <a16:creationId xmlns:a16="http://schemas.microsoft.com/office/drawing/2014/main" id="{00000000-0008-0000-0100-000061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98" name="図 97">
                <a:extLst>
                  <a:ext uri="{FF2B5EF4-FFF2-40B4-BE49-F238E27FC236}">
                    <a16:creationId xmlns:a16="http://schemas.microsoft.com/office/drawing/2014/main" id="{00000000-0008-0000-0100-000062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99" name="図 98">
                <a:extLst>
                  <a:ext uri="{FF2B5EF4-FFF2-40B4-BE49-F238E27FC236}">
                    <a16:creationId xmlns:a16="http://schemas.microsoft.com/office/drawing/2014/main" id="{00000000-0008-0000-0100-000063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100" name="図 99">
                <a:extLst>
                  <a:ext uri="{FF2B5EF4-FFF2-40B4-BE49-F238E27FC236}">
                    <a16:creationId xmlns:a16="http://schemas.microsoft.com/office/drawing/2014/main" id="{00000000-0008-0000-0100-000064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101" name="図 100">
                <a:extLst>
                  <a:ext uri="{FF2B5EF4-FFF2-40B4-BE49-F238E27FC236}">
                    <a16:creationId xmlns:a16="http://schemas.microsoft.com/office/drawing/2014/main" id="{00000000-0008-0000-0100-000065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102" name="図 101">
                <a:extLst>
                  <a:ext uri="{FF2B5EF4-FFF2-40B4-BE49-F238E27FC236}">
                    <a16:creationId xmlns:a16="http://schemas.microsoft.com/office/drawing/2014/main" id="{00000000-0008-0000-0100-000066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103" name="図 102">
                <a:extLst>
                  <a:ext uri="{FF2B5EF4-FFF2-40B4-BE49-F238E27FC236}">
                    <a16:creationId xmlns:a16="http://schemas.microsoft.com/office/drawing/2014/main" id="{00000000-0008-0000-0100-000067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104" name="図 103">
                <a:extLst>
                  <a:ext uri="{FF2B5EF4-FFF2-40B4-BE49-F238E27FC236}">
                    <a16:creationId xmlns:a16="http://schemas.microsoft.com/office/drawing/2014/main" id="{00000000-0008-0000-0100-000068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105" name="図 104">
                <a:extLst>
                  <a:ext uri="{FF2B5EF4-FFF2-40B4-BE49-F238E27FC236}">
                    <a16:creationId xmlns:a16="http://schemas.microsoft.com/office/drawing/2014/main" id="{00000000-0008-0000-0100-000069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106" name="図 105">
                <a:extLst>
                  <a:ext uri="{FF2B5EF4-FFF2-40B4-BE49-F238E27FC236}">
                    <a16:creationId xmlns:a16="http://schemas.microsoft.com/office/drawing/2014/main" id="{00000000-0008-0000-0100-00006A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56" name="テキスト ボックス 55">
              <a:extLst>
                <a:ext uri="{FF2B5EF4-FFF2-40B4-BE49-F238E27FC236}">
                  <a16:creationId xmlns:a16="http://schemas.microsoft.com/office/drawing/2014/main" id="{00000000-0008-0000-0100-000038000000}"/>
                </a:ext>
              </a:extLst>
            </xdr:cNvPr>
            <xdr:cNvSpPr txBox="1"/>
          </xdr:nvSpPr>
          <xdr:spPr>
            <a:xfrm>
              <a:off x="22673690" y="2076919"/>
              <a:ext cx="724176" cy="29892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5F7C155-19B6-4D50-8D22-0F036667F6C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57" name="テキスト ボックス 56">
              <a:extLst>
                <a:ext uri="{FF2B5EF4-FFF2-40B4-BE49-F238E27FC236}">
                  <a16:creationId xmlns:a16="http://schemas.microsoft.com/office/drawing/2014/main" id="{00000000-0008-0000-0100-000039000000}"/>
                </a:ext>
              </a:extLst>
            </xdr:cNvPr>
            <xdr:cNvSpPr txBox="1"/>
          </xdr:nvSpPr>
          <xdr:spPr>
            <a:xfrm>
              <a:off x="22673690" y="2354868"/>
              <a:ext cx="608020"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DFA1899-299F-4389-A5E3-F653AA25A0C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58" name="テキスト ボックス 57">
              <a:extLst>
                <a:ext uri="{FF2B5EF4-FFF2-40B4-BE49-F238E27FC236}">
                  <a16:creationId xmlns:a16="http://schemas.microsoft.com/office/drawing/2014/main" id="{00000000-0008-0000-0100-00003A000000}"/>
                </a:ext>
              </a:extLst>
            </xdr:cNvPr>
            <xdr:cNvSpPr txBox="1"/>
          </xdr:nvSpPr>
          <xdr:spPr>
            <a:xfrm>
              <a:off x="22673690" y="2927855"/>
              <a:ext cx="628281"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ED2A0D0-48F7-4E10-9488-47417612759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59" name="テキスト ボックス 58">
              <a:extLst>
                <a:ext uri="{FF2B5EF4-FFF2-40B4-BE49-F238E27FC236}">
                  <a16:creationId xmlns:a16="http://schemas.microsoft.com/office/drawing/2014/main" id="{00000000-0008-0000-0100-00003B000000}"/>
                </a:ext>
              </a:extLst>
            </xdr:cNvPr>
            <xdr:cNvSpPr txBox="1"/>
          </xdr:nvSpPr>
          <xdr:spPr>
            <a:xfrm>
              <a:off x="22673690" y="3216652"/>
              <a:ext cx="658675"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382462A-278E-47EF-AFCD-5ACAC127AF83}"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60" name="テキスト ボックス 59">
              <a:extLst>
                <a:ext uri="{FF2B5EF4-FFF2-40B4-BE49-F238E27FC236}">
                  <a16:creationId xmlns:a16="http://schemas.microsoft.com/office/drawing/2014/main" id="{00000000-0008-0000-0100-00003C000000}"/>
                </a:ext>
              </a:extLst>
            </xdr:cNvPr>
            <xdr:cNvSpPr txBox="1"/>
          </xdr:nvSpPr>
          <xdr:spPr>
            <a:xfrm>
              <a:off x="22673690" y="3501077"/>
              <a:ext cx="638413"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E51FAA3-CDBB-4678-8068-13A5313F67E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61" name="テキスト ボックス 60">
              <a:extLst>
                <a:ext uri="{FF2B5EF4-FFF2-40B4-BE49-F238E27FC236}">
                  <a16:creationId xmlns:a16="http://schemas.microsoft.com/office/drawing/2014/main" id="{00000000-0008-0000-0100-00003D000000}"/>
                </a:ext>
              </a:extLst>
            </xdr:cNvPr>
            <xdr:cNvSpPr txBox="1"/>
          </xdr:nvSpPr>
          <xdr:spPr>
            <a:xfrm>
              <a:off x="22673690" y="3788909"/>
              <a:ext cx="597889"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79141AE-8355-4476-843D-BF1E915B679F}"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62" name="テキスト ボックス 61">
              <a:extLst>
                <a:ext uri="{FF2B5EF4-FFF2-40B4-BE49-F238E27FC236}">
                  <a16:creationId xmlns:a16="http://schemas.microsoft.com/office/drawing/2014/main" id="{00000000-0008-0000-0100-00003E000000}"/>
                </a:ext>
              </a:extLst>
            </xdr:cNvPr>
            <xdr:cNvSpPr txBox="1"/>
          </xdr:nvSpPr>
          <xdr:spPr>
            <a:xfrm>
              <a:off x="22673690" y="4080872"/>
              <a:ext cx="628281"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6B9392C-EFE9-47D1-BBB7-3828859E222C}"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63" name="テキスト ボックス 62">
              <a:extLst>
                <a:ext uri="{FF2B5EF4-FFF2-40B4-BE49-F238E27FC236}">
                  <a16:creationId xmlns:a16="http://schemas.microsoft.com/office/drawing/2014/main" id="{00000000-0008-0000-0100-00003F000000}"/>
                </a:ext>
              </a:extLst>
            </xdr:cNvPr>
            <xdr:cNvSpPr txBox="1"/>
          </xdr:nvSpPr>
          <xdr:spPr>
            <a:xfrm>
              <a:off x="22673690" y="4369669"/>
              <a:ext cx="597889"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50B3DFC-FEB2-4FC2-B21D-393B7F54A6C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64" name="テキスト ボックス 63">
              <a:extLst>
                <a:ext uri="{FF2B5EF4-FFF2-40B4-BE49-F238E27FC236}">
                  <a16:creationId xmlns:a16="http://schemas.microsoft.com/office/drawing/2014/main" id="{00000000-0008-0000-0100-000040000000}"/>
                </a:ext>
              </a:extLst>
            </xdr:cNvPr>
            <xdr:cNvSpPr txBox="1"/>
          </xdr:nvSpPr>
          <xdr:spPr>
            <a:xfrm>
              <a:off x="22673690" y="4660901"/>
              <a:ext cx="597889"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E7A9F28-B82C-4225-8A65-6F9F0FD3DB3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65" name="テキスト ボックス 64">
              <a:extLst>
                <a:ext uri="{FF2B5EF4-FFF2-40B4-BE49-F238E27FC236}">
                  <a16:creationId xmlns:a16="http://schemas.microsoft.com/office/drawing/2014/main" id="{00000000-0008-0000-0100-000041000000}"/>
                </a:ext>
              </a:extLst>
            </xdr:cNvPr>
            <xdr:cNvSpPr txBox="1"/>
          </xdr:nvSpPr>
          <xdr:spPr>
            <a:xfrm>
              <a:off x="22673690" y="4952133"/>
              <a:ext cx="587758"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1F8F4B1-1E55-4015-B2CC-32CB1D47B6C6}"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66" name="テキスト ボックス 65">
              <a:extLst>
                <a:ext uri="{FF2B5EF4-FFF2-40B4-BE49-F238E27FC236}">
                  <a16:creationId xmlns:a16="http://schemas.microsoft.com/office/drawing/2014/main" id="{00000000-0008-0000-0100-000042000000}"/>
                </a:ext>
              </a:extLst>
            </xdr:cNvPr>
            <xdr:cNvSpPr txBox="1"/>
          </xdr:nvSpPr>
          <xdr:spPr>
            <a:xfrm>
              <a:off x="22673690" y="5234952"/>
              <a:ext cx="668806"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E5F6ADE-AA81-453C-81F7-1E8364768D4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67" name="テキスト ボックス 66">
              <a:extLst>
                <a:ext uri="{FF2B5EF4-FFF2-40B4-BE49-F238E27FC236}">
                  <a16:creationId xmlns:a16="http://schemas.microsoft.com/office/drawing/2014/main" id="{00000000-0008-0000-0100-000043000000}"/>
                </a:ext>
              </a:extLst>
            </xdr:cNvPr>
            <xdr:cNvSpPr txBox="1"/>
          </xdr:nvSpPr>
          <xdr:spPr>
            <a:xfrm>
              <a:off x="22673690" y="2640885"/>
              <a:ext cx="689068"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B19505CB-0B02-40BD-8A1E-CDF2D845647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74" name="テキスト ボックス 73">
              <a:extLst>
                <a:ext uri="{FF2B5EF4-FFF2-40B4-BE49-F238E27FC236}">
                  <a16:creationId xmlns:a16="http://schemas.microsoft.com/office/drawing/2014/main" id="{00000000-0008-0000-0100-00004A000000}"/>
                </a:ext>
              </a:extLst>
            </xdr:cNvPr>
            <xdr:cNvSpPr txBox="1"/>
          </xdr:nvSpPr>
          <xdr:spPr>
            <a:xfrm>
              <a:off x="22661819" y="1013575"/>
              <a:ext cx="803138" cy="12955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BB14043-9469-40D4-BE9C-DC71FEDDB27D}"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40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6" name="Chart 123">
          <a:extLst>
            <a:ext uri="{FF2B5EF4-FFF2-40B4-BE49-F238E27FC236}">
              <a16:creationId xmlns:a16="http://schemas.microsoft.com/office/drawing/2014/main" id="{00000000-0008-0000-01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62865</xdr:colOff>
          <xdr:row>0</xdr:row>
          <xdr:rowOff>105834</xdr:rowOff>
        </xdr:from>
        <xdr:to>
          <xdr:col>17</xdr:col>
          <xdr:colOff>131445</xdr:colOff>
          <xdr:row>32</xdr:row>
          <xdr:rowOff>163196</xdr:rowOff>
        </xdr:to>
        <xdr:pic>
          <xdr:nvPicPr>
            <xdr:cNvPr id="5" name="図 4">
              <a:extLst>
                <a:ext uri="{FF2B5EF4-FFF2-40B4-BE49-F238E27FC236}">
                  <a16:creationId xmlns:a16="http://schemas.microsoft.com/office/drawing/2014/main" id="{D9EBFF43-00D2-4F41-A4C6-F0BA78D75688}"/>
                </a:ext>
              </a:extLst>
            </xdr:cNvPr>
            <xdr:cNvPicPr>
              <a:picLocks noChangeAspect="1" noChangeArrowheads="1"/>
              <a:extLst>
                <a:ext uri="{84589F7E-364E-4C9E-8A38-B11213B215E9}">
                  <a14:cameraTool cellRange="図形" spid="_x0000_s168060"/>
                </a:ext>
              </a:extLst>
            </xdr:cNvPicPr>
          </xdr:nvPicPr>
          <xdr:blipFill rotWithShape="1">
            <a:blip xmlns:r="http://schemas.openxmlformats.org/officeDocument/2006/relationships" r:embed="rId23"/>
            <a:srcRect l="16737" t="18402" r="12436" b="5334"/>
            <a:stretch>
              <a:fillRect/>
            </a:stretch>
          </xdr:blipFill>
          <xdr:spPr bwMode="auto">
            <a:xfrm>
              <a:off x="10000615" y="105834"/>
              <a:ext cx="5336117" cy="5383954"/>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1611" name="Picture 38">
          <a:extLst>
            <a:ext uri="{FF2B5EF4-FFF2-40B4-BE49-F238E27FC236}">
              <a16:creationId xmlns:a16="http://schemas.microsoft.com/office/drawing/2014/main" id="{00000000-0008-0000-0200-00004B06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782050" y="247650"/>
          <a:ext cx="19716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411480</xdr:colOff>
      <xdr:row>16</xdr:row>
      <xdr:rowOff>123824</xdr:rowOff>
    </xdr:from>
    <xdr:to>
      <xdr:col>8</xdr:col>
      <xdr:colOff>400620</xdr:colOff>
      <xdr:row>21</xdr:row>
      <xdr:rowOff>117044</xdr:rowOff>
    </xdr:to>
    <xdr:graphicFrame macro="">
      <xdr:nvGraphicFramePr>
        <xdr:cNvPr id="1612" name="Chart 7">
          <a:extLst>
            <a:ext uri="{FF2B5EF4-FFF2-40B4-BE49-F238E27FC236}">
              <a16:creationId xmlns:a16="http://schemas.microsoft.com/office/drawing/2014/main" id="{00000000-0008-0000-0200-00004C06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7688</xdr:colOff>
      <xdr:row>37</xdr:row>
      <xdr:rowOff>27080</xdr:rowOff>
    </xdr:from>
    <xdr:to>
      <xdr:col>16</xdr:col>
      <xdr:colOff>4961926</xdr:colOff>
      <xdr:row>56</xdr:row>
      <xdr:rowOff>168835</xdr:rowOff>
    </xdr:to>
    <xdr:graphicFrame macro="">
      <xdr:nvGraphicFramePr>
        <xdr:cNvPr id="1613" name="Chart 9">
          <a:extLst>
            <a:ext uri="{FF2B5EF4-FFF2-40B4-BE49-F238E27FC236}">
              <a16:creationId xmlns:a16="http://schemas.microsoft.com/office/drawing/2014/main" id="{00000000-0008-0000-0200-00004D06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47625</xdr:colOff>
      <xdr:row>1</xdr:row>
      <xdr:rowOff>11906</xdr:rowOff>
    </xdr:from>
    <xdr:to>
      <xdr:col>7</xdr:col>
      <xdr:colOff>935263</xdr:colOff>
      <xdr:row>4</xdr:row>
      <xdr:rowOff>154781</xdr:rowOff>
    </xdr:to>
    <xdr:pic>
      <xdr:nvPicPr>
        <xdr:cNvPr id="9" name="図 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val="0"/>
            </a:ext>
          </a:extLst>
        </a:blip>
        <a:stretch>
          <a:fillRect/>
        </a:stretch>
      </xdr:blipFill>
      <xdr:spPr>
        <a:xfrm>
          <a:off x="190500" y="178594"/>
          <a:ext cx="4874803" cy="642937"/>
        </a:xfrm>
        <a:prstGeom prst="rect">
          <a:avLst/>
        </a:prstGeom>
      </xdr:spPr>
    </xdr:pic>
    <xdr:clientData/>
  </xdr:twoCellAnchor>
  <xdr:twoCellAnchor>
    <xdr:from>
      <xdr:col>15</xdr:col>
      <xdr:colOff>9593</xdr:colOff>
      <xdr:row>5</xdr:row>
      <xdr:rowOff>11918</xdr:rowOff>
    </xdr:from>
    <xdr:to>
      <xdr:col>17</xdr:col>
      <xdr:colOff>1306</xdr:colOff>
      <xdr:row>36</xdr:row>
      <xdr:rowOff>69927</xdr:rowOff>
    </xdr:to>
    <xdr:sp macro="" textlink="">
      <xdr:nvSpPr>
        <xdr:cNvPr id="8" name="正方形/長方形 7">
          <a:extLst>
            <a:ext uri="{FF2B5EF4-FFF2-40B4-BE49-F238E27FC236}">
              <a16:creationId xmlns:a16="http://schemas.microsoft.com/office/drawing/2014/main" id="{00000000-0008-0000-0200-000008000000}"/>
            </a:ext>
          </a:extLst>
        </xdr:cNvPr>
        <xdr:cNvSpPr/>
      </xdr:nvSpPr>
      <xdr:spPr>
        <a:xfrm>
          <a:off x="10077518" y="907268"/>
          <a:ext cx="5078063" cy="5239609"/>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60662</xdr:colOff>
      <xdr:row>4</xdr:row>
      <xdr:rowOff>134678</xdr:rowOff>
    </xdr:from>
    <xdr:to>
      <xdr:col>16</xdr:col>
      <xdr:colOff>4460828</xdr:colOff>
      <xdr:row>35</xdr:row>
      <xdr:rowOff>96526</xdr:rowOff>
    </xdr:to>
    <xdr:grpSp>
      <xdr:nvGrpSpPr>
        <xdr:cNvPr id="4" name="グループ化 3">
          <a:extLst>
            <a:ext uri="{FF2B5EF4-FFF2-40B4-BE49-F238E27FC236}">
              <a16:creationId xmlns:a16="http://schemas.microsoft.com/office/drawing/2014/main" id="{00000000-0008-0000-0200-000004000000}"/>
            </a:ext>
          </a:extLst>
        </xdr:cNvPr>
        <xdr:cNvGrpSpPr>
          <a:grpSpLocks noChangeAspect="1"/>
        </xdr:cNvGrpSpPr>
      </xdr:nvGrpSpPr>
      <xdr:grpSpPr>
        <a:xfrm>
          <a:off x="11223962" y="820478"/>
          <a:ext cx="5095491" cy="5257748"/>
          <a:chOff x="11113781" y="938893"/>
          <a:chExt cx="5549153" cy="5196355"/>
        </a:xfrm>
      </xdr:grpSpPr>
      <xdr:sp macro="" textlink="">
        <xdr:nvSpPr>
          <xdr:cNvPr id="23" name="テキスト ボックス 22">
            <a:extLst>
              <a:ext uri="{FF2B5EF4-FFF2-40B4-BE49-F238E27FC236}">
                <a16:creationId xmlns:a16="http://schemas.microsoft.com/office/drawing/2014/main" id="{00000000-0008-0000-0200-000017000000}"/>
              </a:ext>
            </a:extLst>
          </xdr:cNvPr>
          <xdr:cNvSpPr txBox="1"/>
        </xdr:nvSpPr>
        <xdr:spPr>
          <a:xfrm>
            <a:off x="11138823" y="5934620"/>
            <a:ext cx="4742876" cy="200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3" name="グループ化 2">
            <a:extLst>
              <a:ext uri="{FF2B5EF4-FFF2-40B4-BE49-F238E27FC236}">
                <a16:creationId xmlns:a16="http://schemas.microsoft.com/office/drawing/2014/main" id="{00000000-0008-0000-0200-000003000000}"/>
              </a:ext>
            </a:extLst>
          </xdr:cNvPr>
          <xdr:cNvGrpSpPr/>
        </xdr:nvGrpSpPr>
        <xdr:grpSpPr>
          <a:xfrm>
            <a:off x="11113781" y="938893"/>
            <a:ext cx="5549153" cy="5005090"/>
            <a:chOff x="17945416" y="882763"/>
            <a:chExt cx="5553405" cy="5025500"/>
          </a:xfrm>
        </xdr:grpSpPr>
        <xdr:grpSp>
          <xdr:nvGrpSpPr>
            <xdr:cNvPr id="2" name="グループ化 1">
              <a:extLst>
                <a:ext uri="{FF2B5EF4-FFF2-40B4-BE49-F238E27FC236}">
                  <a16:creationId xmlns:a16="http://schemas.microsoft.com/office/drawing/2014/main" id="{00000000-0008-0000-0200-000002000000}"/>
                </a:ext>
              </a:extLst>
            </xdr:cNvPr>
            <xdr:cNvGrpSpPr/>
          </xdr:nvGrpSpPr>
          <xdr:grpSpPr>
            <a:xfrm>
              <a:off x="17945416" y="882763"/>
              <a:ext cx="5553405" cy="5025500"/>
              <a:chOff x="17962359" y="870857"/>
              <a:chExt cx="5557527" cy="5124413"/>
            </a:xfrm>
          </xdr:grpSpPr>
          <xdr:graphicFrame macro="">
            <xdr:nvGraphicFramePr>
              <xdr:cNvPr id="10" name="グラフ 9">
                <a:extLst>
                  <a:ext uri="{FF2B5EF4-FFF2-40B4-BE49-F238E27FC236}">
                    <a16:creationId xmlns:a16="http://schemas.microsoft.com/office/drawing/2014/main" id="{00000000-0008-0000-0200-00000A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11" name="テキスト ボックス 10">
                <a:extLst>
                  <a:ext uri="{FF2B5EF4-FFF2-40B4-BE49-F238E27FC236}">
                    <a16:creationId xmlns:a16="http://schemas.microsoft.com/office/drawing/2014/main" id="{00000000-0008-0000-0200-00000B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12" name="テキスト ボックス 11">
                <a:extLst>
                  <a:ext uri="{FF2B5EF4-FFF2-40B4-BE49-F238E27FC236}">
                    <a16:creationId xmlns:a16="http://schemas.microsoft.com/office/drawing/2014/main" id="{00000000-0008-0000-0200-00000C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13" name="テキスト ボックス 12">
                <a:extLst>
                  <a:ext uri="{FF2B5EF4-FFF2-40B4-BE49-F238E27FC236}">
                    <a16:creationId xmlns:a16="http://schemas.microsoft.com/office/drawing/2014/main" id="{00000000-0008-0000-0200-00000D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14" name="テキスト ボックス 13">
                <a:extLst>
                  <a:ext uri="{FF2B5EF4-FFF2-40B4-BE49-F238E27FC236}">
                    <a16:creationId xmlns:a16="http://schemas.microsoft.com/office/drawing/2014/main" id="{00000000-0008-0000-0200-00000E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15" name="テキスト ボックス 14">
                <a:extLst>
                  <a:ext uri="{FF2B5EF4-FFF2-40B4-BE49-F238E27FC236}">
                    <a16:creationId xmlns:a16="http://schemas.microsoft.com/office/drawing/2014/main" id="{00000000-0008-0000-0200-00000F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16" name="テキスト ボックス 15">
                <a:extLst>
                  <a:ext uri="{FF2B5EF4-FFF2-40B4-BE49-F238E27FC236}">
                    <a16:creationId xmlns:a16="http://schemas.microsoft.com/office/drawing/2014/main" id="{00000000-0008-0000-0200-000010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17" name="テキスト ボックス 16">
                <a:extLst>
                  <a:ext uri="{FF2B5EF4-FFF2-40B4-BE49-F238E27FC236}">
                    <a16:creationId xmlns:a16="http://schemas.microsoft.com/office/drawing/2014/main" id="{00000000-0008-0000-0200-000011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18" name="テキスト ボックス 17">
                <a:extLst>
                  <a:ext uri="{FF2B5EF4-FFF2-40B4-BE49-F238E27FC236}">
                    <a16:creationId xmlns:a16="http://schemas.microsoft.com/office/drawing/2014/main" id="{00000000-0008-0000-0200-000012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19" name="テキスト ボックス 18">
                <a:extLst>
                  <a:ext uri="{FF2B5EF4-FFF2-40B4-BE49-F238E27FC236}">
                    <a16:creationId xmlns:a16="http://schemas.microsoft.com/office/drawing/2014/main" id="{00000000-0008-0000-0200-000013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20" name="テキスト ボックス 19">
                <a:extLst>
                  <a:ext uri="{FF2B5EF4-FFF2-40B4-BE49-F238E27FC236}">
                    <a16:creationId xmlns:a16="http://schemas.microsoft.com/office/drawing/2014/main" id="{00000000-0008-0000-0200-000014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21" name="テキスト ボックス 20">
                <a:extLst>
                  <a:ext uri="{FF2B5EF4-FFF2-40B4-BE49-F238E27FC236}">
                    <a16:creationId xmlns:a16="http://schemas.microsoft.com/office/drawing/2014/main" id="{00000000-0008-0000-0200-000015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22" name="テキスト ボックス 21">
                <a:extLst>
                  <a:ext uri="{FF2B5EF4-FFF2-40B4-BE49-F238E27FC236}">
                    <a16:creationId xmlns:a16="http://schemas.microsoft.com/office/drawing/2014/main" id="{00000000-0008-0000-0200-000016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24" name="直線コネクタ 23">
                <a:extLst>
                  <a:ext uri="{FF2B5EF4-FFF2-40B4-BE49-F238E27FC236}">
                    <a16:creationId xmlns:a16="http://schemas.microsoft.com/office/drawing/2014/main" id="{00000000-0008-0000-0200-000018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25" name="Chart 123">
                <a:extLst>
                  <a:ext uri="{FF2B5EF4-FFF2-40B4-BE49-F238E27FC236}">
                    <a16:creationId xmlns:a16="http://schemas.microsoft.com/office/drawing/2014/main" id="{00000000-0008-0000-0200-000019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6"/>
              </a:graphicData>
            </a:graphic>
          </xdr:graphicFrame>
          <xdr:pic>
            <xdr:nvPicPr>
              <xdr:cNvPr id="26" name="図 25">
                <a:extLst>
                  <a:ext uri="{FF2B5EF4-FFF2-40B4-BE49-F238E27FC236}">
                    <a16:creationId xmlns:a16="http://schemas.microsoft.com/office/drawing/2014/main" id="{00000000-0008-0000-0200-00001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27" name="図 26">
                <a:extLst>
                  <a:ext uri="{FF2B5EF4-FFF2-40B4-BE49-F238E27FC236}">
                    <a16:creationId xmlns:a16="http://schemas.microsoft.com/office/drawing/2014/main" id="{00000000-0008-0000-0200-00001B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28" name="図 27">
                <a:extLst>
                  <a:ext uri="{FF2B5EF4-FFF2-40B4-BE49-F238E27FC236}">
                    <a16:creationId xmlns:a16="http://schemas.microsoft.com/office/drawing/2014/main" id="{00000000-0008-0000-0200-00001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29" name="図 28">
                <a:extLst>
                  <a:ext uri="{FF2B5EF4-FFF2-40B4-BE49-F238E27FC236}">
                    <a16:creationId xmlns:a16="http://schemas.microsoft.com/office/drawing/2014/main" id="{00000000-0008-0000-0200-00001D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30" name="図 29">
                <a:extLst>
                  <a:ext uri="{FF2B5EF4-FFF2-40B4-BE49-F238E27FC236}">
                    <a16:creationId xmlns:a16="http://schemas.microsoft.com/office/drawing/2014/main" id="{00000000-0008-0000-0200-00001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31" name="図 30">
                <a:extLst>
                  <a:ext uri="{FF2B5EF4-FFF2-40B4-BE49-F238E27FC236}">
                    <a16:creationId xmlns:a16="http://schemas.microsoft.com/office/drawing/2014/main" id="{00000000-0008-0000-0200-00001F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32" name="図 31">
                <a:extLst>
                  <a:ext uri="{FF2B5EF4-FFF2-40B4-BE49-F238E27FC236}">
                    <a16:creationId xmlns:a16="http://schemas.microsoft.com/office/drawing/2014/main" id="{00000000-0008-0000-0200-000020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33" name="図 32">
                <a:extLst>
                  <a:ext uri="{FF2B5EF4-FFF2-40B4-BE49-F238E27FC236}">
                    <a16:creationId xmlns:a16="http://schemas.microsoft.com/office/drawing/2014/main" id="{00000000-0008-0000-0200-000021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34" name="図 33">
                <a:extLst>
                  <a:ext uri="{FF2B5EF4-FFF2-40B4-BE49-F238E27FC236}">
                    <a16:creationId xmlns:a16="http://schemas.microsoft.com/office/drawing/2014/main" id="{00000000-0008-0000-0200-000022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35" name="図 34">
                <a:extLst>
                  <a:ext uri="{FF2B5EF4-FFF2-40B4-BE49-F238E27FC236}">
                    <a16:creationId xmlns:a16="http://schemas.microsoft.com/office/drawing/2014/main" id="{00000000-0008-0000-0200-000023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36" name="図 35">
                <a:extLst>
                  <a:ext uri="{FF2B5EF4-FFF2-40B4-BE49-F238E27FC236}">
                    <a16:creationId xmlns:a16="http://schemas.microsoft.com/office/drawing/2014/main" id="{00000000-0008-0000-0200-000024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37" name="図 36">
                <a:extLst>
                  <a:ext uri="{FF2B5EF4-FFF2-40B4-BE49-F238E27FC236}">
                    <a16:creationId xmlns:a16="http://schemas.microsoft.com/office/drawing/2014/main" id="{00000000-0008-0000-0200-000025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38" name="テキスト ボックス 37">
              <a:extLst>
                <a:ext uri="{FF2B5EF4-FFF2-40B4-BE49-F238E27FC236}">
                  <a16:creationId xmlns:a16="http://schemas.microsoft.com/office/drawing/2014/main" id="{00000000-0008-0000-0200-000026000000}"/>
                </a:ext>
              </a:extLst>
            </xdr:cNvPr>
            <xdr:cNvSpPr txBox="1"/>
          </xdr:nvSpPr>
          <xdr:spPr>
            <a:xfrm>
              <a:off x="22674304" y="2079583"/>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7680672-0877-4F9D-807B-9B87D34C315E}"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3">
          <xdr:nvSpPr>
            <xdr:cNvPr id="39" name="テキスト ボックス 38">
              <a:extLst>
                <a:ext uri="{FF2B5EF4-FFF2-40B4-BE49-F238E27FC236}">
                  <a16:creationId xmlns:a16="http://schemas.microsoft.com/office/drawing/2014/main" id="{00000000-0008-0000-0200-000027000000}"/>
                </a:ext>
              </a:extLst>
            </xdr:cNvPr>
            <xdr:cNvSpPr txBox="1"/>
          </xdr:nvSpPr>
          <xdr:spPr>
            <a:xfrm>
              <a:off x="22673680" y="2354811"/>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8F86403A-C85D-4B8B-949A-36B6723116D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5">
          <xdr:nvSpPr>
            <xdr:cNvPr id="40" name="テキスト ボックス 39">
              <a:extLst>
                <a:ext uri="{FF2B5EF4-FFF2-40B4-BE49-F238E27FC236}">
                  <a16:creationId xmlns:a16="http://schemas.microsoft.com/office/drawing/2014/main" id="{00000000-0008-0000-0200-000028000000}"/>
                </a:ext>
              </a:extLst>
            </xdr:cNvPr>
            <xdr:cNvSpPr txBox="1"/>
          </xdr:nvSpPr>
          <xdr:spPr>
            <a:xfrm>
              <a:off x="22673680" y="2927797"/>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3A45791-53B3-4570-B8B4-E406AFF3205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6">
          <xdr:nvSpPr>
            <xdr:cNvPr id="41" name="テキスト ボックス 40">
              <a:extLst>
                <a:ext uri="{FF2B5EF4-FFF2-40B4-BE49-F238E27FC236}">
                  <a16:creationId xmlns:a16="http://schemas.microsoft.com/office/drawing/2014/main" id="{00000000-0008-0000-0200-000029000000}"/>
                </a:ext>
              </a:extLst>
            </xdr:cNvPr>
            <xdr:cNvSpPr txBox="1"/>
          </xdr:nvSpPr>
          <xdr:spPr>
            <a:xfrm>
              <a:off x="22673680" y="3216596"/>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8364FB40-66BC-4080-A941-3D387C4CE172}"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7">
          <xdr:nvSpPr>
            <xdr:cNvPr id="42" name="テキスト ボックス 41">
              <a:extLst>
                <a:ext uri="{FF2B5EF4-FFF2-40B4-BE49-F238E27FC236}">
                  <a16:creationId xmlns:a16="http://schemas.microsoft.com/office/drawing/2014/main" id="{00000000-0008-0000-0200-00002A000000}"/>
                </a:ext>
              </a:extLst>
            </xdr:cNvPr>
            <xdr:cNvSpPr txBox="1"/>
          </xdr:nvSpPr>
          <xdr:spPr>
            <a:xfrm>
              <a:off x="22673680" y="3501021"/>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468A087-6F20-4584-8A9B-9D0E17F0997F}"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8">
          <xdr:nvSpPr>
            <xdr:cNvPr id="43" name="テキスト ボックス 42">
              <a:extLst>
                <a:ext uri="{FF2B5EF4-FFF2-40B4-BE49-F238E27FC236}">
                  <a16:creationId xmlns:a16="http://schemas.microsoft.com/office/drawing/2014/main" id="{00000000-0008-0000-0200-00002B000000}"/>
                </a:ext>
              </a:extLst>
            </xdr:cNvPr>
            <xdr:cNvSpPr txBox="1"/>
          </xdr:nvSpPr>
          <xdr:spPr>
            <a:xfrm>
              <a:off x="22673680" y="3788852"/>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B028561C-5489-46B0-9CF7-806413B872A4}"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9">
          <xdr:nvSpPr>
            <xdr:cNvPr id="44" name="テキスト ボックス 43">
              <a:extLst>
                <a:ext uri="{FF2B5EF4-FFF2-40B4-BE49-F238E27FC236}">
                  <a16:creationId xmlns:a16="http://schemas.microsoft.com/office/drawing/2014/main" id="{00000000-0008-0000-0200-00002C000000}"/>
                </a:ext>
              </a:extLst>
            </xdr:cNvPr>
            <xdr:cNvSpPr txBox="1"/>
          </xdr:nvSpPr>
          <xdr:spPr>
            <a:xfrm>
              <a:off x="22673680" y="4080816"/>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A7B65675-1EE3-4633-B54C-974BF32027B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10">
          <xdr:nvSpPr>
            <xdr:cNvPr id="45" name="テキスト ボックス 44">
              <a:extLst>
                <a:ext uri="{FF2B5EF4-FFF2-40B4-BE49-F238E27FC236}">
                  <a16:creationId xmlns:a16="http://schemas.microsoft.com/office/drawing/2014/main" id="{00000000-0008-0000-0200-00002D000000}"/>
                </a:ext>
              </a:extLst>
            </xdr:cNvPr>
            <xdr:cNvSpPr txBox="1"/>
          </xdr:nvSpPr>
          <xdr:spPr>
            <a:xfrm>
              <a:off x="22673680" y="4369613"/>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864DDF48-2CE4-4878-8E2B-71EA09CDAB5C}"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11">
          <xdr:nvSpPr>
            <xdr:cNvPr id="46" name="テキスト ボックス 45">
              <a:extLst>
                <a:ext uri="{FF2B5EF4-FFF2-40B4-BE49-F238E27FC236}">
                  <a16:creationId xmlns:a16="http://schemas.microsoft.com/office/drawing/2014/main" id="{00000000-0008-0000-0200-00002E000000}"/>
                </a:ext>
              </a:extLst>
            </xdr:cNvPr>
            <xdr:cNvSpPr txBox="1"/>
          </xdr:nvSpPr>
          <xdr:spPr>
            <a:xfrm>
              <a:off x="22673680" y="4660842"/>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D6B9F09-0547-4217-A05E-A34CE025CF5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12">
          <xdr:nvSpPr>
            <xdr:cNvPr id="47" name="テキスト ボックス 46">
              <a:extLst>
                <a:ext uri="{FF2B5EF4-FFF2-40B4-BE49-F238E27FC236}">
                  <a16:creationId xmlns:a16="http://schemas.microsoft.com/office/drawing/2014/main" id="{00000000-0008-0000-0200-00002F000000}"/>
                </a:ext>
              </a:extLst>
            </xdr:cNvPr>
            <xdr:cNvSpPr txBox="1"/>
          </xdr:nvSpPr>
          <xdr:spPr>
            <a:xfrm>
              <a:off x="22673680" y="4952074"/>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5ECF14E8-24D3-4A3D-B295-D54C631E8AF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13">
          <xdr:nvSpPr>
            <xdr:cNvPr id="48" name="テキスト ボックス 47">
              <a:extLst>
                <a:ext uri="{FF2B5EF4-FFF2-40B4-BE49-F238E27FC236}">
                  <a16:creationId xmlns:a16="http://schemas.microsoft.com/office/drawing/2014/main" id="{00000000-0008-0000-0200-000030000000}"/>
                </a:ext>
              </a:extLst>
            </xdr:cNvPr>
            <xdr:cNvSpPr txBox="1"/>
          </xdr:nvSpPr>
          <xdr:spPr>
            <a:xfrm>
              <a:off x="22673680" y="5234893"/>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FEE5662-D80D-498D-8DEB-184808756EA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4">
          <xdr:nvSpPr>
            <xdr:cNvPr id="49" name="テキスト ボックス 48">
              <a:extLst>
                <a:ext uri="{FF2B5EF4-FFF2-40B4-BE49-F238E27FC236}">
                  <a16:creationId xmlns:a16="http://schemas.microsoft.com/office/drawing/2014/main" id="{00000000-0008-0000-0200-000031000000}"/>
                </a:ext>
              </a:extLst>
            </xdr:cNvPr>
            <xdr:cNvSpPr txBox="1"/>
          </xdr:nvSpPr>
          <xdr:spPr>
            <a:xfrm>
              <a:off x="22673680" y="2640830"/>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62791DCA-6601-4874-AB57-C3567792FCA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15">
          <xdr:nvSpPr>
            <xdr:cNvPr id="51" name="テキスト ボックス 50">
              <a:extLst>
                <a:ext uri="{FF2B5EF4-FFF2-40B4-BE49-F238E27FC236}">
                  <a16:creationId xmlns:a16="http://schemas.microsoft.com/office/drawing/2014/main" id="{00000000-0008-0000-0200-000033000000}"/>
                </a:ext>
              </a:extLst>
            </xdr:cNvPr>
            <xdr:cNvSpPr txBox="1"/>
          </xdr:nvSpPr>
          <xdr:spPr>
            <a:xfrm>
              <a:off x="22661795" y="1013455"/>
              <a:ext cx="808284" cy="13026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25F2709-D0C6-468A-9A42-74815920A284}"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32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56" name="Chart 123">
          <a:extLst>
            <a:ext uri="{FF2B5EF4-FFF2-40B4-BE49-F238E27FC236}">
              <a16:creationId xmlns:a16="http://schemas.microsoft.com/office/drawing/2014/main" id="{00000000-0008-0000-0200-00003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72390</xdr:colOff>
          <xdr:row>3</xdr:row>
          <xdr:rowOff>49530</xdr:rowOff>
        </xdr:from>
        <xdr:to>
          <xdr:col>17</xdr:col>
          <xdr:colOff>148590</xdr:colOff>
          <xdr:row>36</xdr:row>
          <xdr:rowOff>129829</xdr:rowOff>
        </xdr:to>
        <xdr:pic>
          <xdr:nvPicPr>
            <xdr:cNvPr id="5" name="図 4">
              <a:extLst>
                <a:ext uri="{FF2B5EF4-FFF2-40B4-BE49-F238E27FC236}">
                  <a16:creationId xmlns:a16="http://schemas.microsoft.com/office/drawing/2014/main" id="{7D06BBEA-F7A4-46B9-8D9F-A2C936C3FB16}"/>
                </a:ext>
              </a:extLst>
            </xdr:cNvPr>
            <xdr:cNvPicPr>
              <a:picLocks noChangeAspect="1" noChangeArrowheads="1"/>
              <a:extLst>
                <a:ext uri="{84589F7E-364E-4C9E-8A38-B11213B215E9}">
                  <a14:cameraTool cellRange="図形" spid="_x0000_s169072"/>
                </a:ext>
              </a:extLst>
            </xdr:cNvPicPr>
          </xdr:nvPicPr>
          <xdr:blipFill rotWithShape="1">
            <a:blip xmlns:r="http://schemas.openxmlformats.org/officeDocument/2006/relationships" r:embed="rId20"/>
            <a:srcRect l="16737" t="18402" r="12436" b="5334"/>
            <a:stretch>
              <a:fillRect/>
            </a:stretch>
          </xdr:blipFill>
          <xdr:spPr bwMode="auto">
            <a:xfrm>
              <a:off x="10006965" y="563880"/>
              <a:ext cx="5334000" cy="568480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2" name="Picture 38">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782050" y="247650"/>
          <a:ext cx="19716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426720</xdr:colOff>
      <xdr:row>16</xdr:row>
      <xdr:rowOff>116204</xdr:rowOff>
    </xdr:from>
    <xdr:to>
      <xdr:col>8</xdr:col>
      <xdr:colOff>415860</xdr:colOff>
      <xdr:row>21</xdr:row>
      <xdr:rowOff>109424</xdr:rowOff>
    </xdr:to>
    <xdr:graphicFrame macro="">
      <xdr:nvGraphicFramePr>
        <xdr:cNvPr id="3" name="Chart 7">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14650</xdr:colOff>
      <xdr:row>37</xdr:row>
      <xdr:rowOff>79163</xdr:rowOff>
    </xdr:from>
    <xdr:to>
      <xdr:col>16</xdr:col>
      <xdr:colOff>4972488</xdr:colOff>
      <xdr:row>58</xdr:row>
      <xdr:rowOff>24463</xdr:rowOff>
    </xdr:to>
    <xdr:graphicFrame macro="">
      <xdr:nvGraphicFramePr>
        <xdr:cNvPr id="4" name="Chart 9">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71437</xdr:colOff>
      <xdr:row>1</xdr:row>
      <xdr:rowOff>11906</xdr:rowOff>
    </xdr:from>
    <xdr:to>
      <xdr:col>7</xdr:col>
      <xdr:colOff>936215</xdr:colOff>
      <xdr:row>4</xdr:row>
      <xdr:rowOff>154781</xdr:rowOff>
    </xdr:to>
    <xdr:pic>
      <xdr:nvPicPr>
        <xdr:cNvPr id="7" name="図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val="0"/>
            </a:ext>
          </a:extLst>
        </a:blip>
        <a:stretch>
          <a:fillRect/>
        </a:stretch>
      </xdr:blipFill>
      <xdr:spPr>
        <a:xfrm>
          <a:off x="214312" y="183356"/>
          <a:ext cx="4874803" cy="657225"/>
        </a:xfrm>
        <a:prstGeom prst="rect">
          <a:avLst/>
        </a:prstGeom>
      </xdr:spPr>
    </xdr:pic>
    <xdr:clientData/>
  </xdr:twoCellAnchor>
  <xdr:twoCellAnchor>
    <xdr:from>
      <xdr:col>15</xdr:col>
      <xdr:colOff>14650</xdr:colOff>
      <xdr:row>5</xdr:row>
      <xdr:rowOff>15763</xdr:rowOff>
    </xdr:from>
    <xdr:to>
      <xdr:col>16</xdr:col>
      <xdr:colOff>4972488</xdr:colOff>
      <xdr:row>35</xdr:row>
      <xdr:rowOff>106172</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11219514" y="881672"/>
          <a:ext cx="5650565" cy="5130000"/>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59748</xdr:colOff>
      <xdr:row>4</xdr:row>
      <xdr:rowOff>116523</xdr:rowOff>
    </xdr:from>
    <xdr:to>
      <xdr:col>16</xdr:col>
      <xdr:colOff>4477058</xdr:colOff>
      <xdr:row>35</xdr:row>
      <xdr:rowOff>94614</xdr:rowOff>
    </xdr:to>
    <xdr:grpSp>
      <xdr:nvGrpSpPr>
        <xdr:cNvPr id="51" name="グループ化 50">
          <a:extLst>
            <a:ext uri="{FF2B5EF4-FFF2-40B4-BE49-F238E27FC236}">
              <a16:creationId xmlns:a16="http://schemas.microsoft.com/office/drawing/2014/main" id="{00000000-0008-0000-0300-000033000000}"/>
            </a:ext>
          </a:extLst>
        </xdr:cNvPr>
        <xdr:cNvGrpSpPr>
          <a:grpSpLocks noChangeAspect="1"/>
        </xdr:cNvGrpSpPr>
      </xdr:nvGrpSpPr>
      <xdr:grpSpPr>
        <a:xfrm>
          <a:off x="11223048" y="802323"/>
          <a:ext cx="5112635" cy="5273991"/>
          <a:chOff x="11113781" y="938893"/>
          <a:chExt cx="5549153" cy="5252955"/>
        </a:xfrm>
      </xdr:grpSpPr>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11138824" y="5979768"/>
            <a:ext cx="4674346" cy="212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53" name="グループ化 52">
            <a:extLst>
              <a:ext uri="{FF2B5EF4-FFF2-40B4-BE49-F238E27FC236}">
                <a16:creationId xmlns:a16="http://schemas.microsoft.com/office/drawing/2014/main" id="{00000000-0008-0000-0300-000035000000}"/>
              </a:ext>
            </a:extLst>
          </xdr:cNvPr>
          <xdr:cNvGrpSpPr/>
        </xdr:nvGrpSpPr>
        <xdr:grpSpPr>
          <a:xfrm>
            <a:off x="11113781" y="938893"/>
            <a:ext cx="5549153" cy="5005090"/>
            <a:chOff x="17945416" y="882763"/>
            <a:chExt cx="5553405" cy="5025500"/>
          </a:xfrm>
        </xdr:grpSpPr>
        <xdr:grpSp>
          <xdr:nvGrpSpPr>
            <xdr:cNvPr id="54" name="グループ化 53">
              <a:extLst>
                <a:ext uri="{FF2B5EF4-FFF2-40B4-BE49-F238E27FC236}">
                  <a16:creationId xmlns:a16="http://schemas.microsoft.com/office/drawing/2014/main" id="{00000000-0008-0000-0300-000036000000}"/>
                </a:ext>
              </a:extLst>
            </xdr:cNvPr>
            <xdr:cNvGrpSpPr/>
          </xdr:nvGrpSpPr>
          <xdr:grpSpPr>
            <a:xfrm>
              <a:off x="17945416" y="882763"/>
              <a:ext cx="5553405" cy="5025500"/>
              <a:chOff x="17962359" y="870857"/>
              <a:chExt cx="5557527" cy="5124413"/>
            </a:xfrm>
          </xdr:grpSpPr>
          <xdr:graphicFrame macro="">
            <xdr:nvGraphicFramePr>
              <xdr:cNvPr id="67" name="グラフ 66">
                <a:extLst>
                  <a:ext uri="{FF2B5EF4-FFF2-40B4-BE49-F238E27FC236}">
                    <a16:creationId xmlns:a16="http://schemas.microsoft.com/office/drawing/2014/main" id="{00000000-0008-0000-0300-000043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68" name="テキスト ボックス 67">
                <a:extLst>
                  <a:ext uri="{FF2B5EF4-FFF2-40B4-BE49-F238E27FC236}">
                    <a16:creationId xmlns:a16="http://schemas.microsoft.com/office/drawing/2014/main" id="{00000000-0008-0000-0300-000044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69" name="テキスト ボックス 68">
                <a:extLst>
                  <a:ext uri="{FF2B5EF4-FFF2-40B4-BE49-F238E27FC236}">
                    <a16:creationId xmlns:a16="http://schemas.microsoft.com/office/drawing/2014/main" id="{00000000-0008-0000-0300-000045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70" name="テキスト ボックス 69">
                <a:extLst>
                  <a:ext uri="{FF2B5EF4-FFF2-40B4-BE49-F238E27FC236}">
                    <a16:creationId xmlns:a16="http://schemas.microsoft.com/office/drawing/2014/main" id="{00000000-0008-0000-0300-000046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71" name="テキスト ボックス 70">
                <a:extLst>
                  <a:ext uri="{FF2B5EF4-FFF2-40B4-BE49-F238E27FC236}">
                    <a16:creationId xmlns:a16="http://schemas.microsoft.com/office/drawing/2014/main" id="{00000000-0008-0000-0300-000047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72" name="テキスト ボックス 71">
                <a:extLst>
                  <a:ext uri="{FF2B5EF4-FFF2-40B4-BE49-F238E27FC236}">
                    <a16:creationId xmlns:a16="http://schemas.microsoft.com/office/drawing/2014/main" id="{00000000-0008-0000-0300-000048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74" name="テキスト ボックス 73">
                <a:extLst>
                  <a:ext uri="{FF2B5EF4-FFF2-40B4-BE49-F238E27FC236}">
                    <a16:creationId xmlns:a16="http://schemas.microsoft.com/office/drawing/2014/main" id="{00000000-0008-0000-0300-00004A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75" name="テキスト ボックス 74">
                <a:extLst>
                  <a:ext uri="{FF2B5EF4-FFF2-40B4-BE49-F238E27FC236}">
                    <a16:creationId xmlns:a16="http://schemas.microsoft.com/office/drawing/2014/main" id="{00000000-0008-0000-0300-00004B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78" name="テキスト ボックス 77">
                <a:extLst>
                  <a:ext uri="{FF2B5EF4-FFF2-40B4-BE49-F238E27FC236}">
                    <a16:creationId xmlns:a16="http://schemas.microsoft.com/office/drawing/2014/main" id="{00000000-0008-0000-0300-00004E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80" name="直線コネクタ 79">
                <a:extLst>
                  <a:ext uri="{FF2B5EF4-FFF2-40B4-BE49-F238E27FC236}">
                    <a16:creationId xmlns:a16="http://schemas.microsoft.com/office/drawing/2014/main" id="{00000000-0008-0000-0300-000050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81" name="Chart 123">
                <a:extLst>
                  <a:ext uri="{FF2B5EF4-FFF2-40B4-BE49-F238E27FC236}">
                    <a16:creationId xmlns:a16="http://schemas.microsoft.com/office/drawing/2014/main" id="{00000000-0008-0000-0300-000051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6"/>
              </a:graphicData>
            </a:graphic>
          </xdr:graphicFrame>
          <xdr:pic>
            <xdr:nvPicPr>
              <xdr:cNvPr id="82" name="図 81">
                <a:extLst>
                  <a:ext uri="{FF2B5EF4-FFF2-40B4-BE49-F238E27FC236}">
                    <a16:creationId xmlns:a16="http://schemas.microsoft.com/office/drawing/2014/main" id="{00000000-0008-0000-0300-000052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83" name="図 82">
                <a:extLst>
                  <a:ext uri="{FF2B5EF4-FFF2-40B4-BE49-F238E27FC236}">
                    <a16:creationId xmlns:a16="http://schemas.microsoft.com/office/drawing/2014/main" id="{00000000-0008-0000-0300-000053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84" name="図 83">
                <a:extLst>
                  <a:ext uri="{FF2B5EF4-FFF2-40B4-BE49-F238E27FC236}">
                    <a16:creationId xmlns:a16="http://schemas.microsoft.com/office/drawing/2014/main" id="{00000000-0008-0000-0300-000054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85" name="図 84">
                <a:extLst>
                  <a:ext uri="{FF2B5EF4-FFF2-40B4-BE49-F238E27FC236}">
                    <a16:creationId xmlns:a16="http://schemas.microsoft.com/office/drawing/2014/main" id="{00000000-0008-0000-0300-000055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86" name="図 85">
                <a:extLst>
                  <a:ext uri="{FF2B5EF4-FFF2-40B4-BE49-F238E27FC236}">
                    <a16:creationId xmlns:a16="http://schemas.microsoft.com/office/drawing/2014/main" id="{00000000-0008-0000-0300-000056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87" name="図 86">
                <a:extLst>
                  <a:ext uri="{FF2B5EF4-FFF2-40B4-BE49-F238E27FC236}">
                    <a16:creationId xmlns:a16="http://schemas.microsoft.com/office/drawing/2014/main" id="{00000000-0008-0000-0300-000057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88" name="図 87">
                <a:extLst>
                  <a:ext uri="{FF2B5EF4-FFF2-40B4-BE49-F238E27FC236}">
                    <a16:creationId xmlns:a16="http://schemas.microsoft.com/office/drawing/2014/main" id="{00000000-0008-0000-0300-000058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89" name="図 88">
                <a:extLst>
                  <a:ext uri="{FF2B5EF4-FFF2-40B4-BE49-F238E27FC236}">
                    <a16:creationId xmlns:a16="http://schemas.microsoft.com/office/drawing/2014/main" id="{00000000-0008-0000-0300-000059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90" name="図 89">
                <a:extLst>
                  <a:ext uri="{FF2B5EF4-FFF2-40B4-BE49-F238E27FC236}">
                    <a16:creationId xmlns:a16="http://schemas.microsoft.com/office/drawing/2014/main" id="{00000000-0008-0000-0300-00005A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91" name="図 90">
                <a:extLst>
                  <a:ext uri="{FF2B5EF4-FFF2-40B4-BE49-F238E27FC236}">
                    <a16:creationId xmlns:a16="http://schemas.microsoft.com/office/drawing/2014/main" id="{00000000-0008-0000-0300-00005B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92" name="図 91">
                <a:extLst>
                  <a:ext uri="{FF2B5EF4-FFF2-40B4-BE49-F238E27FC236}">
                    <a16:creationId xmlns:a16="http://schemas.microsoft.com/office/drawing/2014/main" id="{00000000-0008-0000-0300-00005C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93" name="図 92">
                <a:extLst>
                  <a:ext uri="{FF2B5EF4-FFF2-40B4-BE49-F238E27FC236}">
                    <a16:creationId xmlns:a16="http://schemas.microsoft.com/office/drawing/2014/main" id="{00000000-0008-0000-0300-00005D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55" name="テキスト ボックス 54">
              <a:extLst>
                <a:ext uri="{FF2B5EF4-FFF2-40B4-BE49-F238E27FC236}">
                  <a16:creationId xmlns:a16="http://schemas.microsoft.com/office/drawing/2014/main" id="{00000000-0008-0000-0300-000037000000}"/>
                </a:ext>
              </a:extLst>
            </xdr:cNvPr>
            <xdr:cNvSpPr txBox="1"/>
          </xdr:nvSpPr>
          <xdr:spPr>
            <a:xfrm>
              <a:off x="22673681" y="2075274"/>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8757E88-CF94-4543-8087-2B35E676B7A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56" name="テキスト ボックス 55">
              <a:extLst>
                <a:ext uri="{FF2B5EF4-FFF2-40B4-BE49-F238E27FC236}">
                  <a16:creationId xmlns:a16="http://schemas.microsoft.com/office/drawing/2014/main" id="{00000000-0008-0000-0300-000038000000}"/>
                </a:ext>
              </a:extLst>
            </xdr:cNvPr>
            <xdr:cNvSpPr txBox="1"/>
          </xdr:nvSpPr>
          <xdr:spPr>
            <a:xfrm>
              <a:off x="22673681" y="2354257"/>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BBF3CD7-14E6-462B-BCE2-69C72A3408DB}"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57" name="テキスト ボックス 56">
              <a:extLst>
                <a:ext uri="{FF2B5EF4-FFF2-40B4-BE49-F238E27FC236}">
                  <a16:creationId xmlns:a16="http://schemas.microsoft.com/office/drawing/2014/main" id="{00000000-0008-0000-0300-000039000000}"/>
                </a:ext>
              </a:extLst>
            </xdr:cNvPr>
            <xdr:cNvSpPr txBox="1"/>
          </xdr:nvSpPr>
          <xdr:spPr>
            <a:xfrm>
              <a:off x="22673681" y="2927244"/>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27FEB8B3-5358-4CC6-9BDD-AE97FC8DA2F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58" name="テキスト ボックス 57">
              <a:extLst>
                <a:ext uri="{FF2B5EF4-FFF2-40B4-BE49-F238E27FC236}">
                  <a16:creationId xmlns:a16="http://schemas.microsoft.com/office/drawing/2014/main" id="{00000000-0008-0000-0300-00003A000000}"/>
                </a:ext>
              </a:extLst>
            </xdr:cNvPr>
            <xdr:cNvSpPr txBox="1"/>
          </xdr:nvSpPr>
          <xdr:spPr>
            <a:xfrm>
              <a:off x="22673681" y="3216043"/>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FC39C12B-D2C2-419A-9396-0067578D82EB}"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59" name="テキスト ボックス 58">
              <a:extLst>
                <a:ext uri="{FF2B5EF4-FFF2-40B4-BE49-F238E27FC236}">
                  <a16:creationId xmlns:a16="http://schemas.microsoft.com/office/drawing/2014/main" id="{00000000-0008-0000-0300-00003B000000}"/>
                </a:ext>
              </a:extLst>
            </xdr:cNvPr>
            <xdr:cNvSpPr txBox="1"/>
          </xdr:nvSpPr>
          <xdr:spPr>
            <a:xfrm>
              <a:off x="22673681" y="3500471"/>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533F9441-31FB-407E-9B48-09FB37C4262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60" name="テキスト ボックス 59">
              <a:extLst>
                <a:ext uri="{FF2B5EF4-FFF2-40B4-BE49-F238E27FC236}">
                  <a16:creationId xmlns:a16="http://schemas.microsoft.com/office/drawing/2014/main" id="{00000000-0008-0000-0300-00003C000000}"/>
                </a:ext>
              </a:extLst>
            </xdr:cNvPr>
            <xdr:cNvSpPr txBox="1"/>
          </xdr:nvSpPr>
          <xdr:spPr>
            <a:xfrm>
              <a:off x="22673681" y="3788299"/>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EF80605-A26B-4CE2-9135-B2A71A95BBB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61" name="テキスト ボックス 60">
              <a:extLst>
                <a:ext uri="{FF2B5EF4-FFF2-40B4-BE49-F238E27FC236}">
                  <a16:creationId xmlns:a16="http://schemas.microsoft.com/office/drawing/2014/main" id="{00000000-0008-0000-0300-00003D000000}"/>
                </a:ext>
              </a:extLst>
            </xdr:cNvPr>
            <xdr:cNvSpPr txBox="1"/>
          </xdr:nvSpPr>
          <xdr:spPr>
            <a:xfrm>
              <a:off x="22673681" y="4080263"/>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106F979A-F744-43C5-9FEF-CBC0059E894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62" name="テキスト ボックス 61">
              <a:extLst>
                <a:ext uri="{FF2B5EF4-FFF2-40B4-BE49-F238E27FC236}">
                  <a16:creationId xmlns:a16="http://schemas.microsoft.com/office/drawing/2014/main" id="{00000000-0008-0000-0300-00003E000000}"/>
                </a:ext>
              </a:extLst>
            </xdr:cNvPr>
            <xdr:cNvSpPr txBox="1"/>
          </xdr:nvSpPr>
          <xdr:spPr>
            <a:xfrm>
              <a:off x="22673681" y="4369057"/>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D48B0C24-2CF1-447C-8A1B-0B4384237CC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63" name="テキスト ボックス 62">
              <a:extLst>
                <a:ext uri="{FF2B5EF4-FFF2-40B4-BE49-F238E27FC236}">
                  <a16:creationId xmlns:a16="http://schemas.microsoft.com/office/drawing/2014/main" id="{00000000-0008-0000-0300-00003F000000}"/>
                </a:ext>
              </a:extLst>
            </xdr:cNvPr>
            <xdr:cNvSpPr txBox="1"/>
          </xdr:nvSpPr>
          <xdr:spPr>
            <a:xfrm>
              <a:off x="22673681" y="4660289"/>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864759D-685B-46EA-ABE7-464E6C3CAAFE}"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64" name="テキスト ボックス 63">
              <a:extLst>
                <a:ext uri="{FF2B5EF4-FFF2-40B4-BE49-F238E27FC236}">
                  <a16:creationId xmlns:a16="http://schemas.microsoft.com/office/drawing/2014/main" id="{00000000-0008-0000-0300-000040000000}"/>
                </a:ext>
              </a:extLst>
            </xdr:cNvPr>
            <xdr:cNvSpPr txBox="1"/>
          </xdr:nvSpPr>
          <xdr:spPr>
            <a:xfrm>
              <a:off x="22673681" y="4951521"/>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35FCEFEC-A7F1-4201-84F4-375323655230}"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65" name="テキスト ボックス 64">
              <a:extLst>
                <a:ext uri="{FF2B5EF4-FFF2-40B4-BE49-F238E27FC236}">
                  <a16:creationId xmlns:a16="http://schemas.microsoft.com/office/drawing/2014/main" id="{00000000-0008-0000-0300-000041000000}"/>
                </a:ext>
              </a:extLst>
            </xdr:cNvPr>
            <xdr:cNvSpPr txBox="1"/>
          </xdr:nvSpPr>
          <xdr:spPr>
            <a:xfrm>
              <a:off x="22673681" y="5234337"/>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3A4FED07-55B1-4929-B977-FD2BBE5496CB}"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66" name="テキスト ボックス 65">
              <a:extLst>
                <a:ext uri="{FF2B5EF4-FFF2-40B4-BE49-F238E27FC236}">
                  <a16:creationId xmlns:a16="http://schemas.microsoft.com/office/drawing/2014/main" id="{00000000-0008-0000-0300-000042000000}"/>
                </a:ext>
              </a:extLst>
            </xdr:cNvPr>
            <xdr:cNvSpPr txBox="1"/>
          </xdr:nvSpPr>
          <xdr:spPr>
            <a:xfrm>
              <a:off x="22673681" y="2640277"/>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E6438A8-382D-4FC2-8029-8E5F13D2A94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94" name="テキスト ボックス 93">
              <a:extLst>
                <a:ext uri="{FF2B5EF4-FFF2-40B4-BE49-F238E27FC236}">
                  <a16:creationId xmlns:a16="http://schemas.microsoft.com/office/drawing/2014/main" id="{00000000-0008-0000-0300-00005E000000}"/>
                </a:ext>
              </a:extLst>
            </xdr:cNvPr>
            <xdr:cNvSpPr txBox="1"/>
          </xdr:nvSpPr>
          <xdr:spPr>
            <a:xfrm>
              <a:off x="22674002" y="1436564"/>
              <a:ext cx="761391" cy="5280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fld id="{BD2C20AC-8959-4342-8DB9-81FCFDCD66B0}"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40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10" name="Chart 123">
          <a:extLst>
            <a:ext uri="{FF2B5EF4-FFF2-40B4-BE49-F238E27FC236}">
              <a16:creationId xmlns:a16="http://schemas.microsoft.com/office/drawing/2014/main" id="{00000000-0008-0000-03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20955</xdr:colOff>
          <xdr:row>3</xdr:row>
          <xdr:rowOff>26670</xdr:rowOff>
        </xdr:from>
        <xdr:to>
          <xdr:col>17</xdr:col>
          <xdr:colOff>97155</xdr:colOff>
          <xdr:row>36</xdr:row>
          <xdr:rowOff>131734</xdr:rowOff>
        </xdr:to>
        <xdr:pic>
          <xdr:nvPicPr>
            <xdr:cNvPr id="5" name="図 4">
              <a:extLst>
                <a:ext uri="{FF2B5EF4-FFF2-40B4-BE49-F238E27FC236}">
                  <a16:creationId xmlns:a16="http://schemas.microsoft.com/office/drawing/2014/main" id="{7137D316-24C5-4F4F-82D8-2E2B22560D02}"/>
                </a:ext>
              </a:extLst>
            </xdr:cNvPr>
            <xdr:cNvPicPr>
              <a:picLocks noChangeAspect="1" noChangeArrowheads="1"/>
              <a:extLst>
                <a:ext uri="{84589F7E-364E-4C9E-8A38-B11213B215E9}">
                  <a14:cameraTool cellRange="図形" spid="_x0000_s170097"/>
                </a:ext>
              </a:extLst>
            </xdr:cNvPicPr>
          </xdr:nvPicPr>
          <xdr:blipFill rotWithShape="1">
            <a:blip xmlns:r="http://schemas.openxmlformats.org/officeDocument/2006/relationships" r:embed="rId20"/>
            <a:srcRect l="16737" t="18402" r="12436" b="5334"/>
            <a:stretch>
              <a:fillRect/>
            </a:stretch>
          </xdr:blipFill>
          <xdr:spPr bwMode="auto">
            <a:xfrm>
              <a:off x="9955530" y="541020"/>
              <a:ext cx="5334000" cy="567718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2" name="Picture 38">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021955" y="243840"/>
          <a:ext cx="1758315" cy="421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381000</xdr:colOff>
      <xdr:row>16</xdr:row>
      <xdr:rowOff>131444</xdr:rowOff>
    </xdr:from>
    <xdr:to>
      <xdr:col>8</xdr:col>
      <xdr:colOff>370140</xdr:colOff>
      <xdr:row>21</xdr:row>
      <xdr:rowOff>124664</xdr:rowOff>
    </xdr:to>
    <xdr:graphicFrame macro="">
      <xdr:nvGraphicFramePr>
        <xdr:cNvPr id="3" name="Chart 7">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8102</xdr:colOff>
      <xdr:row>33</xdr:row>
      <xdr:rowOff>102031</xdr:rowOff>
    </xdr:from>
    <xdr:to>
      <xdr:col>16</xdr:col>
      <xdr:colOff>4965940</xdr:colOff>
      <xdr:row>54</xdr:row>
      <xdr:rowOff>43639</xdr:rowOff>
    </xdr:to>
    <xdr:graphicFrame macro="">
      <xdr:nvGraphicFramePr>
        <xdr:cNvPr id="4" name="Chart 9">
          <a:extLst>
            <a:ext uri="{FF2B5EF4-FFF2-40B4-BE49-F238E27FC236}">
              <a16:creationId xmlns:a16="http://schemas.microsoft.com/office/drawing/2014/main" id="{00000000-0008-0000-04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71437</xdr:colOff>
      <xdr:row>1</xdr:row>
      <xdr:rowOff>11906</xdr:rowOff>
    </xdr:from>
    <xdr:to>
      <xdr:col>7</xdr:col>
      <xdr:colOff>936215</xdr:colOff>
      <xdr:row>4</xdr:row>
      <xdr:rowOff>154781</xdr:rowOff>
    </xdr:to>
    <xdr:pic>
      <xdr:nvPicPr>
        <xdr:cNvPr id="7" name="図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val="0"/>
            </a:ext>
          </a:extLst>
        </a:blip>
        <a:stretch>
          <a:fillRect/>
        </a:stretch>
      </xdr:blipFill>
      <xdr:spPr>
        <a:xfrm>
          <a:off x="200977" y="179546"/>
          <a:ext cx="4478563" cy="645795"/>
        </a:xfrm>
        <a:prstGeom prst="rect">
          <a:avLst/>
        </a:prstGeom>
      </xdr:spPr>
    </xdr:pic>
    <xdr:clientData/>
  </xdr:twoCellAnchor>
  <xdr:twoCellAnchor>
    <xdr:from>
      <xdr:col>15</xdr:col>
      <xdr:colOff>10007</xdr:colOff>
      <xdr:row>2</xdr:row>
      <xdr:rowOff>10898</xdr:rowOff>
    </xdr:from>
    <xdr:to>
      <xdr:col>17</xdr:col>
      <xdr:colOff>285</xdr:colOff>
      <xdr:row>32</xdr:row>
      <xdr:rowOff>112638</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0077932" y="353798"/>
          <a:ext cx="5095678" cy="5264290"/>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59730</xdr:colOff>
      <xdr:row>1</xdr:row>
      <xdr:rowOff>94251</xdr:rowOff>
    </xdr:from>
    <xdr:to>
      <xdr:col>16</xdr:col>
      <xdr:colOff>4473230</xdr:colOff>
      <xdr:row>32</xdr:row>
      <xdr:rowOff>168274</xdr:rowOff>
    </xdr:to>
    <xdr:grpSp>
      <xdr:nvGrpSpPr>
        <xdr:cNvPr id="9" name="グループ化 8">
          <a:extLst>
            <a:ext uri="{FF2B5EF4-FFF2-40B4-BE49-F238E27FC236}">
              <a16:creationId xmlns:a16="http://schemas.microsoft.com/office/drawing/2014/main" id="{00000000-0008-0000-0400-000009000000}"/>
            </a:ext>
          </a:extLst>
        </xdr:cNvPr>
        <xdr:cNvGrpSpPr>
          <a:grpSpLocks noChangeAspect="1"/>
        </xdr:cNvGrpSpPr>
      </xdr:nvGrpSpPr>
      <xdr:grpSpPr>
        <a:xfrm>
          <a:off x="11223030" y="265701"/>
          <a:ext cx="5108825" cy="5322298"/>
          <a:chOff x="11113781" y="938893"/>
          <a:chExt cx="5549153" cy="5279630"/>
        </a:xfrm>
      </xdr:grpSpPr>
      <xdr:sp macro="" textlink="">
        <xdr:nvSpPr>
          <xdr:cNvPr id="10" name="テキスト ボックス 9">
            <a:extLst>
              <a:ext uri="{FF2B5EF4-FFF2-40B4-BE49-F238E27FC236}">
                <a16:creationId xmlns:a16="http://schemas.microsoft.com/office/drawing/2014/main" id="{00000000-0008-0000-0400-00000A000000}"/>
              </a:ext>
            </a:extLst>
          </xdr:cNvPr>
          <xdr:cNvSpPr txBox="1"/>
        </xdr:nvSpPr>
        <xdr:spPr>
          <a:xfrm>
            <a:off x="11142992" y="5979614"/>
            <a:ext cx="4714277" cy="2389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11" name="グループ化 10">
            <a:extLst>
              <a:ext uri="{FF2B5EF4-FFF2-40B4-BE49-F238E27FC236}">
                <a16:creationId xmlns:a16="http://schemas.microsoft.com/office/drawing/2014/main" id="{00000000-0008-0000-0400-00000B000000}"/>
              </a:ext>
            </a:extLst>
          </xdr:cNvPr>
          <xdr:cNvGrpSpPr/>
        </xdr:nvGrpSpPr>
        <xdr:grpSpPr>
          <a:xfrm>
            <a:off x="11113781" y="938893"/>
            <a:ext cx="5549153" cy="5005090"/>
            <a:chOff x="17945416" y="882763"/>
            <a:chExt cx="5553405" cy="5025500"/>
          </a:xfrm>
        </xdr:grpSpPr>
        <xdr:grpSp>
          <xdr:nvGrpSpPr>
            <xdr:cNvPr id="12" name="グループ化 11">
              <a:extLst>
                <a:ext uri="{FF2B5EF4-FFF2-40B4-BE49-F238E27FC236}">
                  <a16:creationId xmlns:a16="http://schemas.microsoft.com/office/drawing/2014/main" id="{00000000-0008-0000-0400-00000C000000}"/>
                </a:ext>
              </a:extLst>
            </xdr:cNvPr>
            <xdr:cNvGrpSpPr/>
          </xdr:nvGrpSpPr>
          <xdr:grpSpPr>
            <a:xfrm>
              <a:off x="17945416" y="882763"/>
              <a:ext cx="5553405" cy="5025500"/>
              <a:chOff x="17962359" y="870857"/>
              <a:chExt cx="5557527" cy="5124413"/>
            </a:xfrm>
          </xdr:grpSpPr>
          <xdr:graphicFrame macro="">
            <xdr:nvGraphicFramePr>
              <xdr:cNvPr id="26" name="グラフ 25">
                <a:extLst>
                  <a:ext uri="{FF2B5EF4-FFF2-40B4-BE49-F238E27FC236}">
                    <a16:creationId xmlns:a16="http://schemas.microsoft.com/office/drawing/2014/main" id="{00000000-0008-0000-0400-00001A000000}"/>
                  </a:ext>
                </a:extLst>
              </xdr:cNvPr>
              <xdr:cNvGraphicFramePr>
                <a:graphicFrameLocks noChangeAspect="1"/>
              </xdr:cNvGraphicFramePr>
            </xdr:nvGraphicFramePr>
            <xdr:xfrm>
              <a:off x="19419686" y="1846152"/>
              <a:ext cx="3954930" cy="4149118"/>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7" name="テキスト ボックス 26">
                <a:extLst>
                  <a:ext uri="{FF2B5EF4-FFF2-40B4-BE49-F238E27FC236}">
                    <a16:creationId xmlns:a16="http://schemas.microsoft.com/office/drawing/2014/main" id="{00000000-0008-0000-0400-00001B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28" name="テキスト ボックス 27">
                <a:extLst>
                  <a:ext uri="{FF2B5EF4-FFF2-40B4-BE49-F238E27FC236}">
                    <a16:creationId xmlns:a16="http://schemas.microsoft.com/office/drawing/2014/main" id="{00000000-0008-0000-0400-00001C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29" name="テキスト ボックス 28">
                <a:extLst>
                  <a:ext uri="{FF2B5EF4-FFF2-40B4-BE49-F238E27FC236}">
                    <a16:creationId xmlns:a16="http://schemas.microsoft.com/office/drawing/2014/main" id="{00000000-0008-0000-0400-00001D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34" name="テキスト ボックス 33">
                <a:extLst>
                  <a:ext uri="{FF2B5EF4-FFF2-40B4-BE49-F238E27FC236}">
                    <a16:creationId xmlns:a16="http://schemas.microsoft.com/office/drawing/2014/main" id="{00000000-0008-0000-0400-000022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35" name="テキスト ボックス 34">
                <a:extLst>
                  <a:ext uri="{FF2B5EF4-FFF2-40B4-BE49-F238E27FC236}">
                    <a16:creationId xmlns:a16="http://schemas.microsoft.com/office/drawing/2014/main" id="{00000000-0008-0000-0400-000023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36" name="テキスト ボックス 35">
                <a:extLst>
                  <a:ext uri="{FF2B5EF4-FFF2-40B4-BE49-F238E27FC236}">
                    <a16:creationId xmlns:a16="http://schemas.microsoft.com/office/drawing/2014/main" id="{00000000-0008-0000-0400-000024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37" name="テキスト ボックス 36">
                <a:extLst>
                  <a:ext uri="{FF2B5EF4-FFF2-40B4-BE49-F238E27FC236}">
                    <a16:creationId xmlns:a16="http://schemas.microsoft.com/office/drawing/2014/main" id="{00000000-0008-0000-0400-000025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38" name="テキスト ボックス 37">
                <a:extLst>
                  <a:ext uri="{FF2B5EF4-FFF2-40B4-BE49-F238E27FC236}">
                    <a16:creationId xmlns:a16="http://schemas.microsoft.com/office/drawing/2014/main" id="{00000000-0008-0000-0400-000026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39" name="直線コネクタ 38">
                <a:extLst>
                  <a:ext uri="{FF2B5EF4-FFF2-40B4-BE49-F238E27FC236}">
                    <a16:creationId xmlns:a16="http://schemas.microsoft.com/office/drawing/2014/main" id="{00000000-0008-0000-0400-000027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40" name="Chart 123">
                <a:extLst>
                  <a:ext uri="{FF2B5EF4-FFF2-40B4-BE49-F238E27FC236}">
                    <a16:creationId xmlns:a16="http://schemas.microsoft.com/office/drawing/2014/main" id="{00000000-0008-0000-0400-000028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6"/>
              </a:graphicData>
            </a:graphic>
          </xdr:graphicFrame>
          <xdr:pic>
            <xdr:nvPicPr>
              <xdr:cNvPr id="41" name="図 40">
                <a:extLst>
                  <a:ext uri="{FF2B5EF4-FFF2-40B4-BE49-F238E27FC236}">
                    <a16:creationId xmlns:a16="http://schemas.microsoft.com/office/drawing/2014/main" id="{00000000-0008-0000-0400-00002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42" name="図 41">
                <a:extLst>
                  <a:ext uri="{FF2B5EF4-FFF2-40B4-BE49-F238E27FC236}">
                    <a16:creationId xmlns:a16="http://schemas.microsoft.com/office/drawing/2014/main" id="{00000000-0008-0000-0400-00002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43" name="図 42">
                <a:extLst>
                  <a:ext uri="{FF2B5EF4-FFF2-40B4-BE49-F238E27FC236}">
                    <a16:creationId xmlns:a16="http://schemas.microsoft.com/office/drawing/2014/main" id="{00000000-0008-0000-0400-00002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44" name="図 43">
                <a:extLst>
                  <a:ext uri="{FF2B5EF4-FFF2-40B4-BE49-F238E27FC236}">
                    <a16:creationId xmlns:a16="http://schemas.microsoft.com/office/drawing/2014/main" id="{00000000-0008-0000-0400-00002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45" name="図 44">
                <a:extLst>
                  <a:ext uri="{FF2B5EF4-FFF2-40B4-BE49-F238E27FC236}">
                    <a16:creationId xmlns:a16="http://schemas.microsoft.com/office/drawing/2014/main" id="{00000000-0008-0000-0400-00002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46" name="図 45">
                <a:extLst>
                  <a:ext uri="{FF2B5EF4-FFF2-40B4-BE49-F238E27FC236}">
                    <a16:creationId xmlns:a16="http://schemas.microsoft.com/office/drawing/2014/main" id="{00000000-0008-0000-0400-00002E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47" name="図 46">
                <a:extLst>
                  <a:ext uri="{FF2B5EF4-FFF2-40B4-BE49-F238E27FC236}">
                    <a16:creationId xmlns:a16="http://schemas.microsoft.com/office/drawing/2014/main" id="{00000000-0008-0000-0400-00002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48" name="図 47">
                <a:extLst>
                  <a:ext uri="{FF2B5EF4-FFF2-40B4-BE49-F238E27FC236}">
                    <a16:creationId xmlns:a16="http://schemas.microsoft.com/office/drawing/2014/main" id="{00000000-0008-0000-0400-000030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49" name="図 48">
                <a:extLst>
                  <a:ext uri="{FF2B5EF4-FFF2-40B4-BE49-F238E27FC236}">
                    <a16:creationId xmlns:a16="http://schemas.microsoft.com/office/drawing/2014/main" id="{00000000-0008-0000-0400-000031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50" name="図 49">
                <a:extLst>
                  <a:ext uri="{FF2B5EF4-FFF2-40B4-BE49-F238E27FC236}">
                    <a16:creationId xmlns:a16="http://schemas.microsoft.com/office/drawing/2014/main" id="{00000000-0008-0000-0400-000032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51" name="図 50">
                <a:extLst>
                  <a:ext uri="{FF2B5EF4-FFF2-40B4-BE49-F238E27FC236}">
                    <a16:creationId xmlns:a16="http://schemas.microsoft.com/office/drawing/2014/main" id="{00000000-0008-0000-0400-000033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52" name="図 51">
                <a:extLst>
                  <a:ext uri="{FF2B5EF4-FFF2-40B4-BE49-F238E27FC236}">
                    <a16:creationId xmlns:a16="http://schemas.microsoft.com/office/drawing/2014/main" id="{00000000-0008-0000-0400-000034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13" name="テキスト ボックス 12">
              <a:extLst>
                <a:ext uri="{FF2B5EF4-FFF2-40B4-BE49-F238E27FC236}">
                  <a16:creationId xmlns:a16="http://schemas.microsoft.com/office/drawing/2014/main" id="{00000000-0008-0000-0400-00000D000000}"/>
                </a:ext>
              </a:extLst>
            </xdr:cNvPr>
            <xdr:cNvSpPr txBox="1"/>
          </xdr:nvSpPr>
          <xdr:spPr>
            <a:xfrm>
              <a:off x="22673690" y="2075412"/>
              <a:ext cx="724176"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5F7C155-19B6-4D50-8D22-0F036667F6C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14" name="テキスト ボックス 13">
              <a:extLst>
                <a:ext uri="{FF2B5EF4-FFF2-40B4-BE49-F238E27FC236}">
                  <a16:creationId xmlns:a16="http://schemas.microsoft.com/office/drawing/2014/main" id="{00000000-0008-0000-0400-00000E000000}"/>
                </a:ext>
              </a:extLst>
            </xdr:cNvPr>
            <xdr:cNvSpPr txBox="1"/>
          </xdr:nvSpPr>
          <xdr:spPr>
            <a:xfrm>
              <a:off x="22673690" y="2354393"/>
              <a:ext cx="608020"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DFA1899-299F-4389-A5E3-F653AA25A0C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15" name="テキスト ボックス 14">
              <a:extLst>
                <a:ext uri="{FF2B5EF4-FFF2-40B4-BE49-F238E27FC236}">
                  <a16:creationId xmlns:a16="http://schemas.microsoft.com/office/drawing/2014/main" id="{00000000-0008-0000-0400-00000F000000}"/>
                </a:ext>
              </a:extLst>
            </xdr:cNvPr>
            <xdr:cNvSpPr txBox="1"/>
          </xdr:nvSpPr>
          <xdr:spPr>
            <a:xfrm>
              <a:off x="22673690" y="2927380"/>
              <a:ext cx="628282"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ED2A0D0-48F7-4E10-9488-47417612759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16" name="テキスト ボックス 15">
              <a:extLst>
                <a:ext uri="{FF2B5EF4-FFF2-40B4-BE49-F238E27FC236}">
                  <a16:creationId xmlns:a16="http://schemas.microsoft.com/office/drawing/2014/main" id="{00000000-0008-0000-0400-000010000000}"/>
                </a:ext>
              </a:extLst>
            </xdr:cNvPr>
            <xdr:cNvSpPr txBox="1"/>
          </xdr:nvSpPr>
          <xdr:spPr>
            <a:xfrm>
              <a:off x="22673690" y="3216176"/>
              <a:ext cx="658675"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382462A-278E-47EF-AFCD-5ACAC127AF83}"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17" name="テキスト ボックス 16">
              <a:extLst>
                <a:ext uri="{FF2B5EF4-FFF2-40B4-BE49-F238E27FC236}">
                  <a16:creationId xmlns:a16="http://schemas.microsoft.com/office/drawing/2014/main" id="{00000000-0008-0000-0400-000011000000}"/>
                </a:ext>
              </a:extLst>
            </xdr:cNvPr>
            <xdr:cNvSpPr txBox="1"/>
          </xdr:nvSpPr>
          <xdr:spPr>
            <a:xfrm>
              <a:off x="22673690" y="3500601"/>
              <a:ext cx="638413"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E51FAA3-CDBB-4678-8068-13A5313F67E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18" name="テキスト ボックス 17">
              <a:extLst>
                <a:ext uri="{FF2B5EF4-FFF2-40B4-BE49-F238E27FC236}">
                  <a16:creationId xmlns:a16="http://schemas.microsoft.com/office/drawing/2014/main" id="{00000000-0008-0000-0400-000012000000}"/>
                </a:ext>
              </a:extLst>
            </xdr:cNvPr>
            <xdr:cNvSpPr txBox="1"/>
          </xdr:nvSpPr>
          <xdr:spPr>
            <a:xfrm>
              <a:off x="22673690" y="3788433"/>
              <a:ext cx="597889"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79141AE-8355-4476-843D-BF1E915B679F}"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19" name="テキスト ボックス 18">
              <a:extLst>
                <a:ext uri="{FF2B5EF4-FFF2-40B4-BE49-F238E27FC236}">
                  <a16:creationId xmlns:a16="http://schemas.microsoft.com/office/drawing/2014/main" id="{00000000-0008-0000-0400-000013000000}"/>
                </a:ext>
              </a:extLst>
            </xdr:cNvPr>
            <xdr:cNvSpPr txBox="1"/>
          </xdr:nvSpPr>
          <xdr:spPr>
            <a:xfrm>
              <a:off x="22673690" y="4080397"/>
              <a:ext cx="628282"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6B9392C-EFE9-47D1-BBB7-3828859E222C}"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20" name="テキスト ボックス 19">
              <a:extLst>
                <a:ext uri="{FF2B5EF4-FFF2-40B4-BE49-F238E27FC236}">
                  <a16:creationId xmlns:a16="http://schemas.microsoft.com/office/drawing/2014/main" id="{00000000-0008-0000-0400-000014000000}"/>
                </a:ext>
              </a:extLst>
            </xdr:cNvPr>
            <xdr:cNvSpPr txBox="1"/>
          </xdr:nvSpPr>
          <xdr:spPr>
            <a:xfrm>
              <a:off x="22673690" y="4369193"/>
              <a:ext cx="597889"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50B3DFC-FEB2-4FC2-B21D-393B7F54A6C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21" name="テキスト ボックス 20">
              <a:extLst>
                <a:ext uri="{FF2B5EF4-FFF2-40B4-BE49-F238E27FC236}">
                  <a16:creationId xmlns:a16="http://schemas.microsoft.com/office/drawing/2014/main" id="{00000000-0008-0000-0400-000015000000}"/>
                </a:ext>
              </a:extLst>
            </xdr:cNvPr>
            <xdr:cNvSpPr txBox="1"/>
          </xdr:nvSpPr>
          <xdr:spPr>
            <a:xfrm>
              <a:off x="22673690" y="4660426"/>
              <a:ext cx="597889"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E7A9F28-B82C-4225-8A65-6F9F0FD3DB3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22" name="テキスト ボックス 21">
              <a:extLst>
                <a:ext uri="{FF2B5EF4-FFF2-40B4-BE49-F238E27FC236}">
                  <a16:creationId xmlns:a16="http://schemas.microsoft.com/office/drawing/2014/main" id="{00000000-0008-0000-0400-000016000000}"/>
                </a:ext>
              </a:extLst>
            </xdr:cNvPr>
            <xdr:cNvSpPr txBox="1"/>
          </xdr:nvSpPr>
          <xdr:spPr>
            <a:xfrm>
              <a:off x="22673690" y="4951657"/>
              <a:ext cx="587758"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1F8F4B1-1E55-4015-B2CC-32CB1D47B6C6}"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23" name="テキスト ボックス 22">
              <a:extLst>
                <a:ext uri="{FF2B5EF4-FFF2-40B4-BE49-F238E27FC236}">
                  <a16:creationId xmlns:a16="http://schemas.microsoft.com/office/drawing/2014/main" id="{00000000-0008-0000-0400-000017000000}"/>
                </a:ext>
              </a:extLst>
            </xdr:cNvPr>
            <xdr:cNvSpPr txBox="1"/>
          </xdr:nvSpPr>
          <xdr:spPr>
            <a:xfrm>
              <a:off x="22673690" y="5234476"/>
              <a:ext cx="668806"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E5F6ADE-AA81-453C-81F7-1E8364768D4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24" name="テキスト ボックス 23">
              <a:extLst>
                <a:ext uri="{FF2B5EF4-FFF2-40B4-BE49-F238E27FC236}">
                  <a16:creationId xmlns:a16="http://schemas.microsoft.com/office/drawing/2014/main" id="{00000000-0008-0000-0400-000018000000}"/>
                </a:ext>
              </a:extLst>
            </xdr:cNvPr>
            <xdr:cNvSpPr txBox="1"/>
          </xdr:nvSpPr>
          <xdr:spPr>
            <a:xfrm>
              <a:off x="22673690" y="2640409"/>
              <a:ext cx="689068"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B19505CB-0B02-40BD-8A1E-CDF2D845647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25" name="テキスト ボックス 24">
              <a:extLst>
                <a:ext uri="{FF2B5EF4-FFF2-40B4-BE49-F238E27FC236}">
                  <a16:creationId xmlns:a16="http://schemas.microsoft.com/office/drawing/2014/main" id="{00000000-0008-0000-0400-000019000000}"/>
                </a:ext>
              </a:extLst>
            </xdr:cNvPr>
            <xdr:cNvSpPr txBox="1"/>
          </xdr:nvSpPr>
          <xdr:spPr>
            <a:xfrm>
              <a:off x="22661819" y="1012025"/>
              <a:ext cx="803138" cy="12986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BB14043-9469-40D4-BE9C-DC71FEDDB27D}"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40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54" name="Chart 123">
          <a:extLst>
            <a:ext uri="{FF2B5EF4-FFF2-40B4-BE49-F238E27FC236}">
              <a16:creationId xmlns:a16="http://schemas.microsoft.com/office/drawing/2014/main" id="{00000000-0008-0000-0400-00003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28575</xdr:colOff>
          <xdr:row>0</xdr:row>
          <xdr:rowOff>133350</xdr:rowOff>
        </xdr:from>
        <xdr:to>
          <xdr:col>17</xdr:col>
          <xdr:colOff>112395</xdr:colOff>
          <xdr:row>33</xdr:row>
          <xdr:rowOff>289</xdr:rowOff>
        </xdr:to>
        <xdr:pic>
          <xdr:nvPicPr>
            <xdr:cNvPr id="5" name="図 4">
              <a:extLst>
                <a:ext uri="{FF2B5EF4-FFF2-40B4-BE49-F238E27FC236}">
                  <a16:creationId xmlns:a16="http://schemas.microsoft.com/office/drawing/2014/main" id="{9AD4DB64-0ADE-4C85-8684-84C61E71E466}"/>
                </a:ext>
              </a:extLst>
            </xdr:cNvPr>
            <xdr:cNvPicPr>
              <a:picLocks noChangeAspect="1" noChangeArrowheads="1"/>
              <a:extLst>
                <a:ext uri="{84589F7E-364E-4C9E-8A38-B11213B215E9}">
                  <a14:cameraTool cellRange="図形" spid="_x0000_s212081"/>
                </a:ext>
              </a:extLst>
            </xdr:cNvPicPr>
          </xdr:nvPicPr>
          <xdr:blipFill rotWithShape="1">
            <a:blip xmlns:r="http://schemas.openxmlformats.org/officeDocument/2006/relationships" r:embed="rId20"/>
            <a:srcRect l="16737" t="18402" r="12436" b="5334"/>
            <a:stretch>
              <a:fillRect/>
            </a:stretch>
          </xdr:blipFill>
          <xdr:spPr bwMode="auto">
            <a:xfrm>
              <a:off x="9963150" y="133350"/>
              <a:ext cx="5341620" cy="541048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2" name="Picture 38">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021955" y="243840"/>
          <a:ext cx="1758315" cy="421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419100</xdr:colOff>
      <xdr:row>16</xdr:row>
      <xdr:rowOff>116204</xdr:rowOff>
    </xdr:from>
    <xdr:to>
      <xdr:col>8</xdr:col>
      <xdr:colOff>408240</xdr:colOff>
      <xdr:row>21</xdr:row>
      <xdr:rowOff>109424</xdr:rowOff>
    </xdr:to>
    <xdr:graphicFrame macro="">
      <xdr:nvGraphicFramePr>
        <xdr:cNvPr id="3" name="Chart 7">
          <a:extLst>
            <a:ext uri="{FF2B5EF4-FFF2-40B4-BE49-F238E27FC236}">
              <a16:creationId xmlns:a16="http://schemas.microsoft.com/office/drawing/2014/main" id="{00000000-0008-0000-0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3362</xdr:colOff>
      <xdr:row>36</xdr:row>
      <xdr:rowOff>26332</xdr:rowOff>
    </xdr:from>
    <xdr:to>
      <xdr:col>16</xdr:col>
      <xdr:colOff>4961200</xdr:colOff>
      <xdr:row>55</xdr:row>
      <xdr:rowOff>136710</xdr:rowOff>
    </xdr:to>
    <xdr:graphicFrame macro="">
      <xdr:nvGraphicFramePr>
        <xdr:cNvPr id="4" name="Chart 9">
          <a:extLst>
            <a:ext uri="{FF2B5EF4-FFF2-40B4-BE49-F238E27FC236}">
              <a16:creationId xmlns:a16="http://schemas.microsoft.com/office/drawing/2014/main" id="{00000000-0008-0000-0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71437</xdr:colOff>
      <xdr:row>1</xdr:row>
      <xdr:rowOff>11906</xdr:rowOff>
    </xdr:from>
    <xdr:to>
      <xdr:col>7</xdr:col>
      <xdr:colOff>932405</xdr:colOff>
      <xdr:row>4</xdr:row>
      <xdr:rowOff>154781</xdr:rowOff>
    </xdr:to>
    <xdr:pic>
      <xdr:nvPicPr>
        <xdr:cNvPr id="7" name="図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val="0"/>
            </a:ext>
          </a:extLst>
        </a:blip>
        <a:stretch>
          <a:fillRect/>
        </a:stretch>
      </xdr:blipFill>
      <xdr:spPr>
        <a:xfrm>
          <a:off x="200977" y="179546"/>
          <a:ext cx="4478563" cy="645795"/>
        </a:xfrm>
        <a:prstGeom prst="rect">
          <a:avLst/>
        </a:prstGeom>
      </xdr:spPr>
    </xdr:pic>
    <xdr:clientData/>
  </xdr:twoCellAnchor>
  <xdr:twoCellAnchor>
    <xdr:from>
      <xdr:col>15</xdr:col>
      <xdr:colOff>3362</xdr:colOff>
      <xdr:row>5</xdr:row>
      <xdr:rowOff>9214</xdr:rowOff>
    </xdr:from>
    <xdr:to>
      <xdr:col>16</xdr:col>
      <xdr:colOff>4961200</xdr:colOff>
      <xdr:row>35</xdr:row>
      <xdr:rowOff>64987</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a:xfrm>
          <a:off x="11186833" y="860861"/>
          <a:ext cx="5641396" cy="5244097"/>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59574</xdr:colOff>
      <xdr:row>4</xdr:row>
      <xdr:rowOff>134694</xdr:rowOff>
    </xdr:from>
    <xdr:to>
      <xdr:col>16</xdr:col>
      <xdr:colOff>4457834</xdr:colOff>
      <xdr:row>35</xdr:row>
      <xdr:rowOff>92075</xdr:rowOff>
    </xdr:to>
    <xdr:grpSp>
      <xdr:nvGrpSpPr>
        <xdr:cNvPr id="51" name="グループ化 50">
          <a:extLst>
            <a:ext uri="{FF2B5EF4-FFF2-40B4-BE49-F238E27FC236}">
              <a16:creationId xmlns:a16="http://schemas.microsoft.com/office/drawing/2014/main" id="{00000000-0008-0000-0500-000033000000}"/>
            </a:ext>
          </a:extLst>
        </xdr:cNvPr>
        <xdr:cNvGrpSpPr>
          <a:grpSpLocks noChangeAspect="1"/>
        </xdr:cNvGrpSpPr>
      </xdr:nvGrpSpPr>
      <xdr:grpSpPr>
        <a:xfrm>
          <a:off x="11222874" y="820494"/>
          <a:ext cx="5093585" cy="5253281"/>
          <a:chOff x="11113781" y="938893"/>
          <a:chExt cx="5549153" cy="5200886"/>
        </a:xfrm>
      </xdr:grpSpPr>
      <xdr:sp macro="" textlink="">
        <xdr:nvSpPr>
          <xdr:cNvPr id="53" name="テキスト ボックス 52">
            <a:extLst>
              <a:ext uri="{FF2B5EF4-FFF2-40B4-BE49-F238E27FC236}">
                <a16:creationId xmlns:a16="http://schemas.microsoft.com/office/drawing/2014/main" id="{00000000-0008-0000-0500-000035000000}"/>
              </a:ext>
            </a:extLst>
          </xdr:cNvPr>
          <xdr:cNvSpPr txBox="1"/>
        </xdr:nvSpPr>
        <xdr:spPr>
          <a:xfrm>
            <a:off x="11138824" y="5927094"/>
            <a:ext cx="4832367" cy="212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54" name="グループ化 53">
            <a:extLst>
              <a:ext uri="{FF2B5EF4-FFF2-40B4-BE49-F238E27FC236}">
                <a16:creationId xmlns:a16="http://schemas.microsoft.com/office/drawing/2014/main" id="{00000000-0008-0000-0500-000036000000}"/>
              </a:ext>
            </a:extLst>
          </xdr:cNvPr>
          <xdr:cNvGrpSpPr/>
        </xdr:nvGrpSpPr>
        <xdr:grpSpPr>
          <a:xfrm>
            <a:off x="11113781" y="938893"/>
            <a:ext cx="5549153" cy="5005090"/>
            <a:chOff x="17945416" y="882763"/>
            <a:chExt cx="5553405" cy="5025500"/>
          </a:xfrm>
        </xdr:grpSpPr>
        <xdr:grpSp>
          <xdr:nvGrpSpPr>
            <xdr:cNvPr id="55" name="グループ化 54">
              <a:extLst>
                <a:ext uri="{FF2B5EF4-FFF2-40B4-BE49-F238E27FC236}">
                  <a16:creationId xmlns:a16="http://schemas.microsoft.com/office/drawing/2014/main" id="{00000000-0008-0000-0500-000037000000}"/>
                </a:ext>
              </a:extLst>
            </xdr:cNvPr>
            <xdr:cNvGrpSpPr/>
          </xdr:nvGrpSpPr>
          <xdr:grpSpPr>
            <a:xfrm>
              <a:off x="17945416" y="882763"/>
              <a:ext cx="5553405" cy="5025500"/>
              <a:chOff x="17962359" y="870857"/>
              <a:chExt cx="5557527" cy="5124413"/>
            </a:xfrm>
          </xdr:grpSpPr>
          <xdr:graphicFrame macro="">
            <xdr:nvGraphicFramePr>
              <xdr:cNvPr id="68" name="グラフ 67">
                <a:extLst>
                  <a:ext uri="{FF2B5EF4-FFF2-40B4-BE49-F238E27FC236}">
                    <a16:creationId xmlns:a16="http://schemas.microsoft.com/office/drawing/2014/main" id="{00000000-0008-0000-0500-000044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69" name="テキスト ボックス 68">
                <a:extLst>
                  <a:ext uri="{FF2B5EF4-FFF2-40B4-BE49-F238E27FC236}">
                    <a16:creationId xmlns:a16="http://schemas.microsoft.com/office/drawing/2014/main" id="{00000000-0008-0000-0500-000045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71" name="テキスト ボックス 70">
                <a:extLst>
                  <a:ext uri="{FF2B5EF4-FFF2-40B4-BE49-F238E27FC236}">
                    <a16:creationId xmlns:a16="http://schemas.microsoft.com/office/drawing/2014/main" id="{00000000-0008-0000-0500-000047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73" name="テキスト ボックス 72">
                <a:extLst>
                  <a:ext uri="{FF2B5EF4-FFF2-40B4-BE49-F238E27FC236}">
                    <a16:creationId xmlns:a16="http://schemas.microsoft.com/office/drawing/2014/main" id="{00000000-0008-0000-0500-000049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75" name="テキスト ボックス 74">
                <a:extLst>
                  <a:ext uri="{FF2B5EF4-FFF2-40B4-BE49-F238E27FC236}">
                    <a16:creationId xmlns:a16="http://schemas.microsoft.com/office/drawing/2014/main" id="{00000000-0008-0000-0500-00004B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77" name="テキスト ボックス 76">
                <a:extLst>
                  <a:ext uri="{FF2B5EF4-FFF2-40B4-BE49-F238E27FC236}">
                    <a16:creationId xmlns:a16="http://schemas.microsoft.com/office/drawing/2014/main" id="{00000000-0008-0000-0500-00004D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79" name="テキスト ボックス 78">
                <a:extLst>
                  <a:ext uri="{FF2B5EF4-FFF2-40B4-BE49-F238E27FC236}">
                    <a16:creationId xmlns:a16="http://schemas.microsoft.com/office/drawing/2014/main" id="{00000000-0008-0000-0500-00004F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80" name="テキスト ボックス 79">
                <a:extLst>
                  <a:ext uri="{FF2B5EF4-FFF2-40B4-BE49-F238E27FC236}">
                    <a16:creationId xmlns:a16="http://schemas.microsoft.com/office/drawing/2014/main" id="{00000000-0008-0000-0500-000050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81" name="直線コネクタ 80">
                <a:extLst>
                  <a:ext uri="{FF2B5EF4-FFF2-40B4-BE49-F238E27FC236}">
                    <a16:creationId xmlns:a16="http://schemas.microsoft.com/office/drawing/2014/main" id="{00000000-0008-0000-0500-000051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82" name="Chart 123">
                <a:extLst>
                  <a:ext uri="{FF2B5EF4-FFF2-40B4-BE49-F238E27FC236}">
                    <a16:creationId xmlns:a16="http://schemas.microsoft.com/office/drawing/2014/main" id="{00000000-0008-0000-0500-000052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6"/>
              </a:graphicData>
            </a:graphic>
          </xdr:graphicFrame>
          <xdr:pic>
            <xdr:nvPicPr>
              <xdr:cNvPr id="83" name="図 82">
                <a:extLst>
                  <a:ext uri="{FF2B5EF4-FFF2-40B4-BE49-F238E27FC236}">
                    <a16:creationId xmlns:a16="http://schemas.microsoft.com/office/drawing/2014/main" id="{00000000-0008-0000-0500-000053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84" name="図 83">
                <a:extLst>
                  <a:ext uri="{FF2B5EF4-FFF2-40B4-BE49-F238E27FC236}">
                    <a16:creationId xmlns:a16="http://schemas.microsoft.com/office/drawing/2014/main" id="{00000000-0008-0000-0500-00005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85" name="図 84">
                <a:extLst>
                  <a:ext uri="{FF2B5EF4-FFF2-40B4-BE49-F238E27FC236}">
                    <a16:creationId xmlns:a16="http://schemas.microsoft.com/office/drawing/2014/main" id="{00000000-0008-0000-0500-000055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86" name="図 85">
                <a:extLst>
                  <a:ext uri="{FF2B5EF4-FFF2-40B4-BE49-F238E27FC236}">
                    <a16:creationId xmlns:a16="http://schemas.microsoft.com/office/drawing/2014/main" id="{00000000-0008-0000-0500-000056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87" name="図 86">
                <a:extLst>
                  <a:ext uri="{FF2B5EF4-FFF2-40B4-BE49-F238E27FC236}">
                    <a16:creationId xmlns:a16="http://schemas.microsoft.com/office/drawing/2014/main" id="{00000000-0008-0000-0500-000057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88" name="図 87">
                <a:extLst>
                  <a:ext uri="{FF2B5EF4-FFF2-40B4-BE49-F238E27FC236}">
                    <a16:creationId xmlns:a16="http://schemas.microsoft.com/office/drawing/2014/main" id="{00000000-0008-0000-0500-000058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89" name="図 88">
                <a:extLst>
                  <a:ext uri="{FF2B5EF4-FFF2-40B4-BE49-F238E27FC236}">
                    <a16:creationId xmlns:a16="http://schemas.microsoft.com/office/drawing/2014/main" id="{00000000-0008-0000-0500-000059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90" name="図 89">
                <a:extLst>
                  <a:ext uri="{FF2B5EF4-FFF2-40B4-BE49-F238E27FC236}">
                    <a16:creationId xmlns:a16="http://schemas.microsoft.com/office/drawing/2014/main" id="{00000000-0008-0000-0500-00005A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91" name="図 90">
                <a:extLst>
                  <a:ext uri="{FF2B5EF4-FFF2-40B4-BE49-F238E27FC236}">
                    <a16:creationId xmlns:a16="http://schemas.microsoft.com/office/drawing/2014/main" id="{00000000-0008-0000-0500-00005B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92" name="図 91">
                <a:extLst>
                  <a:ext uri="{FF2B5EF4-FFF2-40B4-BE49-F238E27FC236}">
                    <a16:creationId xmlns:a16="http://schemas.microsoft.com/office/drawing/2014/main" id="{00000000-0008-0000-0500-00005C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93" name="図 92">
                <a:extLst>
                  <a:ext uri="{FF2B5EF4-FFF2-40B4-BE49-F238E27FC236}">
                    <a16:creationId xmlns:a16="http://schemas.microsoft.com/office/drawing/2014/main" id="{00000000-0008-0000-0500-00005D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94" name="図 93">
                <a:extLst>
                  <a:ext uri="{FF2B5EF4-FFF2-40B4-BE49-F238E27FC236}">
                    <a16:creationId xmlns:a16="http://schemas.microsoft.com/office/drawing/2014/main" id="{00000000-0008-0000-0500-00005E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56" name="テキスト ボックス 55">
              <a:extLst>
                <a:ext uri="{FF2B5EF4-FFF2-40B4-BE49-F238E27FC236}">
                  <a16:creationId xmlns:a16="http://schemas.microsoft.com/office/drawing/2014/main" id="{00000000-0008-0000-0500-000038000000}"/>
                </a:ext>
              </a:extLst>
            </xdr:cNvPr>
            <xdr:cNvSpPr txBox="1"/>
          </xdr:nvSpPr>
          <xdr:spPr>
            <a:xfrm>
              <a:off x="22673679" y="2075845"/>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59D26A15-F58D-404D-A452-4D445968122E}"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57" name="テキスト ボックス 56">
              <a:extLst>
                <a:ext uri="{FF2B5EF4-FFF2-40B4-BE49-F238E27FC236}">
                  <a16:creationId xmlns:a16="http://schemas.microsoft.com/office/drawing/2014/main" id="{00000000-0008-0000-0500-000039000000}"/>
                </a:ext>
              </a:extLst>
            </xdr:cNvPr>
            <xdr:cNvSpPr txBox="1"/>
          </xdr:nvSpPr>
          <xdr:spPr>
            <a:xfrm>
              <a:off x="22673679" y="2354826"/>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EE7479D8-AB1E-4948-86DB-805AE8E9F6B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58" name="テキスト ボックス 57">
              <a:extLst>
                <a:ext uri="{FF2B5EF4-FFF2-40B4-BE49-F238E27FC236}">
                  <a16:creationId xmlns:a16="http://schemas.microsoft.com/office/drawing/2014/main" id="{00000000-0008-0000-0500-00003A000000}"/>
                </a:ext>
              </a:extLst>
            </xdr:cNvPr>
            <xdr:cNvSpPr txBox="1"/>
          </xdr:nvSpPr>
          <xdr:spPr>
            <a:xfrm>
              <a:off x="22673679" y="2927813"/>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B9A95B51-A129-451F-AE13-2DC89950887F}"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59" name="テキスト ボックス 58">
              <a:extLst>
                <a:ext uri="{FF2B5EF4-FFF2-40B4-BE49-F238E27FC236}">
                  <a16:creationId xmlns:a16="http://schemas.microsoft.com/office/drawing/2014/main" id="{00000000-0008-0000-0500-00003B000000}"/>
                </a:ext>
              </a:extLst>
            </xdr:cNvPr>
            <xdr:cNvSpPr txBox="1"/>
          </xdr:nvSpPr>
          <xdr:spPr>
            <a:xfrm>
              <a:off x="22673679" y="3216612"/>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12849158-16F9-4A08-96FE-2CC6889AED66}"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60" name="テキスト ボックス 59">
              <a:extLst>
                <a:ext uri="{FF2B5EF4-FFF2-40B4-BE49-F238E27FC236}">
                  <a16:creationId xmlns:a16="http://schemas.microsoft.com/office/drawing/2014/main" id="{00000000-0008-0000-0500-00003C000000}"/>
                </a:ext>
              </a:extLst>
            </xdr:cNvPr>
            <xdr:cNvSpPr txBox="1"/>
          </xdr:nvSpPr>
          <xdr:spPr>
            <a:xfrm>
              <a:off x="22673679" y="3501037"/>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DDAD22D-2B27-4DAC-95F1-4428339A943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61" name="テキスト ボックス 60">
              <a:extLst>
                <a:ext uri="{FF2B5EF4-FFF2-40B4-BE49-F238E27FC236}">
                  <a16:creationId xmlns:a16="http://schemas.microsoft.com/office/drawing/2014/main" id="{00000000-0008-0000-0500-00003D000000}"/>
                </a:ext>
              </a:extLst>
            </xdr:cNvPr>
            <xdr:cNvSpPr txBox="1"/>
          </xdr:nvSpPr>
          <xdr:spPr>
            <a:xfrm>
              <a:off x="22673679" y="3788869"/>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BAD9406F-BCC2-4BF1-A7DA-D7B69CD72740}"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62" name="テキスト ボックス 61">
              <a:extLst>
                <a:ext uri="{FF2B5EF4-FFF2-40B4-BE49-F238E27FC236}">
                  <a16:creationId xmlns:a16="http://schemas.microsoft.com/office/drawing/2014/main" id="{00000000-0008-0000-0500-00003E000000}"/>
                </a:ext>
              </a:extLst>
            </xdr:cNvPr>
            <xdr:cNvSpPr txBox="1"/>
          </xdr:nvSpPr>
          <xdr:spPr>
            <a:xfrm>
              <a:off x="22673679" y="4080831"/>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DAEAACB9-7840-4E33-90EB-63DBA7D802BB}"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2673679" y="4369630"/>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227AB710-D466-4BA5-BCAA-30AF9995BE4E}"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64" name="テキスト ボックス 63">
              <a:extLst>
                <a:ext uri="{FF2B5EF4-FFF2-40B4-BE49-F238E27FC236}">
                  <a16:creationId xmlns:a16="http://schemas.microsoft.com/office/drawing/2014/main" id="{00000000-0008-0000-0500-000040000000}"/>
                </a:ext>
              </a:extLst>
            </xdr:cNvPr>
            <xdr:cNvSpPr txBox="1"/>
          </xdr:nvSpPr>
          <xdr:spPr>
            <a:xfrm>
              <a:off x="22673679" y="4660860"/>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6F0FCDD6-91B4-4FB4-BB85-A1ED95218200}"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65" name="テキスト ボックス 64">
              <a:extLst>
                <a:ext uri="{FF2B5EF4-FFF2-40B4-BE49-F238E27FC236}">
                  <a16:creationId xmlns:a16="http://schemas.microsoft.com/office/drawing/2014/main" id="{00000000-0008-0000-0500-000041000000}"/>
                </a:ext>
              </a:extLst>
            </xdr:cNvPr>
            <xdr:cNvSpPr txBox="1"/>
          </xdr:nvSpPr>
          <xdr:spPr>
            <a:xfrm>
              <a:off x="22673679" y="4952091"/>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6443F0FB-8F94-4C7C-AAA9-8F0AEAA3C302}"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66" name="テキスト ボックス 65">
              <a:extLst>
                <a:ext uri="{FF2B5EF4-FFF2-40B4-BE49-F238E27FC236}">
                  <a16:creationId xmlns:a16="http://schemas.microsoft.com/office/drawing/2014/main" id="{00000000-0008-0000-0500-000042000000}"/>
                </a:ext>
              </a:extLst>
            </xdr:cNvPr>
            <xdr:cNvSpPr txBox="1"/>
          </xdr:nvSpPr>
          <xdr:spPr>
            <a:xfrm>
              <a:off x="22673679" y="5234907"/>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B8069D5-0563-4A34-A418-9C3F3A5937A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67" name="テキスト ボックス 66">
              <a:extLst>
                <a:ext uri="{FF2B5EF4-FFF2-40B4-BE49-F238E27FC236}">
                  <a16:creationId xmlns:a16="http://schemas.microsoft.com/office/drawing/2014/main" id="{00000000-0008-0000-0500-000043000000}"/>
                </a:ext>
              </a:extLst>
            </xdr:cNvPr>
            <xdr:cNvSpPr txBox="1"/>
          </xdr:nvSpPr>
          <xdr:spPr>
            <a:xfrm>
              <a:off x="22673679" y="2640847"/>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E96E5CB-9D4B-4312-BA31-293C86E748F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95" name="テキスト ボックス 94">
              <a:extLst>
                <a:ext uri="{FF2B5EF4-FFF2-40B4-BE49-F238E27FC236}">
                  <a16:creationId xmlns:a16="http://schemas.microsoft.com/office/drawing/2014/main" id="{00000000-0008-0000-0500-00005F000000}"/>
                </a:ext>
              </a:extLst>
            </xdr:cNvPr>
            <xdr:cNvSpPr txBox="1"/>
          </xdr:nvSpPr>
          <xdr:spPr>
            <a:xfrm>
              <a:off x="22673679" y="1500637"/>
              <a:ext cx="676098" cy="3869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fld id="{73B25E8E-9203-403A-B7A6-748935B60260}"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40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8" name="Chart 123">
          <a:extLst>
            <a:ext uri="{FF2B5EF4-FFF2-40B4-BE49-F238E27FC236}">
              <a16:creationId xmlns:a16="http://schemas.microsoft.com/office/drawing/2014/main" id="{00000000-0008-0000-05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11430</xdr:colOff>
          <xdr:row>3</xdr:row>
          <xdr:rowOff>152400</xdr:rowOff>
        </xdr:from>
        <xdr:to>
          <xdr:col>17</xdr:col>
          <xdr:colOff>87630</xdr:colOff>
          <xdr:row>36</xdr:row>
          <xdr:rowOff>6004</xdr:rowOff>
        </xdr:to>
        <xdr:pic>
          <xdr:nvPicPr>
            <xdr:cNvPr id="5" name="図 4">
              <a:extLst>
                <a:ext uri="{FF2B5EF4-FFF2-40B4-BE49-F238E27FC236}">
                  <a16:creationId xmlns:a16="http://schemas.microsoft.com/office/drawing/2014/main" id="{D43AD37C-4CE6-4859-A0EA-9D9B54A8D80C}"/>
                </a:ext>
              </a:extLst>
            </xdr:cNvPr>
            <xdr:cNvPicPr>
              <a:picLocks noChangeAspect="1" noChangeArrowheads="1"/>
              <a:extLst>
                <a:ext uri="{84589F7E-364E-4C9E-8A38-B11213B215E9}">
                  <a14:cameraTool cellRange="図形" spid="_x0000_s182386"/>
                </a:ext>
              </a:extLst>
            </xdr:cNvPicPr>
          </xdr:nvPicPr>
          <xdr:blipFill rotWithShape="1">
            <a:blip xmlns:r="http://schemas.openxmlformats.org/officeDocument/2006/relationships" r:embed="rId20"/>
            <a:srcRect l="16737" t="18402" r="12436" b="5334"/>
            <a:stretch>
              <a:fillRect/>
            </a:stretch>
          </xdr:blipFill>
          <xdr:spPr bwMode="auto">
            <a:xfrm>
              <a:off x="11031855" y="666750"/>
              <a:ext cx="5905500" cy="550192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2" name="Picture 38">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021955" y="243840"/>
          <a:ext cx="1758315" cy="421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411480</xdr:colOff>
      <xdr:row>16</xdr:row>
      <xdr:rowOff>116204</xdr:rowOff>
    </xdr:from>
    <xdr:to>
      <xdr:col>8</xdr:col>
      <xdr:colOff>400620</xdr:colOff>
      <xdr:row>21</xdr:row>
      <xdr:rowOff>109424</xdr:rowOff>
    </xdr:to>
    <xdr:graphicFrame macro="">
      <xdr:nvGraphicFramePr>
        <xdr:cNvPr id="3" name="Chart 7">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3782</xdr:colOff>
      <xdr:row>34</xdr:row>
      <xdr:rowOff>2875</xdr:rowOff>
    </xdr:from>
    <xdr:to>
      <xdr:col>17</xdr:col>
      <xdr:colOff>1000</xdr:colOff>
      <xdr:row>54</xdr:row>
      <xdr:rowOff>65740</xdr:rowOff>
    </xdr:to>
    <xdr:graphicFrame macro="">
      <xdr:nvGraphicFramePr>
        <xdr:cNvPr id="4" name="Chart 9">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3782</xdr:colOff>
      <xdr:row>55</xdr:row>
      <xdr:rowOff>54498</xdr:rowOff>
    </xdr:from>
    <xdr:to>
      <xdr:col>17</xdr:col>
      <xdr:colOff>1000</xdr:colOff>
      <xdr:row>78</xdr:row>
      <xdr:rowOff>81580</xdr:rowOff>
    </xdr:to>
    <xdr:graphicFrame macro="">
      <xdr:nvGraphicFramePr>
        <xdr:cNvPr id="5" name="Chart 14">
          <a:extLst>
            <a:ext uri="{FF2B5EF4-FFF2-40B4-BE49-F238E27FC236}">
              <a16:creationId xmlns:a16="http://schemas.microsoft.com/office/drawing/2014/main" id="{00000000-0008-0000-06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14</xdr:col>
      <xdr:colOff>118082</xdr:colOff>
      <xdr:row>78</xdr:row>
      <xdr:rowOff>141941</xdr:rowOff>
    </xdr:from>
    <xdr:to>
      <xdr:col>16</xdr:col>
      <xdr:colOff>4451080</xdr:colOff>
      <xdr:row>100</xdr:row>
      <xdr:rowOff>8816</xdr:rowOff>
    </xdr:to>
    <xdr:graphicFrame macro="">
      <xdr:nvGraphicFramePr>
        <xdr:cNvPr id="6" name="Chart 15">
          <a:extLst>
            <a:ext uri="{FF2B5EF4-FFF2-40B4-BE49-F238E27FC236}">
              <a16:creationId xmlns:a16="http://schemas.microsoft.com/office/drawing/2014/main" id="{00000000-0008-0000-06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1</xdr:col>
      <xdr:colOff>71437</xdr:colOff>
      <xdr:row>1</xdr:row>
      <xdr:rowOff>11906</xdr:rowOff>
    </xdr:from>
    <xdr:to>
      <xdr:col>7</xdr:col>
      <xdr:colOff>936215</xdr:colOff>
      <xdr:row>4</xdr:row>
      <xdr:rowOff>154781</xdr:rowOff>
    </xdr:to>
    <xdr:pic>
      <xdr:nvPicPr>
        <xdr:cNvPr id="7" name="図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val="0"/>
            </a:ext>
          </a:extLst>
        </a:blip>
        <a:stretch>
          <a:fillRect/>
        </a:stretch>
      </xdr:blipFill>
      <xdr:spPr>
        <a:xfrm>
          <a:off x="200977" y="179546"/>
          <a:ext cx="4478563" cy="645795"/>
        </a:xfrm>
        <a:prstGeom prst="rect">
          <a:avLst/>
        </a:prstGeom>
      </xdr:spPr>
    </xdr:pic>
    <xdr:clientData/>
  </xdr:twoCellAnchor>
  <xdr:twoCellAnchor>
    <xdr:from>
      <xdr:col>15</xdr:col>
      <xdr:colOff>3782</xdr:colOff>
      <xdr:row>3</xdr:row>
      <xdr:rowOff>609</xdr:rowOff>
    </xdr:from>
    <xdr:to>
      <xdr:col>16</xdr:col>
      <xdr:colOff>4961620</xdr:colOff>
      <xdr:row>33</xdr:row>
      <xdr:rowOff>91018</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11208646" y="520154"/>
          <a:ext cx="5650565" cy="5130000"/>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53434</xdr:colOff>
      <xdr:row>3</xdr:row>
      <xdr:rowOff>609</xdr:rowOff>
    </xdr:from>
    <xdr:to>
      <xdr:col>16</xdr:col>
      <xdr:colOff>4461219</xdr:colOff>
      <xdr:row>33</xdr:row>
      <xdr:rowOff>59056</xdr:rowOff>
    </xdr:to>
    <xdr:grpSp>
      <xdr:nvGrpSpPr>
        <xdr:cNvPr id="52" name="グループ化 51">
          <a:extLst>
            <a:ext uri="{FF2B5EF4-FFF2-40B4-BE49-F238E27FC236}">
              <a16:creationId xmlns:a16="http://schemas.microsoft.com/office/drawing/2014/main" id="{00000000-0008-0000-0600-000034000000}"/>
            </a:ext>
          </a:extLst>
        </xdr:cNvPr>
        <xdr:cNvGrpSpPr>
          <a:grpSpLocks noChangeAspect="1"/>
        </xdr:cNvGrpSpPr>
      </xdr:nvGrpSpPr>
      <xdr:grpSpPr>
        <a:xfrm>
          <a:off x="11216734" y="514959"/>
          <a:ext cx="5103110" cy="5163847"/>
          <a:chOff x="11113781" y="938893"/>
          <a:chExt cx="5549153" cy="5125529"/>
        </a:xfrm>
      </xdr:grpSpPr>
      <xdr:sp macro="" textlink="">
        <xdr:nvSpPr>
          <xdr:cNvPr id="53" name="テキスト ボックス 52">
            <a:extLst>
              <a:ext uri="{FF2B5EF4-FFF2-40B4-BE49-F238E27FC236}">
                <a16:creationId xmlns:a16="http://schemas.microsoft.com/office/drawing/2014/main" id="{00000000-0008-0000-0600-000035000000}"/>
              </a:ext>
            </a:extLst>
          </xdr:cNvPr>
          <xdr:cNvSpPr txBox="1"/>
        </xdr:nvSpPr>
        <xdr:spPr>
          <a:xfrm>
            <a:off x="11138824" y="5851572"/>
            <a:ext cx="4722639" cy="2128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54" name="グループ化 53">
            <a:extLst>
              <a:ext uri="{FF2B5EF4-FFF2-40B4-BE49-F238E27FC236}">
                <a16:creationId xmlns:a16="http://schemas.microsoft.com/office/drawing/2014/main" id="{00000000-0008-0000-0600-000036000000}"/>
              </a:ext>
            </a:extLst>
          </xdr:cNvPr>
          <xdr:cNvGrpSpPr/>
        </xdr:nvGrpSpPr>
        <xdr:grpSpPr>
          <a:xfrm>
            <a:off x="11113781" y="938893"/>
            <a:ext cx="5549153" cy="5005090"/>
            <a:chOff x="17945416" y="882763"/>
            <a:chExt cx="5553405" cy="5025500"/>
          </a:xfrm>
        </xdr:grpSpPr>
        <xdr:grpSp>
          <xdr:nvGrpSpPr>
            <xdr:cNvPr id="55" name="グループ化 54">
              <a:extLst>
                <a:ext uri="{FF2B5EF4-FFF2-40B4-BE49-F238E27FC236}">
                  <a16:creationId xmlns:a16="http://schemas.microsoft.com/office/drawing/2014/main" id="{00000000-0008-0000-0600-000037000000}"/>
                </a:ext>
              </a:extLst>
            </xdr:cNvPr>
            <xdr:cNvGrpSpPr/>
          </xdr:nvGrpSpPr>
          <xdr:grpSpPr>
            <a:xfrm>
              <a:off x="17945416" y="882763"/>
              <a:ext cx="5553405" cy="5025500"/>
              <a:chOff x="17962359" y="870857"/>
              <a:chExt cx="5557527" cy="5124413"/>
            </a:xfrm>
          </xdr:grpSpPr>
          <xdr:graphicFrame macro="">
            <xdr:nvGraphicFramePr>
              <xdr:cNvPr id="68" name="グラフ 67">
                <a:extLst>
                  <a:ext uri="{FF2B5EF4-FFF2-40B4-BE49-F238E27FC236}">
                    <a16:creationId xmlns:a16="http://schemas.microsoft.com/office/drawing/2014/main" id="{00000000-0008-0000-0600-000044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70" name="テキスト ボックス 69">
                <a:extLst>
                  <a:ext uri="{FF2B5EF4-FFF2-40B4-BE49-F238E27FC236}">
                    <a16:creationId xmlns:a16="http://schemas.microsoft.com/office/drawing/2014/main" id="{00000000-0008-0000-0600-000046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81" name="直線コネクタ 80">
                <a:extLst>
                  <a:ext uri="{FF2B5EF4-FFF2-40B4-BE49-F238E27FC236}">
                    <a16:creationId xmlns:a16="http://schemas.microsoft.com/office/drawing/2014/main" id="{00000000-0008-0000-0600-000051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82" name="Chart 123">
                <a:extLst>
                  <a:ext uri="{FF2B5EF4-FFF2-40B4-BE49-F238E27FC236}">
                    <a16:creationId xmlns:a16="http://schemas.microsoft.com/office/drawing/2014/main" id="{00000000-0008-0000-0600-000052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8"/>
              </a:graphicData>
            </a:graphic>
          </xdr:graphicFrame>
          <xdr:pic>
            <xdr:nvPicPr>
              <xdr:cNvPr id="83" name="図 82">
                <a:extLst>
                  <a:ext uri="{FF2B5EF4-FFF2-40B4-BE49-F238E27FC236}">
                    <a16:creationId xmlns:a16="http://schemas.microsoft.com/office/drawing/2014/main" id="{00000000-0008-0000-0600-000053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84" name="図 83">
                <a:extLst>
                  <a:ext uri="{FF2B5EF4-FFF2-40B4-BE49-F238E27FC236}">
                    <a16:creationId xmlns:a16="http://schemas.microsoft.com/office/drawing/2014/main" id="{00000000-0008-0000-0600-000054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85" name="図 84">
                <a:extLst>
                  <a:ext uri="{FF2B5EF4-FFF2-40B4-BE49-F238E27FC236}">
                    <a16:creationId xmlns:a16="http://schemas.microsoft.com/office/drawing/2014/main" id="{00000000-0008-0000-0600-000055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86" name="図 85">
                <a:extLst>
                  <a:ext uri="{FF2B5EF4-FFF2-40B4-BE49-F238E27FC236}">
                    <a16:creationId xmlns:a16="http://schemas.microsoft.com/office/drawing/2014/main" id="{00000000-0008-0000-0600-000056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87" name="図 86">
                <a:extLst>
                  <a:ext uri="{FF2B5EF4-FFF2-40B4-BE49-F238E27FC236}">
                    <a16:creationId xmlns:a16="http://schemas.microsoft.com/office/drawing/2014/main" id="{00000000-0008-0000-0600-000057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88" name="図 87">
                <a:extLst>
                  <a:ext uri="{FF2B5EF4-FFF2-40B4-BE49-F238E27FC236}">
                    <a16:creationId xmlns:a16="http://schemas.microsoft.com/office/drawing/2014/main" id="{00000000-0008-0000-0600-000058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89" name="図 88">
                <a:extLst>
                  <a:ext uri="{FF2B5EF4-FFF2-40B4-BE49-F238E27FC236}">
                    <a16:creationId xmlns:a16="http://schemas.microsoft.com/office/drawing/2014/main" id="{00000000-0008-0000-0600-000059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90" name="図 89">
                <a:extLst>
                  <a:ext uri="{FF2B5EF4-FFF2-40B4-BE49-F238E27FC236}">
                    <a16:creationId xmlns:a16="http://schemas.microsoft.com/office/drawing/2014/main" id="{00000000-0008-0000-0600-00005A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91" name="図 90">
                <a:extLst>
                  <a:ext uri="{FF2B5EF4-FFF2-40B4-BE49-F238E27FC236}">
                    <a16:creationId xmlns:a16="http://schemas.microsoft.com/office/drawing/2014/main" id="{00000000-0008-0000-0600-00005B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92" name="図 91">
                <a:extLst>
                  <a:ext uri="{FF2B5EF4-FFF2-40B4-BE49-F238E27FC236}">
                    <a16:creationId xmlns:a16="http://schemas.microsoft.com/office/drawing/2014/main" id="{00000000-0008-0000-0600-00005C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93" name="図 92">
                <a:extLst>
                  <a:ext uri="{FF2B5EF4-FFF2-40B4-BE49-F238E27FC236}">
                    <a16:creationId xmlns:a16="http://schemas.microsoft.com/office/drawing/2014/main" id="{00000000-0008-0000-0600-00005D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94" name="図 93">
                <a:extLst>
                  <a:ext uri="{FF2B5EF4-FFF2-40B4-BE49-F238E27FC236}">
                    <a16:creationId xmlns:a16="http://schemas.microsoft.com/office/drawing/2014/main" id="{00000000-0008-0000-0600-00005E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56" name="テキスト ボックス 55">
              <a:extLst>
                <a:ext uri="{FF2B5EF4-FFF2-40B4-BE49-F238E27FC236}">
                  <a16:creationId xmlns:a16="http://schemas.microsoft.com/office/drawing/2014/main" id="{00000000-0008-0000-0600-000038000000}"/>
                </a:ext>
              </a:extLst>
            </xdr:cNvPr>
            <xdr:cNvSpPr txBox="1"/>
          </xdr:nvSpPr>
          <xdr:spPr>
            <a:xfrm>
              <a:off x="22673682" y="2075646"/>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AE0092CB-EAA8-422E-B8BD-3CEEDA10A225}"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57" name="テキスト ボックス 56">
              <a:extLst>
                <a:ext uri="{FF2B5EF4-FFF2-40B4-BE49-F238E27FC236}">
                  <a16:creationId xmlns:a16="http://schemas.microsoft.com/office/drawing/2014/main" id="{00000000-0008-0000-0600-000039000000}"/>
                </a:ext>
              </a:extLst>
            </xdr:cNvPr>
            <xdr:cNvSpPr txBox="1"/>
          </xdr:nvSpPr>
          <xdr:spPr>
            <a:xfrm>
              <a:off x="22673682" y="2354630"/>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E60C97E8-FD0B-4765-9C73-8433206AE2D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58" name="テキスト ボックス 57">
              <a:extLst>
                <a:ext uri="{FF2B5EF4-FFF2-40B4-BE49-F238E27FC236}">
                  <a16:creationId xmlns:a16="http://schemas.microsoft.com/office/drawing/2014/main" id="{00000000-0008-0000-0600-00003A000000}"/>
                </a:ext>
              </a:extLst>
            </xdr:cNvPr>
            <xdr:cNvSpPr txBox="1"/>
          </xdr:nvSpPr>
          <xdr:spPr>
            <a:xfrm>
              <a:off x="22673682" y="2927614"/>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F05A681-218F-442C-9AAC-394D5092A96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59" name="テキスト ボックス 58">
              <a:extLst>
                <a:ext uri="{FF2B5EF4-FFF2-40B4-BE49-F238E27FC236}">
                  <a16:creationId xmlns:a16="http://schemas.microsoft.com/office/drawing/2014/main" id="{00000000-0008-0000-0600-00003B000000}"/>
                </a:ext>
              </a:extLst>
            </xdr:cNvPr>
            <xdr:cNvSpPr txBox="1"/>
          </xdr:nvSpPr>
          <xdr:spPr>
            <a:xfrm>
              <a:off x="22673682" y="3216414"/>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506AD1CF-11D9-4C81-BA0D-6AEFBBEDA905}"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60" name="テキスト ボックス 59">
              <a:extLst>
                <a:ext uri="{FF2B5EF4-FFF2-40B4-BE49-F238E27FC236}">
                  <a16:creationId xmlns:a16="http://schemas.microsoft.com/office/drawing/2014/main" id="{00000000-0008-0000-0600-00003C000000}"/>
                </a:ext>
              </a:extLst>
            </xdr:cNvPr>
            <xdr:cNvSpPr txBox="1"/>
          </xdr:nvSpPr>
          <xdr:spPr>
            <a:xfrm>
              <a:off x="22673682" y="3500840"/>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70087AC-C290-4344-8804-1A89C790CE52}"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61" name="テキスト ボックス 60">
              <a:extLst>
                <a:ext uri="{FF2B5EF4-FFF2-40B4-BE49-F238E27FC236}">
                  <a16:creationId xmlns:a16="http://schemas.microsoft.com/office/drawing/2014/main" id="{00000000-0008-0000-0600-00003D000000}"/>
                </a:ext>
              </a:extLst>
            </xdr:cNvPr>
            <xdr:cNvSpPr txBox="1"/>
          </xdr:nvSpPr>
          <xdr:spPr>
            <a:xfrm>
              <a:off x="22673682" y="3788670"/>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55CB9A1-AD76-4058-B0D8-8469A0D3A575}"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62" name="テキスト ボックス 61">
              <a:extLst>
                <a:ext uri="{FF2B5EF4-FFF2-40B4-BE49-F238E27FC236}">
                  <a16:creationId xmlns:a16="http://schemas.microsoft.com/office/drawing/2014/main" id="{00000000-0008-0000-0600-00003E000000}"/>
                </a:ext>
              </a:extLst>
            </xdr:cNvPr>
            <xdr:cNvSpPr txBox="1"/>
          </xdr:nvSpPr>
          <xdr:spPr>
            <a:xfrm>
              <a:off x="22673682" y="4080633"/>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E34BA91-04B5-4F30-9B5B-B68ECFB08F6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63" name="テキスト ボックス 62">
              <a:extLst>
                <a:ext uri="{FF2B5EF4-FFF2-40B4-BE49-F238E27FC236}">
                  <a16:creationId xmlns:a16="http://schemas.microsoft.com/office/drawing/2014/main" id="{00000000-0008-0000-0600-00003F000000}"/>
                </a:ext>
              </a:extLst>
            </xdr:cNvPr>
            <xdr:cNvSpPr txBox="1"/>
          </xdr:nvSpPr>
          <xdr:spPr>
            <a:xfrm>
              <a:off x="22673682" y="4369431"/>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17B23C0-5E3D-4BD0-BACB-CC0C312C41E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64" name="テキスト ボックス 63">
              <a:extLst>
                <a:ext uri="{FF2B5EF4-FFF2-40B4-BE49-F238E27FC236}">
                  <a16:creationId xmlns:a16="http://schemas.microsoft.com/office/drawing/2014/main" id="{00000000-0008-0000-0600-000040000000}"/>
                </a:ext>
              </a:extLst>
            </xdr:cNvPr>
            <xdr:cNvSpPr txBox="1"/>
          </xdr:nvSpPr>
          <xdr:spPr>
            <a:xfrm>
              <a:off x="22673682" y="4660659"/>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A429556B-EF48-4E10-A9A0-0901189A5E26}"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65" name="テキスト ボックス 64">
              <a:extLst>
                <a:ext uri="{FF2B5EF4-FFF2-40B4-BE49-F238E27FC236}">
                  <a16:creationId xmlns:a16="http://schemas.microsoft.com/office/drawing/2014/main" id="{00000000-0008-0000-0600-000041000000}"/>
                </a:ext>
              </a:extLst>
            </xdr:cNvPr>
            <xdr:cNvSpPr txBox="1"/>
          </xdr:nvSpPr>
          <xdr:spPr>
            <a:xfrm>
              <a:off x="22673682" y="4951892"/>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FFB53C8C-B72E-4114-8F87-88F2578DB230}"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66" name="テキスト ボックス 65">
              <a:extLst>
                <a:ext uri="{FF2B5EF4-FFF2-40B4-BE49-F238E27FC236}">
                  <a16:creationId xmlns:a16="http://schemas.microsoft.com/office/drawing/2014/main" id="{00000000-0008-0000-0600-000042000000}"/>
                </a:ext>
              </a:extLst>
            </xdr:cNvPr>
            <xdr:cNvSpPr txBox="1"/>
          </xdr:nvSpPr>
          <xdr:spPr>
            <a:xfrm>
              <a:off x="22673682" y="5234710"/>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F6A298B-0523-4452-AB4C-26F5A5A3A60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67" name="テキスト ボックス 66">
              <a:extLst>
                <a:ext uri="{FF2B5EF4-FFF2-40B4-BE49-F238E27FC236}">
                  <a16:creationId xmlns:a16="http://schemas.microsoft.com/office/drawing/2014/main" id="{00000000-0008-0000-0600-000043000000}"/>
                </a:ext>
              </a:extLst>
            </xdr:cNvPr>
            <xdr:cNvSpPr txBox="1"/>
          </xdr:nvSpPr>
          <xdr:spPr>
            <a:xfrm>
              <a:off x="22673682" y="2640650"/>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77FD211-7065-4A6C-84EC-D78008C7237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95" name="テキスト ボックス 94">
              <a:extLst>
                <a:ext uri="{FF2B5EF4-FFF2-40B4-BE49-F238E27FC236}">
                  <a16:creationId xmlns:a16="http://schemas.microsoft.com/office/drawing/2014/main" id="{00000000-0008-0000-0600-00005F000000}"/>
                </a:ext>
              </a:extLst>
            </xdr:cNvPr>
            <xdr:cNvSpPr txBox="1"/>
          </xdr:nvSpPr>
          <xdr:spPr>
            <a:xfrm>
              <a:off x="22673682" y="1492333"/>
              <a:ext cx="635124" cy="4167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fld id="{781C6DE2-063B-4A36-8A91-FE7F1647C865}"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60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11" name="Chart 123">
          <a:extLst>
            <a:ext uri="{FF2B5EF4-FFF2-40B4-BE49-F238E27FC236}">
              <a16:creationId xmlns:a16="http://schemas.microsoft.com/office/drawing/2014/main" id="{00000000-0008-0000-06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24765</xdr:colOff>
          <xdr:row>1</xdr:row>
          <xdr:rowOff>76200</xdr:rowOff>
        </xdr:from>
        <xdr:to>
          <xdr:col>17</xdr:col>
          <xdr:colOff>93345</xdr:colOff>
          <xdr:row>33</xdr:row>
          <xdr:rowOff>131733</xdr:rowOff>
        </xdr:to>
        <xdr:pic>
          <xdr:nvPicPr>
            <xdr:cNvPr id="8" name="図 7">
              <a:extLst>
                <a:ext uri="{FF2B5EF4-FFF2-40B4-BE49-F238E27FC236}">
                  <a16:creationId xmlns:a16="http://schemas.microsoft.com/office/drawing/2014/main" id="{F98141F9-2063-41FF-844A-3C6AB1443797}"/>
                </a:ext>
              </a:extLst>
            </xdr:cNvPr>
            <xdr:cNvPicPr>
              <a:picLocks noChangeAspect="1" noChangeArrowheads="1"/>
              <a:extLst>
                <a:ext uri="{84589F7E-364E-4C9E-8A38-B11213B215E9}">
                  <a14:cameraTool cellRange="図形" spid="_x0000_s183406"/>
                </a:ext>
              </a:extLst>
            </xdr:cNvPicPr>
          </xdr:nvPicPr>
          <xdr:blipFill rotWithShape="1">
            <a:blip xmlns:r="http://schemas.openxmlformats.org/officeDocument/2006/relationships" r:embed="rId22"/>
            <a:srcRect l="16737" t="18402" r="12436" b="5334"/>
            <a:stretch>
              <a:fillRect/>
            </a:stretch>
          </xdr:blipFill>
          <xdr:spPr bwMode="auto">
            <a:xfrm>
              <a:off x="9959340" y="247650"/>
              <a:ext cx="5334000" cy="5427633"/>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2" name="Picture 38">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782050" y="247650"/>
          <a:ext cx="19716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411480</xdr:colOff>
      <xdr:row>16</xdr:row>
      <xdr:rowOff>116204</xdr:rowOff>
    </xdr:from>
    <xdr:to>
      <xdr:col>8</xdr:col>
      <xdr:colOff>400620</xdr:colOff>
      <xdr:row>21</xdr:row>
      <xdr:rowOff>109424</xdr:rowOff>
    </xdr:to>
    <xdr:graphicFrame macro="">
      <xdr:nvGraphicFramePr>
        <xdr:cNvPr id="3" name="Chart 7">
          <a:extLst>
            <a:ext uri="{FF2B5EF4-FFF2-40B4-BE49-F238E27FC236}">
              <a16:creationId xmlns:a16="http://schemas.microsoft.com/office/drawing/2014/main" id="{00000000-0008-0000-07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6061</xdr:colOff>
      <xdr:row>37</xdr:row>
      <xdr:rowOff>136898</xdr:rowOff>
    </xdr:from>
    <xdr:to>
      <xdr:col>16</xdr:col>
      <xdr:colOff>4974104</xdr:colOff>
      <xdr:row>57</xdr:row>
      <xdr:rowOff>99359</xdr:rowOff>
    </xdr:to>
    <xdr:graphicFrame macro="">
      <xdr:nvGraphicFramePr>
        <xdr:cNvPr id="4" name="Chart 9">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47625</xdr:colOff>
      <xdr:row>1</xdr:row>
      <xdr:rowOff>11906</xdr:rowOff>
    </xdr:from>
    <xdr:to>
      <xdr:col>7</xdr:col>
      <xdr:colOff>931453</xdr:colOff>
      <xdr:row>4</xdr:row>
      <xdr:rowOff>154781</xdr:rowOff>
    </xdr:to>
    <xdr:pic>
      <xdr:nvPicPr>
        <xdr:cNvPr id="5" name="図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val="0"/>
            </a:ext>
          </a:extLst>
        </a:blip>
        <a:stretch>
          <a:fillRect/>
        </a:stretch>
      </xdr:blipFill>
      <xdr:spPr>
        <a:xfrm>
          <a:off x="190500" y="183356"/>
          <a:ext cx="4874803" cy="657225"/>
        </a:xfrm>
        <a:prstGeom prst="rect">
          <a:avLst/>
        </a:prstGeom>
      </xdr:spPr>
    </xdr:pic>
    <xdr:clientData/>
  </xdr:twoCellAnchor>
  <xdr:twoCellAnchor>
    <xdr:from>
      <xdr:col>15</xdr:col>
      <xdr:colOff>6061</xdr:colOff>
      <xdr:row>5</xdr:row>
      <xdr:rowOff>15762</xdr:rowOff>
    </xdr:from>
    <xdr:to>
      <xdr:col>16</xdr:col>
      <xdr:colOff>4974104</xdr:colOff>
      <xdr:row>36</xdr:row>
      <xdr:rowOff>71535</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1210925" y="881671"/>
          <a:ext cx="5660770" cy="5130000"/>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38296</xdr:colOff>
      <xdr:row>4</xdr:row>
      <xdr:rowOff>134690</xdr:rowOff>
    </xdr:from>
    <xdr:to>
      <xdr:col>16</xdr:col>
      <xdr:colOff>4474656</xdr:colOff>
      <xdr:row>35</xdr:row>
      <xdr:rowOff>91440</xdr:rowOff>
    </xdr:to>
    <xdr:grpSp>
      <xdr:nvGrpSpPr>
        <xdr:cNvPr id="50" name="グループ化 49">
          <a:extLst>
            <a:ext uri="{FF2B5EF4-FFF2-40B4-BE49-F238E27FC236}">
              <a16:creationId xmlns:a16="http://schemas.microsoft.com/office/drawing/2014/main" id="{00000000-0008-0000-0700-000032000000}"/>
            </a:ext>
          </a:extLst>
        </xdr:cNvPr>
        <xdr:cNvGrpSpPr>
          <a:grpSpLocks noChangeAspect="1"/>
        </xdr:cNvGrpSpPr>
      </xdr:nvGrpSpPr>
      <xdr:grpSpPr>
        <a:xfrm>
          <a:off x="11201596" y="820490"/>
          <a:ext cx="5131685" cy="5262175"/>
          <a:chOff x="11113781" y="938893"/>
          <a:chExt cx="5549153" cy="5243429"/>
        </a:xfrm>
      </xdr:grpSpPr>
      <xdr:sp macro="" textlink="">
        <xdr:nvSpPr>
          <xdr:cNvPr id="51" name="テキスト ボックス 50">
            <a:extLst>
              <a:ext uri="{FF2B5EF4-FFF2-40B4-BE49-F238E27FC236}">
                <a16:creationId xmlns:a16="http://schemas.microsoft.com/office/drawing/2014/main" id="{00000000-0008-0000-0700-000033000000}"/>
              </a:ext>
            </a:extLst>
          </xdr:cNvPr>
          <xdr:cNvSpPr txBox="1"/>
        </xdr:nvSpPr>
        <xdr:spPr>
          <a:xfrm>
            <a:off x="11138824" y="5979769"/>
            <a:ext cx="5139279" cy="20255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52" name="グループ化 51">
            <a:extLst>
              <a:ext uri="{FF2B5EF4-FFF2-40B4-BE49-F238E27FC236}">
                <a16:creationId xmlns:a16="http://schemas.microsoft.com/office/drawing/2014/main" id="{00000000-0008-0000-0700-000034000000}"/>
              </a:ext>
            </a:extLst>
          </xdr:cNvPr>
          <xdr:cNvGrpSpPr/>
        </xdr:nvGrpSpPr>
        <xdr:grpSpPr>
          <a:xfrm>
            <a:off x="11113781" y="938893"/>
            <a:ext cx="5549153" cy="5005090"/>
            <a:chOff x="17945416" y="882763"/>
            <a:chExt cx="5553405" cy="5025500"/>
          </a:xfrm>
        </xdr:grpSpPr>
        <xdr:grpSp>
          <xdr:nvGrpSpPr>
            <xdr:cNvPr id="53" name="グループ化 52">
              <a:extLst>
                <a:ext uri="{FF2B5EF4-FFF2-40B4-BE49-F238E27FC236}">
                  <a16:creationId xmlns:a16="http://schemas.microsoft.com/office/drawing/2014/main" id="{00000000-0008-0000-0700-000035000000}"/>
                </a:ext>
              </a:extLst>
            </xdr:cNvPr>
            <xdr:cNvGrpSpPr/>
          </xdr:nvGrpSpPr>
          <xdr:grpSpPr>
            <a:xfrm>
              <a:off x="17945416" y="882763"/>
              <a:ext cx="5553405" cy="5025500"/>
              <a:chOff x="17962359" y="870857"/>
              <a:chExt cx="5557527" cy="5124413"/>
            </a:xfrm>
          </xdr:grpSpPr>
          <xdr:graphicFrame macro="">
            <xdr:nvGraphicFramePr>
              <xdr:cNvPr id="66" name="グラフ 65">
                <a:extLst>
                  <a:ext uri="{FF2B5EF4-FFF2-40B4-BE49-F238E27FC236}">
                    <a16:creationId xmlns:a16="http://schemas.microsoft.com/office/drawing/2014/main" id="{00000000-0008-0000-0700-000042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67" name="テキスト ボックス 66">
                <a:extLst>
                  <a:ext uri="{FF2B5EF4-FFF2-40B4-BE49-F238E27FC236}">
                    <a16:creationId xmlns:a16="http://schemas.microsoft.com/office/drawing/2014/main" id="{00000000-0008-0000-0700-000043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68" name="テキスト ボックス 67">
                <a:extLst>
                  <a:ext uri="{FF2B5EF4-FFF2-40B4-BE49-F238E27FC236}">
                    <a16:creationId xmlns:a16="http://schemas.microsoft.com/office/drawing/2014/main" id="{00000000-0008-0000-0700-000044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70" name="テキスト ボックス 69">
                <a:extLst>
                  <a:ext uri="{FF2B5EF4-FFF2-40B4-BE49-F238E27FC236}">
                    <a16:creationId xmlns:a16="http://schemas.microsoft.com/office/drawing/2014/main" id="{00000000-0008-0000-0700-000046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71" name="テキスト ボックス 70">
                <a:extLst>
                  <a:ext uri="{FF2B5EF4-FFF2-40B4-BE49-F238E27FC236}">
                    <a16:creationId xmlns:a16="http://schemas.microsoft.com/office/drawing/2014/main" id="{00000000-0008-0000-0700-000047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79" name="直線コネクタ 78">
                <a:extLst>
                  <a:ext uri="{FF2B5EF4-FFF2-40B4-BE49-F238E27FC236}">
                    <a16:creationId xmlns:a16="http://schemas.microsoft.com/office/drawing/2014/main" id="{00000000-0008-0000-0700-00004F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80" name="Chart 123">
                <a:extLst>
                  <a:ext uri="{FF2B5EF4-FFF2-40B4-BE49-F238E27FC236}">
                    <a16:creationId xmlns:a16="http://schemas.microsoft.com/office/drawing/2014/main" id="{00000000-0008-0000-0700-000050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6"/>
              </a:graphicData>
            </a:graphic>
          </xdr:graphicFrame>
          <xdr:pic>
            <xdr:nvPicPr>
              <xdr:cNvPr id="81" name="図 80">
                <a:extLst>
                  <a:ext uri="{FF2B5EF4-FFF2-40B4-BE49-F238E27FC236}">
                    <a16:creationId xmlns:a16="http://schemas.microsoft.com/office/drawing/2014/main" id="{00000000-0008-0000-0700-000051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82" name="図 81">
                <a:extLst>
                  <a:ext uri="{FF2B5EF4-FFF2-40B4-BE49-F238E27FC236}">
                    <a16:creationId xmlns:a16="http://schemas.microsoft.com/office/drawing/2014/main" id="{00000000-0008-0000-0700-000052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83" name="図 82">
                <a:extLst>
                  <a:ext uri="{FF2B5EF4-FFF2-40B4-BE49-F238E27FC236}">
                    <a16:creationId xmlns:a16="http://schemas.microsoft.com/office/drawing/2014/main" id="{00000000-0008-0000-0700-000053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84" name="図 83">
                <a:extLst>
                  <a:ext uri="{FF2B5EF4-FFF2-40B4-BE49-F238E27FC236}">
                    <a16:creationId xmlns:a16="http://schemas.microsoft.com/office/drawing/2014/main" id="{00000000-0008-0000-0700-000054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85" name="図 84">
                <a:extLst>
                  <a:ext uri="{FF2B5EF4-FFF2-40B4-BE49-F238E27FC236}">
                    <a16:creationId xmlns:a16="http://schemas.microsoft.com/office/drawing/2014/main" id="{00000000-0008-0000-0700-000055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86" name="図 85">
                <a:extLst>
                  <a:ext uri="{FF2B5EF4-FFF2-40B4-BE49-F238E27FC236}">
                    <a16:creationId xmlns:a16="http://schemas.microsoft.com/office/drawing/2014/main" id="{00000000-0008-0000-0700-000056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87" name="図 86">
                <a:extLst>
                  <a:ext uri="{FF2B5EF4-FFF2-40B4-BE49-F238E27FC236}">
                    <a16:creationId xmlns:a16="http://schemas.microsoft.com/office/drawing/2014/main" id="{00000000-0008-0000-0700-000057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88" name="図 87">
                <a:extLst>
                  <a:ext uri="{FF2B5EF4-FFF2-40B4-BE49-F238E27FC236}">
                    <a16:creationId xmlns:a16="http://schemas.microsoft.com/office/drawing/2014/main" id="{00000000-0008-0000-0700-000058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89" name="図 88">
                <a:extLst>
                  <a:ext uri="{FF2B5EF4-FFF2-40B4-BE49-F238E27FC236}">
                    <a16:creationId xmlns:a16="http://schemas.microsoft.com/office/drawing/2014/main" id="{00000000-0008-0000-0700-000059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90" name="図 89">
                <a:extLst>
                  <a:ext uri="{FF2B5EF4-FFF2-40B4-BE49-F238E27FC236}">
                    <a16:creationId xmlns:a16="http://schemas.microsoft.com/office/drawing/2014/main" id="{00000000-0008-0000-0700-00005A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91" name="図 90">
                <a:extLst>
                  <a:ext uri="{FF2B5EF4-FFF2-40B4-BE49-F238E27FC236}">
                    <a16:creationId xmlns:a16="http://schemas.microsoft.com/office/drawing/2014/main" id="{00000000-0008-0000-0700-00005B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92" name="図 91">
                <a:extLst>
                  <a:ext uri="{FF2B5EF4-FFF2-40B4-BE49-F238E27FC236}">
                    <a16:creationId xmlns:a16="http://schemas.microsoft.com/office/drawing/2014/main" id="{00000000-0008-0000-0700-00005C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2673690" y="2074818"/>
              <a:ext cx="808585"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E99F4D34-5DF4-4600-8B8E-929A1A82C126}"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55" name="テキスト ボックス 54">
              <a:extLst>
                <a:ext uri="{FF2B5EF4-FFF2-40B4-BE49-F238E27FC236}">
                  <a16:creationId xmlns:a16="http://schemas.microsoft.com/office/drawing/2014/main" id="{00000000-0008-0000-0700-000037000000}"/>
                </a:ext>
              </a:extLst>
            </xdr:cNvPr>
            <xdr:cNvSpPr txBox="1"/>
          </xdr:nvSpPr>
          <xdr:spPr>
            <a:xfrm>
              <a:off x="22673690" y="2353800"/>
              <a:ext cx="758324"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E64EEDB4-63DE-420B-9F59-54BCC18E18B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56" name="テキスト ボックス 55">
              <a:extLst>
                <a:ext uri="{FF2B5EF4-FFF2-40B4-BE49-F238E27FC236}">
                  <a16:creationId xmlns:a16="http://schemas.microsoft.com/office/drawing/2014/main" id="{00000000-0008-0000-0700-000038000000}"/>
                </a:ext>
              </a:extLst>
            </xdr:cNvPr>
            <xdr:cNvSpPr txBox="1"/>
          </xdr:nvSpPr>
          <xdr:spPr>
            <a:xfrm>
              <a:off x="22673690" y="2926787"/>
              <a:ext cx="758324"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295647AC-75F7-4E8C-984C-9B160E5D3D8E}"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57" name="テキスト ボックス 56">
              <a:extLst>
                <a:ext uri="{FF2B5EF4-FFF2-40B4-BE49-F238E27FC236}">
                  <a16:creationId xmlns:a16="http://schemas.microsoft.com/office/drawing/2014/main" id="{00000000-0008-0000-0700-000039000000}"/>
                </a:ext>
              </a:extLst>
            </xdr:cNvPr>
            <xdr:cNvSpPr txBox="1"/>
          </xdr:nvSpPr>
          <xdr:spPr>
            <a:xfrm>
              <a:off x="22673690" y="3215588"/>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24CC6238-9650-4020-8063-A4CEAB4F7BF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58" name="テキスト ボックス 57">
              <a:extLst>
                <a:ext uri="{FF2B5EF4-FFF2-40B4-BE49-F238E27FC236}">
                  <a16:creationId xmlns:a16="http://schemas.microsoft.com/office/drawing/2014/main" id="{00000000-0008-0000-0700-00003A000000}"/>
                </a:ext>
              </a:extLst>
            </xdr:cNvPr>
            <xdr:cNvSpPr txBox="1"/>
          </xdr:nvSpPr>
          <xdr:spPr>
            <a:xfrm>
              <a:off x="22673690" y="3500012"/>
              <a:ext cx="758324"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30615EA3-D885-4BF6-A05D-0FB27199285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59" name="テキスト ボックス 58">
              <a:extLst>
                <a:ext uri="{FF2B5EF4-FFF2-40B4-BE49-F238E27FC236}">
                  <a16:creationId xmlns:a16="http://schemas.microsoft.com/office/drawing/2014/main" id="{00000000-0008-0000-0700-00003B000000}"/>
                </a:ext>
              </a:extLst>
            </xdr:cNvPr>
            <xdr:cNvSpPr txBox="1"/>
          </xdr:nvSpPr>
          <xdr:spPr>
            <a:xfrm>
              <a:off x="22673690" y="3787844"/>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6CE784C8-4CB9-4C25-A001-DB959FC4B30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60" name="テキスト ボックス 59">
              <a:extLst>
                <a:ext uri="{FF2B5EF4-FFF2-40B4-BE49-F238E27FC236}">
                  <a16:creationId xmlns:a16="http://schemas.microsoft.com/office/drawing/2014/main" id="{00000000-0008-0000-0700-00003C000000}"/>
                </a:ext>
              </a:extLst>
            </xdr:cNvPr>
            <xdr:cNvSpPr txBox="1"/>
          </xdr:nvSpPr>
          <xdr:spPr>
            <a:xfrm>
              <a:off x="22673690" y="4079809"/>
              <a:ext cx="758324"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7560191-EDEB-4AD5-AA5C-62D49850A7F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61" name="テキスト ボックス 60">
              <a:extLst>
                <a:ext uri="{FF2B5EF4-FFF2-40B4-BE49-F238E27FC236}">
                  <a16:creationId xmlns:a16="http://schemas.microsoft.com/office/drawing/2014/main" id="{00000000-0008-0000-0700-00003D000000}"/>
                </a:ext>
              </a:extLst>
            </xdr:cNvPr>
            <xdr:cNvSpPr txBox="1"/>
          </xdr:nvSpPr>
          <xdr:spPr>
            <a:xfrm>
              <a:off x="22673690" y="4368602"/>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81A50452-0E59-4CFE-A006-A110E31534F0}"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62" name="テキスト ボックス 61">
              <a:extLst>
                <a:ext uri="{FF2B5EF4-FFF2-40B4-BE49-F238E27FC236}">
                  <a16:creationId xmlns:a16="http://schemas.microsoft.com/office/drawing/2014/main" id="{00000000-0008-0000-0700-00003E000000}"/>
                </a:ext>
              </a:extLst>
            </xdr:cNvPr>
            <xdr:cNvSpPr txBox="1"/>
          </xdr:nvSpPr>
          <xdr:spPr>
            <a:xfrm>
              <a:off x="22673690" y="4659834"/>
              <a:ext cx="758324"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13174069-DAEC-478D-9253-1E8F863E5613}"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63" name="テキスト ボックス 62">
              <a:extLst>
                <a:ext uri="{FF2B5EF4-FFF2-40B4-BE49-F238E27FC236}">
                  <a16:creationId xmlns:a16="http://schemas.microsoft.com/office/drawing/2014/main" id="{00000000-0008-0000-0700-00003F000000}"/>
                </a:ext>
              </a:extLst>
            </xdr:cNvPr>
            <xdr:cNvSpPr txBox="1"/>
          </xdr:nvSpPr>
          <xdr:spPr>
            <a:xfrm>
              <a:off x="22673690" y="4951063"/>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210A9139-A81E-4ADE-B80A-9B3F9FFE2183}"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64" name="テキスト ボックス 63">
              <a:extLst>
                <a:ext uri="{FF2B5EF4-FFF2-40B4-BE49-F238E27FC236}">
                  <a16:creationId xmlns:a16="http://schemas.microsoft.com/office/drawing/2014/main" id="{00000000-0008-0000-0700-000040000000}"/>
                </a:ext>
              </a:extLst>
            </xdr:cNvPr>
            <xdr:cNvSpPr txBox="1"/>
          </xdr:nvSpPr>
          <xdr:spPr>
            <a:xfrm>
              <a:off x="22673690" y="5233883"/>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C30B08A-AD09-4B1D-ACAC-83B2A8A3B7B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65" name="テキスト ボックス 64">
              <a:extLst>
                <a:ext uri="{FF2B5EF4-FFF2-40B4-BE49-F238E27FC236}">
                  <a16:creationId xmlns:a16="http://schemas.microsoft.com/office/drawing/2014/main" id="{00000000-0008-0000-0700-000041000000}"/>
                </a:ext>
              </a:extLst>
            </xdr:cNvPr>
            <xdr:cNvSpPr txBox="1"/>
          </xdr:nvSpPr>
          <xdr:spPr>
            <a:xfrm>
              <a:off x="22673690" y="2639820"/>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A6D7D10-18A3-434E-8D70-5744F6C04CF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93" name="テキスト ボックス 92">
              <a:extLst>
                <a:ext uri="{FF2B5EF4-FFF2-40B4-BE49-F238E27FC236}">
                  <a16:creationId xmlns:a16="http://schemas.microsoft.com/office/drawing/2014/main" id="{00000000-0008-0000-0700-00005D000000}"/>
                </a:ext>
              </a:extLst>
            </xdr:cNvPr>
            <xdr:cNvSpPr txBox="1"/>
          </xdr:nvSpPr>
          <xdr:spPr>
            <a:xfrm>
              <a:off x="22673690" y="1507369"/>
              <a:ext cx="783454" cy="33430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fld id="{1D63B7F3-D91B-4E05-ABE9-12CF0AA1D614}"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54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mc:AlternateContent xmlns:mc="http://schemas.openxmlformats.org/markup-compatibility/2006">
    <mc:Choice xmlns:a14="http://schemas.microsoft.com/office/drawing/2010/main" Requires="a14">
      <xdr:twoCellAnchor editAs="oneCell">
        <xdr:from>
          <xdr:col>14</xdr:col>
          <xdr:colOff>26670</xdr:colOff>
          <xdr:row>3</xdr:row>
          <xdr:rowOff>136870</xdr:rowOff>
        </xdr:from>
        <xdr:to>
          <xdr:col>17</xdr:col>
          <xdr:colOff>100965</xdr:colOff>
          <xdr:row>37</xdr:row>
          <xdr:rowOff>11429</xdr:rowOff>
        </xdr:to>
        <xdr:pic>
          <xdr:nvPicPr>
            <xdr:cNvPr id="49" name="図 48">
              <a:extLst>
                <a:ext uri="{FF2B5EF4-FFF2-40B4-BE49-F238E27FC236}">
                  <a16:creationId xmlns:a16="http://schemas.microsoft.com/office/drawing/2014/main" id="{00000000-0008-0000-0700-000031000000}"/>
                </a:ext>
              </a:extLst>
            </xdr:cNvPr>
            <xdr:cNvPicPr>
              <a:picLocks noChangeAspect="1" noChangeArrowheads="1"/>
              <a:extLst>
                <a:ext uri="{84589F7E-364E-4C9E-8A38-B11213B215E9}">
                  <a14:cameraTool cellRange="図形" spid="_x0000_s191426"/>
                </a:ext>
              </a:extLst>
            </xdr:cNvPicPr>
          </xdr:nvPicPr>
          <xdr:blipFill rotWithShape="1">
            <a:blip xmlns:r="http://schemas.openxmlformats.org/officeDocument/2006/relationships" r:embed="rId19"/>
            <a:srcRect l="16737" t="18402" r="12436" b="5334"/>
            <a:stretch>
              <a:fillRect/>
            </a:stretch>
          </xdr:blipFill>
          <xdr:spPr bwMode="auto">
            <a:xfrm>
              <a:off x="9961245" y="651220"/>
              <a:ext cx="5334000" cy="5673379"/>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9</xdr:col>
      <xdr:colOff>0</xdr:colOff>
      <xdr:row>16</xdr:row>
      <xdr:rowOff>0</xdr:rowOff>
    </xdr:from>
    <xdr:to>
      <xdr:col>11</xdr:col>
      <xdr:colOff>548640</xdr:colOff>
      <xdr:row>19</xdr:row>
      <xdr:rowOff>129540</xdr:rowOff>
    </xdr:to>
    <xdr:graphicFrame macro="">
      <xdr:nvGraphicFramePr>
        <xdr:cNvPr id="9" name="Chart 123">
          <a:extLst>
            <a:ext uri="{FF2B5EF4-FFF2-40B4-BE49-F238E27FC236}">
              <a16:creationId xmlns:a16="http://schemas.microsoft.com/office/drawing/2014/main" id="{00000000-0008-0000-07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451757</xdr:colOff>
      <xdr:row>1</xdr:row>
      <xdr:rowOff>168729</xdr:rowOff>
    </xdr:from>
    <xdr:to>
      <xdr:col>2</xdr:col>
      <xdr:colOff>5443</xdr:colOff>
      <xdr:row>7</xdr:row>
      <xdr:rowOff>24493</xdr:rowOff>
    </xdr:to>
    <xdr:sp macro="" textlink="">
      <xdr:nvSpPr>
        <xdr:cNvPr id="3" name="正方形/長方形 2">
          <a:extLst>
            <a:ext uri="{FF2B5EF4-FFF2-40B4-BE49-F238E27FC236}">
              <a16:creationId xmlns:a16="http://schemas.microsoft.com/office/drawing/2014/main" id="{00000000-0008-0000-0800-000003000000}"/>
            </a:ext>
          </a:extLst>
        </xdr:cNvPr>
        <xdr:cNvSpPr/>
      </xdr:nvSpPr>
      <xdr:spPr>
        <a:xfrm>
          <a:off x="451757" y="342900"/>
          <a:ext cx="925286" cy="90079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238125</xdr:colOff>
          <xdr:row>12</xdr:row>
          <xdr:rowOff>142875</xdr:rowOff>
        </xdr:from>
        <xdr:to>
          <xdr:col>5</xdr:col>
          <xdr:colOff>485775</xdr:colOff>
          <xdr:row>12</xdr:row>
          <xdr:rowOff>361950</xdr:rowOff>
        </xdr:to>
        <xdr:sp macro="" textlink="">
          <xdr:nvSpPr>
            <xdr:cNvPr id="184322" name="Option Button 2" hidden="1">
              <a:extLst>
                <a:ext uri="{63B3BB69-23CF-44E3-9099-C40C66FF867C}">
                  <a14:compatExt spid="_x0000_s184322"/>
                </a:ext>
                <a:ext uri="{FF2B5EF4-FFF2-40B4-BE49-F238E27FC236}">
                  <a16:creationId xmlns:a16="http://schemas.microsoft.com/office/drawing/2014/main" id="{00000000-0008-0000-0800-000002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18</xdr:row>
          <xdr:rowOff>942975</xdr:rowOff>
        </xdr:from>
        <xdr:to>
          <xdr:col>5</xdr:col>
          <xdr:colOff>485775</xdr:colOff>
          <xdr:row>18</xdr:row>
          <xdr:rowOff>1171575</xdr:rowOff>
        </xdr:to>
        <xdr:sp macro="" textlink="">
          <xdr:nvSpPr>
            <xdr:cNvPr id="184329" name="Option Button 9" hidden="1">
              <a:extLst>
                <a:ext uri="{63B3BB69-23CF-44E3-9099-C40C66FF867C}">
                  <a14:compatExt spid="_x0000_s184329"/>
                </a:ext>
                <a:ext uri="{FF2B5EF4-FFF2-40B4-BE49-F238E27FC236}">
                  <a16:creationId xmlns:a16="http://schemas.microsoft.com/office/drawing/2014/main" id="{00000000-0008-0000-0800-00000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18</xdr:row>
          <xdr:rowOff>942975</xdr:rowOff>
        </xdr:from>
        <xdr:to>
          <xdr:col>6</xdr:col>
          <xdr:colOff>466725</xdr:colOff>
          <xdr:row>18</xdr:row>
          <xdr:rowOff>1171575</xdr:rowOff>
        </xdr:to>
        <xdr:sp macro="" textlink="">
          <xdr:nvSpPr>
            <xdr:cNvPr id="184330" name="Option Button 10" hidden="1">
              <a:extLst>
                <a:ext uri="{63B3BB69-23CF-44E3-9099-C40C66FF867C}">
                  <a14:compatExt spid="_x0000_s184330"/>
                </a:ext>
                <a:ext uri="{FF2B5EF4-FFF2-40B4-BE49-F238E27FC236}">
                  <a16:creationId xmlns:a16="http://schemas.microsoft.com/office/drawing/2014/main" id="{00000000-0008-0000-0800-00000A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75</xdr:row>
          <xdr:rowOff>381000</xdr:rowOff>
        </xdr:from>
        <xdr:to>
          <xdr:col>9</xdr:col>
          <xdr:colOff>314325</xdr:colOff>
          <xdr:row>75</xdr:row>
          <xdr:rowOff>600075</xdr:rowOff>
        </xdr:to>
        <xdr:sp macro="" textlink="">
          <xdr:nvSpPr>
            <xdr:cNvPr id="184406" name="Check Box 86" hidden="1">
              <a:extLst>
                <a:ext uri="{63B3BB69-23CF-44E3-9099-C40C66FF867C}">
                  <a14:compatExt spid="_x0000_s184406"/>
                </a:ext>
                <a:ext uri="{FF2B5EF4-FFF2-40B4-BE49-F238E27FC236}">
                  <a16:creationId xmlns:a16="http://schemas.microsoft.com/office/drawing/2014/main" id="{00000000-0008-0000-0800-000056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76</xdr:row>
          <xdr:rowOff>390525</xdr:rowOff>
        </xdr:from>
        <xdr:to>
          <xdr:col>9</xdr:col>
          <xdr:colOff>333375</xdr:colOff>
          <xdr:row>76</xdr:row>
          <xdr:rowOff>619125</xdr:rowOff>
        </xdr:to>
        <xdr:sp macro="" textlink="">
          <xdr:nvSpPr>
            <xdr:cNvPr id="184408" name="Check Box 88" hidden="1">
              <a:extLst>
                <a:ext uri="{63B3BB69-23CF-44E3-9099-C40C66FF867C}">
                  <a14:compatExt spid="_x0000_s184408"/>
                </a:ext>
                <a:ext uri="{FF2B5EF4-FFF2-40B4-BE49-F238E27FC236}">
                  <a16:creationId xmlns:a16="http://schemas.microsoft.com/office/drawing/2014/main" id="{00000000-0008-0000-0800-00005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77</xdr:row>
          <xdr:rowOff>352425</xdr:rowOff>
        </xdr:from>
        <xdr:to>
          <xdr:col>9</xdr:col>
          <xdr:colOff>314325</xdr:colOff>
          <xdr:row>77</xdr:row>
          <xdr:rowOff>590550</xdr:rowOff>
        </xdr:to>
        <xdr:sp macro="" textlink="">
          <xdr:nvSpPr>
            <xdr:cNvPr id="184410" name="Check Box 90" hidden="1">
              <a:extLst>
                <a:ext uri="{63B3BB69-23CF-44E3-9099-C40C66FF867C}">
                  <a14:compatExt spid="_x0000_s184410"/>
                </a:ext>
                <a:ext uri="{FF2B5EF4-FFF2-40B4-BE49-F238E27FC236}">
                  <a16:creationId xmlns:a16="http://schemas.microsoft.com/office/drawing/2014/main" id="{00000000-0008-0000-0800-00005A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54</xdr:row>
          <xdr:rowOff>419100</xdr:rowOff>
        </xdr:from>
        <xdr:to>
          <xdr:col>9</xdr:col>
          <xdr:colOff>323850</xdr:colOff>
          <xdr:row>54</xdr:row>
          <xdr:rowOff>657225</xdr:rowOff>
        </xdr:to>
        <xdr:sp macro="" textlink="">
          <xdr:nvSpPr>
            <xdr:cNvPr id="184383" name="Check Box 63" hidden="1">
              <a:extLst>
                <a:ext uri="{63B3BB69-23CF-44E3-9099-C40C66FF867C}">
                  <a14:compatExt spid="_x0000_s184383"/>
                </a:ext>
                <a:ext uri="{FF2B5EF4-FFF2-40B4-BE49-F238E27FC236}">
                  <a16:creationId xmlns:a16="http://schemas.microsoft.com/office/drawing/2014/main" id="{00000000-0008-0000-0800-00003F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55</xdr:row>
          <xdr:rowOff>419100</xdr:rowOff>
        </xdr:from>
        <xdr:to>
          <xdr:col>9</xdr:col>
          <xdr:colOff>342900</xdr:colOff>
          <xdr:row>55</xdr:row>
          <xdr:rowOff>647700</xdr:rowOff>
        </xdr:to>
        <xdr:sp macro="" textlink="">
          <xdr:nvSpPr>
            <xdr:cNvPr id="184385" name="Check Box 65" hidden="1">
              <a:extLst>
                <a:ext uri="{63B3BB69-23CF-44E3-9099-C40C66FF867C}">
                  <a14:compatExt spid="_x0000_s184385"/>
                </a:ext>
                <a:ext uri="{FF2B5EF4-FFF2-40B4-BE49-F238E27FC236}">
                  <a16:creationId xmlns:a16="http://schemas.microsoft.com/office/drawing/2014/main" id="{00000000-0008-0000-0800-000041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51</xdr:row>
          <xdr:rowOff>609600</xdr:rowOff>
        </xdr:from>
        <xdr:to>
          <xdr:col>9</xdr:col>
          <xdr:colOff>342900</xdr:colOff>
          <xdr:row>51</xdr:row>
          <xdr:rowOff>838200</xdr:rowOff>
        </xdr:to>
        <xdr:sp macro="" textlink="">
          <xdr:nvSpPr>
            <xdr:cNvPr id="184424" name="Check Box 104" hidden="1">
              <a:extLst>
                <a:ext uri="{63B3BB69-23CF-44E3-9099-C40C66FF867C}">
                  <a14:compatExt spid="_x0000_s184424"/>
                </a:ext>
                <a:ext uri="{FF2B5EF4-FFF2-40B4-BE49-F238E27FC236}">
                  <a16:creationId xmlns:a16="http://schemas.microsoft.com/office/drawing/2014/main" id="{00000000-0008-0000-0800-00006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24</xdr:row>
          <xdr:rowOff>295275</xdr:rowOff>
        </xdr:from>
        <xdr:to>
          <xdr:col>9</xdr:col>
          <xdr:colOff>342900</xdr:colOff>
          <xdr:row>24</xdr:row>
          <xdr:rowOff>523875</xdr:rowOff>
        </xdr:to>
        <xdr:sp macro="" textlink="">
          <xdr:nvSpPr>
            <xdr:cNvPr id="184338" name="Check Box 18" hidden="1">
              <a:extLst>
                <a:ext uri="{63B3BB69-23CF-44E3-9099-C40C66FF867C}">
                  <a14:compatExt spid="_x0000_s184338"/>
                </a:ext>
                <a:ext uri="{FF2B5EF4-FFF2-40B4-BE49-F238E27FC236}">
                  <a16:creationId xmlns:a16="http://schemas.microsoft.com/office/drawing/2014/main" id="{00000000-0008-0000-0800-000012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13</xdr:row>
          <xdr:rowOff>409575</xdr:rowOff>
        </xdr:from>
        <xdr:to>
          <xdr:col>9</xdr:col>
          <xdr:colOff>342900</xdr:colOff>
          <xdr:row>13</xdr:row>
          <xdr:rowOff>638175</xdr:rowOff>
        </xdr:to>
        <xdr:sp macro="" textlink="">
          <xdr:nvSpPr>
            <xdr:cNvPr id="184325" name="Check Box 5" hidden="1">
              <a:extLst>
                <a:ext uri="{63B3BB69-23CF-44E3-9099-C40C66FF867C}">
                  <a14:compatExt spid="_x0000_s184325"/>
                </a:ext>
                <a:ext uri="{FF2B5EF4-FFF2-40B4-BE49-F238E27FC236}">
                  <a16:creationId xmlns:a16="http://schemas.microsoft.com/office/drawing/2014/main" id="{00000000-0008-0000-0800-000005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18</xdr:row>
          <xdr:rowOff>942975</xdr:rowOff>
        </xdr:from>
        <xdr:to>
          <xdr:col>7</xdr:col>
          <xdr:colOff>447675</xdr:colOff>
          <xdr:row>18</xdr:row>
          <xdr:rowOff>1171575</xdr:rowOff>
        </xdr:to>
        <xdr:sp macro="" textlink="">
          <xdr:nvSpPr>
            <xdr:cNvPr id="184440" name="Option Button 120" hidden="1">
              <a:extLst>
                <a:ext uri="{63B3BB69-23CF-44E3-9099-C40C66FF867C}">
                  <a14:compatExt spid="_x0000_s184440"/>
                </a:ext>
                <a:ext uri="{FF2B5EF4-FFF2-40B4-BE49-F238E27FC236}">
                  <a16:creationId xmlns:a16="http://schemas.microsoft.com/office/drawing/2014/main" id="{00000000-0008-0000-0800-00007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12</xdr:row>
          <xdr:rowOff>142875</xdr:rowOff>
        </xdr:from>
        <xdr:to>
          <xdr:col>7</xdr:col>
          <xdr:colOff>466725</xdr:colOff>
          <xdr:row>12</xdr:row>
          <xdr:rowOff>361950</xdr:rowOff>
        </xdr:to>
        <xdr:sp macro="" textlink="">
          <xdr:nvSpPr>
            <xdr:cNvPr id="184441" name="Option Button 121" hidden="1">
              <a:extLst>
                <a:ext uri="{63B3BB69-23CF-44E3-9099-C40C66FF867C}">
                  <a14:compatExt spid="_x0000_s184441"/>
                </a:ext>
                <a:ext uri="{FF2B5EF4-FFF2-40B4-BE49-F238E27FC236}">
                  <a16:creationId xmlns:a16="http://schemas.microsoft.com/office/drawing/2014/main" id="{00000000-0008-0000-0800-00007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alpha val="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38</xdr:row>
          <xdr:rowOff>314325</xdr:rowOff>
        </xdr:from>
        <xdr:to>
          <xdr:col>9</xdr:col>
          <xdr:colOff>314325</xdr:colOff>
          <xdr:row>38</xdr:row>
          <xdr:rowOff>542925</xdr:rowOff>
        </xdr:to>
        <xdr:sp macro="" textlink="">
          <xdr:nvSpPr>
            <xdr:cNvPr id="184443" name="Check Box 123" hidden="1">
              <a:extLst>
                <a:ext uri="{63B3BB69-23CF-44E3-9099-C40C66FF867C}">
                  <a14:compatExt spid="_x0000_s184443"/>
                </a:ext>
                <a:ext uri="{FF2B5EF4-FFF2-40B4-BE49-F238E27FC236}">
                  <a16:creationId xmlns:a16="http://schemas.microsoft.com/office/drawing/2014/main" id="{00000000-0008-0000-0800-00007B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76200</xdr:colOff>
          <xdr:row>40</xdr:row>
          <xdr:rowOff>628650</xdr:rowOff>
        </xdr:from>
        <xdr:to>
          <xdr:col>9</xdr:col>
          <xdr:colOff>295275</xdr:colOff>
          <xdr:row>40</xdr:row>
          <xdr:rowOff>857250</xdr:rowOff>
        </xdr:to>
        <xdr:sp macro="" textlink="">
          <xdr:nvSpPr>
            <xdr:cNvPr id="184445" name="Check Box 125" hidden="1">
              <a:extLst>
                <a:ext uri="{63B3BB69-23CF-44E3-9099-C40C66FF867C}">
                  <a14:compatExt spid="_x0000_s184445"/>
                </a:ext>
                <a:ext uri="{FF2B5EF4-FFF2-40B4-BE49-F238E27FC236}">
                  <a16:creationId xmlns:a16="http://schemas.microsoft.com/office/drawing/2014/main" id="{00000000-0008-0000-0800-00007D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44</xdr:row>
          <xdr:rowOff>400050</xdr:rowOff>
        </xdr:from>
        <xdr:to>
          <xdr:col>9</xdr:col>
          <xdr:colOff>314325</xdr:colOff>
          <xdr:row>44</xdr:row>
          <xdr:rowOff>628650</xdr:rowOff>
        </xdr:to>
        <xdr:sp macro="" textlink="">
          <xdr:nvSpPr>
            <xdr:cNvPr id="184448" name="Check Box 128" hidden="1">
              <a:extLst>
                <a:ext uri="{63B3BB69-23CF-44E3-9099-C40C66FF867C}">
                  <a14:compatExt spid="_x0000_s184448"/>
                </a:ext>
                <a:ext uri="{FF2B5EF4-FFF2-40B4-BE49-F238E27FC236}">
                  <a16:creationId xmlns:a16="http://schemas.microsoft.com/office/drawing/2014/main" id="{00000000-0008-0000-0800-000080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41</xdr:row>
          <xdr:rowOff>533400</xdr:rowOff>
        </xdr:from>
        <xdr:to>
          <xdr:col>9</xdr:col>
          <xdr:colOff>314325</xdr:colOff>
          <xdr:row>41</xdr:row>
          <xdr:rowOff>752475</xdr:rowOff>
        </xdr:to>
        <xdr:sp macro="" textlink="">
          <xdr:nvSpPr>
            <xdr:cNvPr id="184375" name="Check Box 55" hidden="1">
              <a:extLst>
                <a:ext uri="{63B3BB69-23CF-44E3-9099-C40C66FF867C}">
                  <a14:compatExt spid="_x0000_s184375"/>
                </a:ext>
                <a:ext uri="{FF2B5EF4-FFF2-40B4-BE49-F238E27FC236}">
                  <a16:creationId xmlns:a16="http://schemas.microsoft.com/office/drawing/2014/main" id="{00000000-0008-0000-0800-000037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78</xdr:row>
          <xdr:rowOff>333375</xdr:rowOff>
        </xdr:from>
        <xdr:to>
          <xdr:col>9</xdr:col>
          <xdr:colOff>314325</xdr:colOff>
          <xdr:row>78</xdr:row>
          <xdr:rowOff>561975</xdr:rowOff>
        </xdr:to>
        <xdr:sp macro="" textlink="">
          <xdr:nvSpPr>
            <xdr:cNvPr id="184412" name="Check Box 92" hidden="1">
              <a:extLst>
                <a:ext uri="{63B3BB69-23CF-44E3-9099-C40C66FF867C}">
                  <a14:compatExt spid="_x0000_s184412"/>
                </a:ext>
                <a:ext uri="{FF2B5EF4-FFF2-40B4-BE49-F238E27FC236}">
                  <a16:creationId xmlns:a16="http://schemas.microsoft.com/office/drawing/2014/main" id="{00000000-0008-0000-0800-00005C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89</xdr:row>
          <xdr:rowOff>228600</xdr:rowOff>
        </xdr:from>
        <xdr:to>
          <xdr:col>9</xdr:col>
          <xdr:colOff>314325</xdr:colOff>
          <xdr:row>89</xdr:row>
          <xdr:rowOff>590550</xdr:rowOff>
        </xdr:to>
        <xdr:sp macro="" textlink="">
          <xdr:nvSpPr>
            <xdr:cNvPr id="184452" name="Check Box 132" hidden="1">
              <a:extLst>
                <a:ext uri="{63B3BB69-23CF-44E3-9099-C40C66FF867C}">
                  <a14:compatExt spid="_x0000_s184452"/>
                </a:ext>
                <a:ext uri="{FF2B5EF4-FFF2-40B4-BE49-F238E27FC236}">
                  <a16:creationId xmlns:a16="http://schemas.microsoft.com/office/drawing/2014/main" id="{00000000-0008-0000-0800-000084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112</xdr:row>
          <xdr:rowOff>361950</xdr:rowOff>
        </xdr:from>
        <xdr:to>
          <xdr:col>9</xdr:col>
          <xdr:colOff>314325</xdr:colOff>
          <xdr:row>112</xdr:row>
          <xdr:rowOff>600075</xdr:rowOff>
        </xdr:to>
        <xdr:sp macro="" textlink="">
          <xdr:nvSpPr>
            <xdr:cNvPr id="184459" name="Check Box 139" hidden="1">
              <a:extLst>
                <a:ext uri="{63B3BB69-23CF-44E3-9099-C40C66FF867C}">
                  <a14:compatExt spid="_x0000_s184459"/>
                </a:ext>
                <a:ext uri="{FF2B5EF4-FFF2-40B4-BE49-F238E27FC236}">
                  <a16:creationId xmlns:a16="http://schemas.microsoft.com/office/drawing/2014/main" id="{00000000-0008-0000-0800-00008B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67</xdr:row>
          <xdr:rowOff>285750</xdr:rowOff>
        </xdr:from>
        <xdr:to>
          <xdr:col>9</xdr:col>
          <xdr:colOff>323850</xdr:colOff>
          <xdr:row>67</xdr:row>
          <xdr:rowOff>514350</xdr:rowOff>
        </xdr:to>
        <xdr:sp macro="" textlink="">
          <xdr:nvSpPr>
            <xdr:cNvPr id="184464" name="Check Box 144" hidden="1">
              <a:extLst>
                <a:ext uri="{63B3BB69-23CF-44E3-9099-C40C66FF867C}">
                  <a14:compatExt spid="_x0000_s184464"/>
                </a:ext>
                <a:ext uri="{FF2B5EF4-FFF2-40B4-BE49-F238E27FC236}">
                  <a16:creationId xmlns:a16="http://schemas.microsoft.com/office/drawing/2014/main" id="{00000000-0008-0000-0800-000090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12</xdr:row>
          <xdr:rowOff>180975</xdr:rowOff>
        </xdr:from>
        <xdr:to>
          <xdr:col>9</xdr:col>
          <xdr:colOff>342900</xdr:colOff>
          <xdr:row>12</xdr:row>
          <xdr:rowOff>409575</xdr:rowOff>
        </xdr:to>
        <xdr:sp macro="" textlink="">
          <xdr:nvSpPr>
            <xdr:cNvPr id="184493" name="Check Box 173" hidden="1">
              <a:extLst>
                <a:ext uri="{63B3BB69-23CF-44E3-9099-C40C66FF867C}">
                  <a14:compatExt spid="_x0000_s184493"/>
                </a:ext>
                <a:ext uri="{FF2B5EF4-FFF2-40B4-BE49-F238E27FC236}">
                  <a16:creationId xmlns:a16="http://schemas.microsoft.com/office/drawing/2014/main" id="{00000000-0008-0000-0800-0000AD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95250</xdr:colOff>
          <xdr:row>12</xdr:row>
          <xdr:rowOff>85725</xdr:rowOff>
        </xdr:from>
        <xdr:to>
          <xdr:col>7</xdr:col>
          <xdr:colOff>600075</xdr:colOff>
          <xdr:row>12</xdr:row>
          <xdr:rowOff>438150</xdr:rowOff>
        </xdr:to>
        <xdr:sp macro="" textlink="">
          <xdr:nvSpPr>
            <xdr:cNvPr id="184494" name="Group Box 174" hidden="1">
              <a:extLst>
                <a:ext uri="{63B3BB69-23CF-44E3-9099-C40C66FF867C}">
                  <a14:compatExt spid="_x0000_s184494"/>
                </a:ext>
                <a:ext uri="{FF2B5EF4-FFF2-40B4-BE49-F238E27FC236}">
                  <a16:creationId xmlns:a16="http://schemas.microsoft.com/office/drawing/2014/main" id="{00000000-0008-0000-0800-0000AE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18</xdr:row>
          <xdr:rowOff>790575</xdr:rowOff>
        </xdr:from>
        <xdr:to>
          <xdr:col>7</xdr:col>
          <xdr:colOff>590550</xdr:colOff>
          <xdr:row>18</xdr:row>
          <xdr:rowOff>1314450</xdr:rowOff>
        </xdr:to>
        <xdr:sp macro="" textlink="">
          <xdr:nvSpPr>
            <xdr:cNvPr id="184495" name="Group Box 175" hidden="1">
              <a:extLst>
                <a:ext uri="{63B3BB69-23CF-44E3-9099-C40C66FF867C}">
                  <a14:compatExt spid="_x0000_s184495"/>
                </a:ext>
                <a:ext uri="{FF2B5EF4-FFF2-40B4-BE49-F238E27FC236}">
                  <a16:creationId xmlns:a16="http://schemas.microsoft.com/office/drawing/2014/main" id="{00000000-0008-0000-0800-0000AF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23</xdr:row>
          <xdr:rowOff>666750</xdr:rowOff>
        </xdr:from>
        <xdr:to>
          <xdr:col>5</xdr:col>
          <xdr:colOff>514350</xdr:colOff>
          <xdr:row>23</xdr:row>
          <xdr:rowOff>904875</xdr:rowOff>
        </xdr:to>
        <xdr:sp macro="" textlink="">
          <xdr:nvSpPr>
            <xdr:cNvPr id="184497" name="Option Button 177" hidden="1">
              <a:extLst>
                <a:ext uri="{63B3BB69-23CF-44E3-9099-C40C66FF867C}">
                  <a14:compatExt spid="_x0000_s184497"/>
                </a:ext>
                <a:ext uri="{FF2B5EF4-FFF2-40B4-BE49-F238E27FC236}">
                  <a16:creationId xmlns:a16="http://schemas.microsoft.com/office/drawing/2014/main" id="{00000000-0008-0000-0800-0000B1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23</xdr:row>
          <xdr:rowOff>685800</xdr:rowOff>
        </xdr:from>
        <xdr:to>
          <xdr:col>6</xdr:col>
          <xdr:colOff>466725</xdr:colOff>
          <xdr:row>23</xdr:row>
          <xdr:rowOff>923925</xdr:rowOff>
        </xdr:to>
        <xdr:sp macro="" textlink="">
          <xdr:nvSpPr>
            <xdr:cNvPr id="184498" name="Option Button 178" hidden="1">
              <a:extLst>
                <a:ext uri="{63B3BB69-23CF-44E3-9099-C40C66FF867C}">
                  <a14:compatExt spid="_x0000_s184498"/>
                </a:ext>
                <a:ext uri="{FF2B5EF4-FFF2-40B4-BE49-F238E27FC236}">
                  <a16:creationId xmlns:a16="http://schemas.microsoft.com/office/drawing/2014/main" id="{00000000-0008-0000-0800-0000B2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23</xdr:row>
          <xdr:rowOff>685800</xdr:rowOff>
        </xdr:from>
        <xdr:to>
          <xdr:col>7</xdr:col>
          <xdr:colOff>447675</xdr:colOff>
          <xdr:row>23</xdr:row>
          <xdr:rowOff>933450</xdr:rowOff>
        </xdr:to>
        <xdr:sp macro="" textlink="">
          <xdr:nvSpPr>
            <xdr:cNvPr id="184499" name="Option Button 179" hidden="1">
              <a:extLst>
                <a:ext uri="{63B3BB69-23CF-44E3-9099-C40C66FF867C}">
                  <a14:compatExt spid="_x0000_s184499"/>
                </a:ext>
                <a:ext uri="{FF2B5EF4-FFF2-40B4-BE49-F238E27FC236}">
                  <a16:creationId xmlns:a16="http://schemas.microsoft.com/office/drawing/2014/main" id="{00000000-0008-0000-0800-0000B3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23</xdr:row>
          <xdr:rowOff>609600</xdr:rowOff>
        </xdr:from>
        <xdr:to>
          <xdr:col>7</xdr:col>
          <xdr:colOff>581025</xdr:colOff>
          <xdr:row>23</xdr:row>
          <xdr:rowOff>1028700</xdr:rowOff>
        </xdr:to>
        <xdr:sp macro="" textlink="">
          <xdr:nvSpPr>
            <xdr:cNvPr id="184500" name="Group Box 180" hidden="1">
              <a:extLst>
                <a:ext uri="{63B3BB69-23CF-44E3-9099-C40C66FF867C}">
                  <a14:compatExt spid="_x0000_s184500"/>
                </a:ext>
                <a:ext uri="{FF2B5EF4-FFF2-40B4-BE49-F238E27FC236}">
                  <a16:creationId xmlns:a16="http://schemas.microsoft.com/office/drawing/2014/main" id="{00000000-0008-0000-0800-0000B4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58</xdr:row>
          <xdr:rowOff>742950</xdr:rowOff>
        </xdr:from>
        <xdr:to>
          <xdr:col>5</xdr:col>
          <xdr:colOff>485775</xdr:colOff>
          <xdr:row>58</xdr:row>
          <xdr:rowOff>962025</xdr:rowOff>
        </xdr:to>
        <xdr:sp macro="" textlink="">
          <xdr:nvSpPr>
            <xdr:cNvPr id="184519" name="Option Button 199" hidden="1">
              <a:extLst>
                <a:ext uri="{63B3BB69-23CF-44E3-9099-C40C66FF867C}">
                  <a14:compatExt spid="_x0000_s184519"/>
                </a:ext>
                <a:ext uri="{FF2B5EF4-FFF2-40B4-BE49-F238E27FC236}">
                  <a16:creationId xmlns:a16="http://schemas.microsoft.com/office/drawing/2014/main" id="{00000000-0008-0000-0800-0000C7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58</xdr:row>
          <xdr:rowOff>742950</xdr:rowOff>
        </xdr:from>
        <xdr:to>
          <xdr:col>6</xdr:col>
          <xdr:colOff>466725</xdr:colOff>
          <xdr:row>58</xdr:row>
          <xdr:rowOff>962025</xdr:rowOff>
        </xdr:to>
        <xdr:sp macro="" textlink="">
          <xdr:nvSpPr>
            <xdr:cNvPr id="184520" name="Option Button 200" hidden="1">
              <a:extLst>
                <a:ext uri="{63B3BB69-23CF-44E3-9099-C40C66FF867C}">
                  <a14:compatExt spid="_x0000_s184520"/>
                </a:ext>
                <a:ext uri="{FF2B5EF4-FFF2-40B4-BE49-F238E27FC236}">
                  <a16:creationId xmlns:a16="http://schemas.microsoft.com/office/drawing/2014/main" id="{00000000-0008-0000-0800-0000C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58</xdr:row>
          <xdr:rowOff>742950</xdr:rowOff>
        </xdr:from>
        <xdr:to>
          <xdr:col>7</xdr:col>
          <xdr:colOff>447675</xdr:colOff>
          <xdr:row>58</xdr:row>
          <xdr:rowOff>962025</xdr:rowOff>
        </xdr:to>
        <xdr:sp macro="" textlink="">
          <xdr:nvSpPr>
            <xdr:cNvPr id="184521" name="Option Button 201" hidden="1">
              <a:extLst>
                <a:ext uri="{63B3BB69-23CF-44E3-9099-C40C66FF867C}">
                  <a14:compatExt spid="_x0000_s184521"/>
                </a:ext>
                <a:ext uri="{FF2B5EF4-FFF2-40B4-BE49-F238E27FC236}">
                  <a16:creationId xmlns:a16="http://schemas.microsoft.com/office/drawing/2014/main" id="{00000000-0008-0000-0800-0000C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58</xdr:row>
          <xdr:rowOff>676275</xdr:rowOff>
        </xdr:from>
        <xdr:to>
          <xdr:col>7</xdr:col>
          <xdr:colOff>581025</xdr:colOff>
          <xdr:row>58</xdr:row>
          <xdr:rowOff>1019175</xdr:rowOff>
        </xdr:to>
        <xdr:sp macro="" textlink="">
          <xdr:nvSpPr>
            <xdr:cNvPr id="184522" name="Group Box 202" hidden="1">
              <a:extLst>
                <a:ext uri="{63B3BB69-23CF-44E3-9099-C40C66FF867C}">
                  <a14:compatExt spid="_x0000_s184522"/>
                </a:ext>
                <a:ext uri="{FF2B5EF4-FFF2-40B4-BE49-F238E27FC236}">
                  <a16:creationId xmlns:a16="http://schemas.microsoft.com/office/drawing/2014/main" id="{00000000-0008-0000-0800-0000CA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59</xdr:row>
          <xdr:rowOff>200025</xdr:rowOff>
        </xdr:from>
        <xdr:to>
          <xdr:col>5</xdr:col>
          <xdr:colOff>485775</xdr:colOff>
          <xdr:row>59</xdr:row>
          <xdr:rowOff>419100</xdr:rowOff>
        </xdr:to>
        <xdr:sp macro="" textlink="">
          <xdr:nvSpPr>
            <xdr:cNvPr id="184523" name="Option Button 203" hidden="1">
              <a:extLst>
                <a:ext uri="{63B3BB69-23CF-44E3-9099-C40C66FF867C}">
                  <a14:compatExt spid="_x0000_s184523"/>
                </a:ext>
                <a:ext uri="{FF2B5EF4-FFF2-40B4-BE49-F238E27FC236}">
                  <a16:creationId xmlns:a16="http://schemas.microsoft.com/office/drawing/2014/main" id="{00000000-0008-0000-0800-0000CB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59</xdr:row>
          <xdr:rowOff>200025</xdr:rowOff>
        </xdr:from>
        <xdr:to>
          <xdr:col>6</xdr:col>
          <xdr:colOff>466725</xdr:colOff>
          <xdr:row>59</xdr:row>
          <xdr:rowOff>419100</xdr:rowOff>
        </xdr:to>
        <xdr:sp macro="" textlink="">
          <xdr:nvSpPr>
            <xdr:cNvPr id="184524" name="Option Button 204" hidden="1">
              <a:extLst>
                <a:ext uri="{63B3BB69-23CF-44E3-9099-C40C66FF867C}">
                  <a14:compatExt spid="_x0000_s184524"/>
                </a:ext>
                <a:ext uri="{FF2B5EF4-FFF2-40B4-BE49-F238E27FC236}">
                  <a16:creationId xmlns:a16="http://schemas.microsoft.com/office/drawing/2014/main" id="{00000000-0008-0000-0800-0000CC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59</xdr:row>
          <xdr:rowOff>200025</xdr:rowOff>
        </xdr:from>
        <xdr:to>
          <xdr:col>7</xdr:col>
          <xdr:colOff>447675</xdr:colOff>
          <xdr:row>59</xdr:row>
          <xdr:rowOff>419100</xdr:rowOff>
        </xdr:to>
        <xdr:sp macro="" textlink="">
          <xdr:nvSpPr>
            <xdr:cNvPr id="184525" name="Option Button 205" hidden="1">
              <a:extLst>
                <a:ext uri="{63B3BB69-23CF-44E3-9099-C40C66FF867C}">
                  <a14:compatExt spid="_x0000_s184525"/>
                </a:ext>
                <a:ext uri="{FF2B5EF4-FFF2-40B4-BE49-F238E27FC236}">
                  <a16:creationId xmlns:a16="http://schemas.microsoft.com/office/drawing/2014/main" id="{00000000-0008-0000-0800-0000CD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59</xdr:row>
          <xdr:rowOff>133350</xdr:rowOff>
        </xdr:from>
        <xdr:to>
          <xdr:col>7</xdr:col>
          <xdr:colOff>581025</xdr:colOff>
          <xdr:row>59</xdr:row>
          <xdr:rowOff>476250</xdr:rowOff>
        </xdr:to>
        <xdr:sp macro="" textlink="">
          <xdr:nvSpPr>
            <xdr:cNvPr id="184526" name="Group Box 206" hidden="1">
              <a:extLst>
                <a:ext uri="{63B3BB69-23CF-44E3-9099-C40C66FF867C}">
                  <a14:compatExt spid="_x0000_s184526"/>
                </a:ext>
                <a:ext uri="{FF2B5EF4-FFF2-40B4-BE49-F238E27FC236}">
                  <a16:creationId xmlns:a16="http://schemas.microsoft.com/office/drawing/2014/main" id="{00000000-0008-0000-0800-0000CE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79</xdr:row>
          <xdr:rowOff>428625</xdr:rowOff>
        </xdr:from>
        <xdr:to>
          <xdr:col>5</xdr:col>
          <xdr:colOff>485775</xdr:colOff>
          <xdr:row>79</xdr:row>
          <xdr:rowOff>647700</xdr:rowOff>
        </xdr:to>
        <xdr:sp macro="" textlink="">
          <xdr:nvSpPr>
            <xdr:cNvPr id="184527" name="Option Button 207" hidden="1">
              <a:extLst>
                <a:ext uri="{63B3BB69-23CF-44E3-9099-C40C66FF867C}">
                  <a14:compatExt spid="_x0000_s184527"/>
                </a:ext>
                <a:ext uri="{FF2B5EF4-FFF2-40B4-BE49-F238E27FC236}">
                  <a16:creationId xmlns:a16="http://schemas.microsoft.com/office/drawing/2014/main" id="{00000000-0008-0000-0800-0000CF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79</xdr:row>
          <xdr:rowOff>428625</xdr:rowOff>
        </xdr:from>
        <xdr:to>
          <xdr:col>6</xdr:col>
          <xdr:colOff>466725</xdr:colOff>
          <xdr:row>79</xdr:row>
          <xdr:rowOff>647700</xdr:rowOff>
        </xdr:to>
        <xdr:sp macro="" textlink="">
          <xdr:nvSpPr>
            <xdr:cNvPr id="184529" name="Option Button 209" hidden="1">
              <a:extLst>
                <a:ext uri="{63B3BB69-23CF-44E3-9099-C40C66FF867C}">
                  <a14:compatExt spid="_x0000_s184529"/>
                </a:ext>
                <a:ext uri="{FF2B5EF4-FFF2-40B4-BE49-F238E27FC236}">
                  <a16:creationId xmlns:a16="http://schemas.microsoft.com/office/drawing/2014/main" id="{00000000-0008-0000-0800-0000D1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58</xdr:row>
          <xdr:rowOff>723900</xdr:rowOff>
        </xdr:from>
        <xdr:to>
          <xdr:col>9</xdr:col>
          <xdr:colOff>342900</xdr:colOff>
          <xdr:row>58</xdr:row>
          <xdr:rowOff>952500</xdr:rowOff>
        </xdr:to>
        <xdr:sp macro="" textlink="">
          <xdr:nvSpPr>
            <xdr:cNvPr id="184536" name="Check Box 216" hidden="1">
              <a:extLst>
                <a:ext uri="{63B3BB69-23CF-44E3-9099-C40C66FF867C}">
                  <a14:compatExt spid="_x0000_s184536"/>
                </a:ext>
                <a:ext uri="{FF2B5EF4-FFF2-40B4-BE49-F238E27FC236}">
                  <a16:creationId xmlns:a16="http://schemas.microsoft.com/office/drawing/2014/main" id="{00000000-0008-0000-0800-0000D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59</xdr:row>
          <xdr:rowOff>200025</xdr:rowOff>
        </xdr:from>
        <xdr:to>
          <xdr:col>9</xdr:col>
          <xdr:colOff>342900</xdr:colOff>
          <xdr:row>59</xdr:row>
          <xdr:rowOff>438150</xdr:rowOff>
        </xdr:to>
        <xdr:sp macro="" textlink="">
          <xdr:nvSpPr>
            <xdr:cNvPr id="184537" name="Check Box 217" hidden="1">
              <a:extLst>
                <a:ext uri="{63B3BB69-23CF-44E3-9099-C40C66FF867C}">
                  <a14:compatExt spid="_x0000_s184537"/>
                </a:ext>
                <a:ext uri="{FF2B5EF4-FFF2-40B4-BE49-F238E27FC236}">
                  <a16:creationId xmlns:a16="http://schemas.microsoft.com/office/drawing/2014/main" id="{00000000-0008-0000-0800-0000D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79</xdr:row>
          <xdr:rowOff>419100</xdr:rowOff>
        </xdr:from>
        <xdr:to>
          <xdr:col>9</xdr:col>
          <xdr:colOff>323850</xdr:colOff>
          <xdr:row>79</xdr:row>
          <xdr:rowOff>638175</xdr:rowOff>
        </xdr:to>
        <xdr:sp macro="" textlink="">
          <xdr:nvSpPr>
            <xdr:cNvPr id="184538" name="Check Box 218" hidden="1">
              <a:extLst>
                <a:ext uri="{63B3BB69-23CF-44E3-9099-C40C66FF867C}">
                  <a14:compatExt spid="_x0000_s184538"/>
                </a:ext>
                <a:ext uri="{FF2B5EF4-FFF2-40B4-BE49-F238E27FC236}">
                  <a16:creationId xmlns:a16="http://schemas.microsoft.com/office/drawing/2014/main" id="{00000000-0008-0000-0800-0000DA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27</xdr:row>
          <xdr:rowOff>247650</xdr:rowOff>
        </xdr:from>
        <xdr:to>
          <xdr:col>7</xdr:col>
          <xdr:colOff>485775</xdr:colOff>
          <xdr:row>27</xdr:row>
          <xdr:rowOff>523875</xdr:rowOff>
        </xdr:to>
        <xdr:sp macro="" textlink="">
          <xdr:nvSpPr>
            <xdr:cNvPr id="184347" name="Group Box 27" hidden="1">
              <a:extLst>
                <a:ext uri="{63B3BB69-23CF-44E3-9099-C40C66FF867C}">
                  <a14:compatExt spid="_x0000_s184347"/>
                </a:ext>
                <a:ext uri="{FF2B5EF4-FFF2-40B4-BE49-F238E27FC236}">
                  <a16:creationId xmlns:a16="http://schemas.microsoft.com/office/drawing/2014/main" id="{00000000-0008-0000-0800-00001B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28</xdr:row>
          <xdr:rowOff>466725</xdr:rowOff>
        </xdr:from>
        <xdr:to>
          <xdr:col>9</xdr:col>
          <xdr:colOff>323850</xdr:colOff>
          <xdr:row>28</xdr:row>
          <xdr:rowOff>762000</xdr:rowOff>
        </xdr:to>
        <xdr:sp macro="" textlink="">
          <xdr:nvSpPr>
            <xdr:cNvPr id="184352" name="Check Box 32" hidden="1">
              <a:extLst>
                <a:ext uri="{63B3BB69-23CF-44E3-9099-C40C66FF867C}">
                  <a14:compatExt spid="_x0000_s184352"/>
                </a:ext>
                <a:ext uri="{FF2B5EF4-FFF2-40B4-BE49-F238E27FC236}">
                  <a16:creationId xmlns:a16="http://schemas.microsoft.com/office/drawing/2014/main" id="{00000000-0008-0000-0800-000020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29</xdr:row>
          <xdr:rowOff>400050</xdr:rowOff>
        </xdr:from>
        <xdr:to>
          <xdr:col>9</xdr:col>
          <xdr:colOff>342900</xdr:colOff>
          <xdr:row>29</xdr:row>
          <xdr:rowOff>628650</xdr:rowOff>
        </xdr:to>
        <xdr:sp macro="" textlink="">
          <xdr:nvSpPr>
            <xdr:cNvPr id="184354" name="Check Box 34" hidden="1">
              <a:extLst>
                <a:ext uri="{63B3BB69-23CF-44E3-9099-C40C66FF867C}">
                  <a14:compatExt spid="_x0000_s184354"/>
                </a:ext>
                <a:ext uri="{FF2B5EF4-FFF2-40B4-BE49-F238E27FC236}">
                  <a16:creationId xmlns:a16="http://schemas.microsoft.com/office/drawing/2014/main" id="{00000000-0008-0000-0800-000022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31</xdr:row>
          <xdr:rowOff>466725</xdr:rowOff>
        </xdr:from>
        <xdr:to>
          <xdr:col>9</xdr:col>
          <xdr:colOff>342900</xdr:colOff>
          <xdr:row>31</xdr:row>
          <xdr:rowOff>695325</xdr:rowOff>
        </xdr:to>
        <xdr:sp macro="" textlink="">
          <xdr:nvSpPr>
            <xdr:cNvPr id="184356" name="Check Box 36" hidden="1">
              <a:extLst>
                <a:ext uri="{63B3BB69-23CF-44E3-9099-C40C66FF867C}">
                  <a14:compatExt spid="_x0000_s184356"/>
                </a:ext>
                <a:ext uri="{FF2B5EF4-FFF2-40B4-BE49-F238E27FC236}">
                  <a16:creationId xmlns:a16="http://schemas.microsoft.com/office/drawing/2014/main" id="{00000000-0008-0000-0800-000024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35</xdr:row>
          <xdr:rowOff>466725</xdr:rowOff>
        </xdr:from>
        <xdr:to>
          <xdr:col>9</xdr:col>
          <xdr:colOff>342900</xdr:colOff>
          <xdr:row>35</xdr:row>
          <xdr:rowOff>695325</xdr:rowOff>
        </xdr:to>
        <xdr:sp macro="" textlink="">
          <xdr:nvSpPr>
            <xdr:cNvPr id="184373" name="Check Box 53" hidden="1">
              <a:extLst>
                <a:ext uri="{63B3BB69-23CF-44E3-9099-C40C66FF867C}">
                  <a14:compatExt spid="_x0000_s184373"/>
                </a:ext>
                <a:ext uri="{FF2B5EF4-FFF2-40B4-BE49-F238E27FC236}">
                  <a16:creationId xmlns:a16="http://schemas.microsoft.com/office/drawing/2014/main" id="{00000000-0008-0000-0800-000035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30</xdr:row>
          <xdr:rowOff>400050</xdr:rowOff>
        </xdr:from>
        <xdr:to>
          <xdr:col>9</xdr:col>
          <xdr:colOff>342900</xdr:colOff>
          <xdr:row>30</xdr:row>
          <xdr:rowOff>628650</xdr:rowOff>
        </xdr:to>
        <xdr:sp macro="" textlink="">
          <xdr:nvSpPr>
            <xdr:cNvPr id="184421" name="Check Box 101" hidden="1">
              <a:extLst>
                <a:ext uri="{63B3BB69-23CF-44E3-9099-C40C66FF867C}">
                  <a14:compatExt spid="_x0000_s184421"/>
                </a:ext>
                <a:ext uri="{FF2B5EF4-FFF2-40B4-BE49-F238E27FC236}">
                  <a16:creationId xmlns:a16="http://schemas.microsoft.com/office/drawing/2014/main" id="{00000000-0008-0000-0800-000065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114300</xdr:colOff>
          <xdr:row>25</xdr:row>
          <xdr:rowOff>1323975</xdr:rowOff>
        </xdr:from>
        <xdr:to>
          <xdr:col>7</xdr:col>
          <xdr:colOff>590550</xdr:colOff>
          <xdr:row>25</xdr:row>
          <xdr:rowOff>1819275</xdr:rowOff>
        </xdr:to>
        <xdr:sp macro="" textlink="">
          <xdr:nvSpPr>
            <xdr:cNvPr id="184504" name="Group Box 184" hidden="1">
              <a:extLst>
                <a:ext uri="{63B3BB69-23CF-44E3-9099-C40C66FF867C}">
                  <a14:compatExt spid="_x0000_s184504"/>
                </a:ext>
                <a:ext uri="{FF2B5EF4-FFF2-40B4-BE49-F238E27FC236}">
                  <a16:creationId xmlns:a16="http://schemas.microsoft.com/office/drawing/2014/main" id="{00000000-0008-0000-0800-0000B8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27</xdr:row>
          <xdr:rowOff>266700</xdr:rowOff>
        </xdr:from>
        <xdr:to>
          <xdr:col>5</xdr:col>
          <xdr:colOff>485775</xdr:colOff>
          <xdr:row>27</xdr:row>
          <xdr:rowOff>485775</xdr:rowOff>
        </xdr:to>
        <xdr:sp macro="" textlink="">
          <xdr:nvSpPr>
            <xdr:cNvPr id="184505" name="Option Button 185" hidden="1">
              <a:extLst>
                <a:ext uri="{63B3BB69-23CF-44E3-9099-C40C66FF867C}">
                  <a14:compatExt spid="_x0000_s184505"/>
                </a:ext>
                <a:ext uri="{FF2B5EF4-FFF2-40B4-BE49-F238E27FC236}">
                  <a16:creationId xmlns:a16="http://schemas.microsoft.com/office/drawing/2014/main" id="{00000000-0008-0000-0800-0000B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27</xdr:row>
          <xdr:rowOff>266700</xdr:rowOff>
        </xdr:from>
        <xdr:to>
          <xdr:col>7</xdr:col>
          <xdr:colOff>447675</xdr:colOff>
          <xdr:row>27</xdr:row>
          <xdr:rowOff>485775</xdr:rowOff>
        </xdr:to>
        <xdr:sp macro="" textlink="">
          <xdr:nvSpPr>
            <xdr:cNvPr id="184507" name="Option Button 187" hidden="1">
              <a:extLst>
                <a:ext uri="{63B3BB69-23CF-44E3-9099-C40C66FF867C}">
                  <a14:compatExt spid="_x0000_s184507"/>
                </a:ext>
                <a:ext uri="{FF2B5EF4-FFF2-40B4-BE49-F238E27FC236}">
                  <a16:creationId xmlns:a16="http://schemas.microsoft.com/office/drawing/2014/main" id="{00000000-0008-0000-0800-0000BB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32</xdr:row>
          <xdr:rowOff>247650</xdr:rowOff>
        </xdr:from>
        <xdr:to>
          <xdr:col>5</xdr:col>
          <xdr:colOff>485775</xdr:colOff>
          <xdr:row>32</xdr:row>
          <xdr:rowOff>466725</xdr:rowOff>
        </xdr:to>
        <xdr:sp macro="" textlink="">
          <xdr:nvSpPr>
            <xdr:cNvPr id="184510" name="Option Button 190" hidden="1">
              <a:extLst>
                <a:ext uri="{63B3BB69-23CF-44E3-9099-C40C66FF867C}">
                  <a14:compatExt spid="_x0000_s184510"/>
                </a:ext>
                <a:ext uri="{FF2B5EF4-FFF2-40B4-BE49-F238E27FC236}">
                  <a16:creationId xmlns:a16="http://schemas.microsoft.com/office/drawing/2014/main" id="{00000000-0008-0000-0800-0000BE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32</xdr:row>
          <xdr:rowOff>247650</xdr:rowOff>
        </xdr:from>
        <xdr:to>
          <xdr:col>7</xdr:col>
          <xdr:colOff>447675</xdr:colOff>
          <xdr:row>32</xdr:row>
          <xdr:rowOff>466725</xdr:rowOff>
        </xdr:to>
        <xdr:sp macro="" textlink="">
          <xdr:nvSpPr>
            <xdr:cNvPr id="184512" name="Option Button 192" hidden="1">
              <a:extLst>
                <a:ext uri="{63B3BB69-23CF-44E3-9099-C40C66FF867C}">
                  <a14:compatExt spid="_x0000_s184512"/>
                </a:ext>
                <a:ext uri="{FF2B5EF4-FFF2-40B4-BE49-F238E27FC236}">
                  <a16:creationId xmlns:a16="http://schemas.microsoft.com/office/drawing/2014/main" id="{00000000-0008-0000-0800-0000C0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27</xdr:row>
          <xdr:rowOff>276225</xdr:rowOff>
        </xdr:from>
        <xdr:to>
          <xdr:col>9</xdr:col>
          <xdr:colOff>342900</xdr:colOff>
          <xdr:row>27</xdr:row>
          <xdr:rowOff>504825</xdr:rowOff>
        </xdr:to>
        <xdr:sp macro="" textlink="">
          <xdr:nvSpPr>
            <xdr:cNvPr id="184514" name="Check Box 194" hidden="1">
              <a:extLst>
                <a:ext uri="{63B3BB69-23CF-44E3-9099-C40C66FF867C}">
                  <a14:compatExt spid="_x0000_s184514"/>
                </a:ext>
                <a:ext uri="{FF2B5EF4-FFF2-40B4-BE49-F238E27FC236}">
                  <a16:creationId xmlns:a16="http://schemas.microsoft.com/office/drawing/2014/main" id="{00000000-0008-0000-0800-0000C2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32</xdr:row>
          <xdr:rowOff>228600</xdr:rowOff>
        </xdr:from>
        <xdr:to>
          <xdr:col>7</xdr:col>
          <xdr:colOff>476250</xdr:colOff>
          <xdr:row>32</xdr:row>
          <xdr:rowOff>504825</xdr:rowOff>
        </xdr:to>
        <xdr:sp macro="" textlink="">
          <xdr:nvSpPr>
            <xdr:cNvPr id="184540" name="Group Box 220" hidden="1">
              <a:extLst>
                <a:ext uri="{63B3BB69-23CF-44E3-9099-C40C66FF867C}">
                  <a14:compatExt spid="_x0000_s184540"/>
                </a:ext>
                <a:ext uri="{FF2B5EF4-FFF2-40B4-BE49-F238E27FC236}">
                  <a16:creationId xmlns:a16="http://schemas.microsoft.com/office/drawing/2014/main" id="{00000000-0008-0000-0800-0000DC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79</xdr:row>
          <xdr:rowOff>428625</xdr:rowOff>
        </xdr:from>
        <xdr:to>
          <xdr:col>7</xdr:col>
          <xdr:colOff>476250</xdr:colOff>
          <xdr:row>79</xdr:row>
          <xdr:rowOff>647700</xdr:rowOff>
        </xdr:to>
        <xdr:sp macro="" textlink="">
          <xdr:nvSpPr>
            <xdr:cNvPr id="184542" name="Option Button 222" hidden="1">
              <a:extLst>
                <a:ext uri="{63B3BB69-23CF-44E3-9099-C40C66FF867C}">
                  <a14:compatExt spid="_x0000_s184542"/>
                </a:ext>
                <a:ext uri="{FF2B5EF4-FFF2-40B4-BE49-F238E27FC236}">
                  <a16:creationId xmlns:a16="http://schemas.microsoft.com/office/drawing/2014/main" id="{00000000-0008-0000-0800-0000DE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95</xdr:row>
          <xdr:rowOff>323850</xdr:rowOff>
        </xdr:from>
        <xdr:to>
          <xdr:col>9</xdr:col>
          <xdr:colOff>323850</xdr:colOff>
          <xdr:row>95</xdr:row>
          <xdr:rowOff>676275</xdr:rowOff>
        </xdr:to>
        <xdr:sp macro="" textlink="">
          <xdr:nvSpPr>
            <xdr:cNvPr id="184547" name="Check Box 227" hidden="1">
              <a:extLst>
                <a:ext uri="{63B3BB69-23CF-44E3-9099-C40C66FF867C}">
                  <a14:compatExt spid="_x0000_s184547"/>
                </a:ext>
                <a:ext uri="{FF2B5EF4-FFF2-40B4-BE49-F238E27FC236}">
                  <a16:creationId xmlns:a16="http://schemas.microsoft.com/office/drawing/2014/main" id="{00000000-0008-0000-0800-0000E3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96</xdr:row>
          <xdr:rowOff>333375</xdr:rowOff>
        </xdr:from>
        <xdr:to>
          <xdr:col>9</xdr:col>
          <xdr:colOff>314325</xdr:colOff>
          <xdr:row>96</xdr:row>
          <xdr:rowOff>561975</xdr:rowOff>
        </xdr:to>
        <xdr:sp macro="" textlink="">
          <xdr:nvSpPr>
            <xdr:cNvPr id="184548" name="Check Box 228" hidden="1">
              <a:extLst>
                <a:ext uri="{63B3BB69-23CF-44E3-9099-C40C66FF867C}">
                  <a14:compatExt spid="_x0000_s184548"/>
                </a:ext>
                <a:ext uri="{FF2B5EF4-FFF2-40B4-BE49-F238E27FC236}">
                  <a16:creationId xmlns:a16="http://schemas.microsoft.com/office/drawing/2014/main" id="{00000000-0008-0000-0800-0000E4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97</xdr:row>
          <xdr:rowOff>333375</xdr:rowOff>
        </xdr:from>
        <xdr:to>
          <xdr:col>9</xdr:col>
          <xdr:colOff>333375</xdr:colOff>
          <xdr:row>97</xdr:row>
          <xdr:rowOff>561975</xdr:rowOff>
        </xdr:to>
        <xdr:sp macro="" textlink="">
          <xdr:nvSpPr>
            <xdr:cNvPr id="184549" name="Check Box 229" hidden="1">
              <a:extLst>
                <a:ext uri="{63B3BB69-23CF-44E3-9099-C40C66FF867C}">
                  <a14:compatExt spid="_x0000_s184549"/>
                </a:ext>
                <a:ext uri="{FF2B5EF4-FFF2-40B4-BE49-F238E27FC236}">
                  <a16:creationId xmlns:a16="http://schemas.microsoft.com/office/drawing/2014/main" id="{00000000-0008-0000-0800-0000E5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76200</xdr:colOff>
          <xdr:row>39</xdr:row>
          <xdr:rowOff>857250</xdr:rowOff>
        </xdr:from>
        <xdr:to>
          <xdr:col>9</xdr:col>
          <xdr:colOff>295275</xdr:colOff>
          <xdr:row>39</xdr:row>
          <xdr:rowOff>1085850</xdr:rowOff>
        </xdr:to>
        <xdr:sp macro="" textlink="">
          <xdr:nvSpPr>
            <xdr:cNvPr id="184552" name="Check Box 232" hidden="1">
              <a:extLst>
                <a:ext uri="{63B3BB69-23CF-44E3-9099-C40C66FF867C}">
                  <a14:compatExt spid="_x0000_s184552"/>
                </a:ext>
                <a:ext uri="{FF2B5EF4-FFF2-40B4-BE49-F238E27FC236}">
                  <a16:creationId xmlns:a16="http://schemas.microsoft.com/office/drawing/2014/main" id="{00000000-0008-0000-0800-0000E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247650</xdr:colOff>
          <xdr:row>39</xdr:row>
          <xdr:rowOff>781050</xdr:rowOff>
        </xdr:from>
        <xdr:to>
          <xdr:col>5</xdr:col>
          <xdr:colOff>619125</xdr:colOff>
          <xdr:row>39</xdr:row>
          <xdr:rowOff>1152525</xdr:rowOff>
        </xdr:to>
        <xdr:sp macro="" textlink="">
          <xdr:nvSpPr>
            <xdr:cNvPr id="184554" name="Option Button 234" hidden="1">
              <a:extLst>
                <a:ext uri="{63B3BB69-23CF-44E3-9099-C40C66FF867C}">
                  <a14:compatExt spid="_x0000_s184554"/>
                </a:ext>
                <a:ext uri="{FF2B5EF4-FFF2-40B4-BE49-F238E27FC236}">
                  <a16:creationId xmlns:a16="http://schemas.microsoft.com/office/drawing/2014/main" id="{00000000-0008-0000-0800-0000EA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247650</xdr:colOff>
          <xdr:row>39</xdr:row>
          <xdr:rowOff>781050</xdr:rowOff>
        </xdr:from>
        <xdr:to>
          <xdr:col>6</xdr:col>
          <xdr:colOff>619125</xdr:colOff>
          <xdr:row>39</xdr:row>
          <xdr:rowOff>1152525</xdr:rowOff>
        </xdr:to>
        <xdr:sp macro="" textlink="">
          <xdr:nvSpPr>
            <xdr:cNvPr id="184555" name="Option Button 235" hidden="1">
              <a:extLst>
                <a:ext uri="{63B3BB69-23CF-44E3-9099-C40C66FF867C}">
                  <a14:compatExt spid="_x0000_s184555"/>
                </a:ext>
                <a:ext uri="{FF2B5EF4-FFF2-40B4-BE49-F238E27FC236}">
                  <a16:creationId xmlns:a16="http://schemas.microsoft.com/office/drawing/2014/main" id="{00000000-0008-0000-0800-0000EB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247650</xdr:colOff>
          <xdr:row>39</xdr:row>
          <xdr:rowOff>781050</xdr:rowOff>
        </xdr:from>
        <xdr:to>
          <xdr:col>7</xdr:col>
          <xdr:colOff>619125</xdr:colOff>
          <xdr:row>39</xdr:row>
          <xdr:rowOff>1152525</xdr:rowOff>
        </xdr:to>
        <xdr:sp macro="" textlink="">
          <xdr:nvSpPr>
            <xdr:cNvPr id="184556" name="Option Button 236" hidden="1">
              <a:extLst>
                <a:ext uri="{63B3BB69-23CF-44E3-9099-C40C66FF867C}">
                  <a14:compatExt spid="_x0000_s184556"/>
                </a:ext>
                <a:ext uri="{FF2B5EF4-FFF2-40B4-BE49-F238E27FC236}">
                  <a16:creationId xmlns:a16="http://schemas.microsoft.com/office/drawing/2014/main" id="{00000000-0008-0000-0800-0000EC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39</xdr:row>
          <xdr:rowOff>771525</xdr:rowOff>
        </xdr:from>
        <xdr:to>
          <xdr:col>7</xdr:col>
          <xdr:colOff>628650</xdr:colOff>
          <xdr:row>39</xdr:row>
          <xdr:rowOff>1190625</xdr:rowOff>
        </xdr:to>
        <xdr:sp macro="" textlink="">
          <xdr:nvSpPr>
            <xdr:cNvPr id="184558" name="Group Box 238" hidden="1">
              <a:extLst>
                <a:ext uri="{63B3BB69-23CF-44E3-9099-C40C66FF867C}">
                  <a14:compatExt spid="_x0000_s184558"/>
                </a:ext>
                <a:ext uri="{FF2B5EF4-FFF2-40B4-BE49-F238E27FC236}">
                  <a16:creationId xmlns:a16="http://schemas.microsoft.com/office/drawing/2014/main" id="{00000000-0008-0000-0800-0000EE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247650</xdr:colOff>
          <xdr:row>40</xdr:row>
          <xdr:rowOff>590550</xdr:rowOff>
        </xdr:from>
        <xdr:to>
          <xdr:col>5</xdr:col>
          <xdr:colOff>619125</xdr:colOff>
          <xdr:row>40</xdr:row>
          <xdr:rowOff>962025</xdr:rowOff>
        </xdr:to>
        <xdr:sp macro="" textlink="">
          <xdr:nvSpPr>
            <xdr:cNvPr id="184559" name="Option Button 239" hidden="1">
              <a:extLst>
                <a:ext uri="{63B3BB69-23CF-44E3-9099-C40C66FF867C}">
                  <a14:compatExt spid="_x0000_s184559"/>
                </a:ext>
                <a:ext uri="{FF2B5EF4-FFF2-40B4-BE49-F238E27FC236}">
                  <a16:creationId xmlns:a16="http://schemas.microsoft.com/office/drawing/2014/main" id="{00000000-0008-0000-0800-0000EF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285750</xdr:colOff>
          <xdr:row>40</xdr:row>
          <xdr:rowOff>590550</xdr:rowOff>
        </xdr:from>
        <xdr:to>
          <xdr:col>6</xdr:col>
          <xdr:colOff>657225</xdr:colOff>
          <xdr:row>40</xdr:row>
          <xdr:rowOff>962025</xdr:rowOff>
        </xdr:to>
        <xdr:sp macro="" textlink="">
          <xdr:nvSpPr>
            <xdr:cNvPr id="184560" name="Option Button 240" hidden="1">
              <a:extLst>
                <a:ext uri="{63B3BB69-23CF-44E3-9099-C40C66FF867C}">
                  <a14:compatExt spid="_x0000_s184560"/>
                </a:ext>
                <a:ext uri="{FF2B5EF4-FFF2-40B4-BE49-F238E27FC236}">
                  <a16:creationId xmlns:a16="http://schemas.microsoft.com/office/drawing/2014/main" id="{00000000-0008-0000-0800-0000F0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40</xdr:row>
          <xdr:rowOff>590550</xdr:rowOff>
        </xdr:from>
        <xdr:to>
          <xdr:col>7</xdr:col>
          <xdr:colOff>638175</xdr:colOff>
          <xdr:row>40</xdr:row>
          <xdr:rowOff>962025</xdr:rowOff>
        </xdr:to>
        <xdr:sp macro="" textlink="">
          <xdr:nvSpPr>
            <xdr:cNvPr id="184561" name="Option Button 241" hidden="1">
              <a:extLst>
                <a:ext uri="{63B3BB69-23CF-44E3-9099-C40C66FF867C}">
                  <a14:compatExt spid="_x0000_s184561"/>
                </a:ext>
                <a:ext uri="{FF2B5EF4-FFF2-40B4-BE49-F238E27FC236}">
                  <a16:creationId xmlns:a16="http://schemas.microsoft.com/office/drawing/2014/main" id="{00000000-0008-0000-0800-0000F1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xdr:colOff>
          <xdr:row>40</xdr:row>
          <xdr:rowOff>552450</xdr:rowOff>
        </xdr:from>
        <xdr:to>
          <xdr:col>8</xdr:col>
          <xdr:colOff>0</xdr:colOff>
          <xdr:row>40</xdr:row>
          <xdr:rowOff>1028700</xdr:rowOff>
        </xdr:to>
        <xdr:sp macro="" textlink="">
          <xdr:nvSpPr>
            <xdr:cNvPr id="184562" name="Group Box 242" hidden="1">
              <a:extLst>
                <a:ext uri="{63B3BB69-23CF-44E3-9099-C40C66FF867C}">
                  <a14:compatExt spid="_x0000_s184562"/>
                </a:ext>
                <a:ext uri="{FF2B5EF4-FFF2-40B4-BE49-F238E27FC236}">
                  <a16:creationId xmlns:a16="http://schemas.microsoft.com/office/drawing/2014/main" id="{00000000-0008-0000-0800-0000F2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247650</xdr:colOff>
          <xdr:row>43</xdr:row>
          <xdr:rowOff>285750</xdr:rowOff>
        </xdr:from>
        <xdr:to>
          <xdr:col>5</xdr:col>
          <xdr:colOff>619125</xdr:colOff>
          <xdr:row>43</xdr:row>
          <xdr:rowOff>657225</xdr:rowOff>
        </xdr:to>
        <xdr:sp macro="" textlink="">
          <xdr:nvSpPr>
            <xdr:cNvPr id="184563" name="Option Button 243" hidden="1">
              <a:extLst>
                <a:ext uri="{63B3BB69-23CF-44E3-9099-C40C66FF867C}">
                  <a14:compatExt spid="_x0000_s184563"/>
                </a:ext>
                <a:ext uri="{FF2B5EF4-FFF2-40B4-BE49-F238E27FC236}">
                  <a16:creationId xmlns:a16="http://schemas.microsoft.com/office/drawing/2014/main" id="{00000000-0008-0000-0800-0000F3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43</xdr:row>
          <xdr:rowOff>285750</xdr:rowOff>
        </xdr:from>
        <xdr:to>
          <xdr:col>7</xdr:col>
          <xdr:colOff>638175</xdr:colOff>
          <xdr:row>43</xdr:row>
          <xdr:rowOff>657225</xdr:rowOff>
        </xdr:to>
        <xdr:sp macro="" textlink="">
          <xdr:nvSpPr>
            <xdr:cNvPr id="184564" name="Option Button 244" hidden="1">
              <a:extLst>
                <a:ext uri="{63B3BB69-23CF-44E3-9099-C40C66FF867C}">
                  <a14:compatExt spid="_x0000_s184564"/>
                </a:ext>
                <a:ext uri="{FF2B5EF4-FFF2-40B4-BE49-F238E27FC236}">
                  <a16:creationId xmlns:a16="http://schemas.microsoft.com/office/drawing/2014/main" id="{00000000-0008-0000-0800-0000F4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43</xdr:row>
          <xdr:rowOff>228600</xdr:rowOff>
        </xdr:from>
        <xdr:to>
          <xdr:col>8</xdr:col>
          <xdr:colOff>0</xdr:colOff>
          <xdr:row>43</xdr:row>
          <xdr:rowOff>685800</xdr:rowOff>
        </xdr:to>
        <xdr:sp macro="" textlink="">
          <xdr:nvSpPr>
            <xdr:cNvPr id="184567" name="Group Box 247" hidden="1">
              <a:extLst>
                <a:ext uri="{63B3BB69-23CF-44E3-9099-C40C66FF867C}">
                  <a14:compatExt spid="_x0000_s184567"/>
                </a:ext>
                <a:ext uri="{FF2B5EF4-FFF2-40B4-BE49-F238E27FC236}">
                  <a16:creationId xmlns:a16="http://schemas.microsoft.com/office/drawing/2014/main" id="{00000000-0008-0000-0800-0000F7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45</xdr:row>
          <xdr:rowOff>857250</xdr:rowOff>
        </xdr:from>
        <xdr:to>
          <xdr:col>5</xdr:col>
          <xdr:colOff>485775</xdr:colOff>
          <xdr:row>45</xdr:row>
          <xdr:rowOff>1143000</xdr:rowOff>
        </xdr:to>
        <xdr:sp macro="" textlink="">
          <xdr:nvSpPr>
            <xdr:cNvPr id="184568" name="Option Button 248" hidden="1">
              <a:extLst>
                <a:ext uri="{63B3BB69-23CF-44E3-9099-C40C66FF867C}">
                  <a14:compatExt spid="_x0000_s184568"/>
                </a:ext>
                <a:ext uri="{FF2B5EF4-FFF2-40B4-BE49-F238E27FC236}">
                  <a16:creationId xmlns:a16="http://schemas.microsoft.com/office/drawing/2014/main" id="{00000000-0008-0000-0800-0000F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45</xdr:row>
          <xdr:rowOff>847725</xdr:rowOff>
        </xdr:from>
        <xdr:to>
          <xdr:col>6</xdr:col>
          <xdr:colOff>466725</xdr:colOff>
          <xdr:row>45</xdr:row>
          <xdr:rowOff>1143000</xdr:rowOff>
        </xdr:to>
        <xdr:sp macro="" textlink="">
          <xdr:nvSpPr>
            <xdr:cNvPr id="184569" name="Option Button 249" hidden="1">
              <a:extLst>
                <a:ext uri="{63B3BB69-23CF-44E3-9099-C40C66FF867C}">
                  <a14:compatExt spid="_x0000_s184569"/>
                </a:ext>
                <a:ext uri="{FF2B5EF4-FFF2-40B4-BE49-F238E27FC236}">
                  <a16:creationId xmlns:a16="http://schemas.microsoft.com/office/drawing/2014/main" id="{00000000-0008-0000-0800-0000F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45</xdr:row>
          <xdr:rowOff>876300</xdr:rowOff>
        </xdr:from>
        <xdr:to>
          <xdr:col>7</xdr:col>
          <xdr:colOff>447675</xdr:colOff>
          <xdr:row>45</xdr:row>
          <xdr:rowOff>1123950</xdr:rowOff>
        </xdr:to>
        <xdr:sp macro="" textlink="">
          <xdr:nvSpPr>
            <xdr:cNvPr id="184570" name="Option Button 250" hidden="1">
              <a:extLst>
                <a:ext uri="{63B3BB69-23CF-44E3-9099-C40C66FF867C}">
                  <a14:compatExt spid="_x0000_s184570"/>
                </a:ext>
                <a:ext uri="{FF2B5EF4-FFF2-40B4-BE49-F238E27FC236}">
                  <a16:creationId xmlns:a16="http://schemas.microsoft.com/office/drawing/2014/main" id="{00000000-0008-0000-0800-0000FA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114300</xdr:colOff>
          <xdr:row>45</xdr:row>
          <xdr:rowOff>762000</xdr:rowOff>
        </xdr:from>
        <xdr:to>
          <xdr:col>7</xdr:col>
          <xdr:colOff>590550</xdr:colOff>
          <xdr:row>45</xdr:row>
          <xdr:rowOff>1190625</xdr:rowOff>
        </xdr:to>
        <xdr:sp macro="" textlink="">
          <xdr:nvSpPr>
            <xdr:cNvPr id="184571" name="Group Box 251" hidden="1">
              <a:extLst>
                <a:ext uri="{63B3BB69-23CF-44E3-9099-C40C66FF867C}">
                  <a14:compatExt spid="_x0000_s184571"/>
                </a:ext>
                <a:ext uri="{FF2B5EF4-FFF2-40B4-BE49-F238E27FC236}">
                  <a16:creationId xmlns:a16="http://schemas.microsoft.com/office/drawing/2014/main" id="{00000000-0008-0000-0800-0000FB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45</xdr:row>
          <xdr:rowOff>428625</xdr:rowOff>
        </xdr:from>
        <xdr:to>
          <xdr:col>9</xdr:col>
          <xdr:colOff>304800</xdr:colOff>
          <xdr:row>45</xdr:row>
          <xdr:rowOff>1533525</xdr:rowOff>
        </xdr:to>
        <xdr:sp macro="" textlink="">
          <xdr:nvSpPr>
            <xdr:cNvPr id="184572" name="Check Box 252" hidden="1">
              <a:extLst>
                <a:ext uri="{63B3BB69-23CF-44E3-9099-C40C66FF867C}">
                  <a14:compatExt spid="_x0000_s184572"/>
                </a:ext>
                <a:ext uri="{FF2B5EF4-FFF2-40B4-BE49-F238E27FC236}">
                  <a16:creationId xmlns:a16="http://schemas.microsoft.com/office/drawing/2014/main" id="{00000000-0008-0000-0800-0000FC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60</xdr:row>
          <xdr:rowOff>1209675</xdr:rowOff>
        </xdr:from>
        <xdr:to>
          <xdr:col>5</xdr:col>
          <xdr:colOff>485775</xdr:colOff>
          <xdr:row>60</xdr:row>
          <xdr:rowOff>1428750</xdr:rowOff>
        </xdr:to>
        <xdr:sp macro="" textlink="">
          <xdr:nvSpPr>
            <xdr:cNvPr id="184573" name="Option Button 253" hidden="1">
              <a:extLst>
                <a:ext uri="{63B3BB69-23CF-44E3-9099-C40C66FF867C}">
                  <a14:compatExt spid="_x0000_s184573"/>
                </a:ext>
                <a:ext uri="{FF2B5EF4-FFF2-40B4-BE49-F238E27FC236}">
                  <a16:creationId xmlns:a16="http://schemas.microsoft.com/office/drawing/2014/main" id="{00000000-0008-0000-0800-0000FD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60</xdr:row>
          <xdr:rowOff>1209675</xdr:rowOff>
        </xdr:from>
        <xdr:to>
          <xdr:col>6</xdr:col>
          <xdr:colOff>523875</xdr:colOff>
          <xdr:row>60</xdr:row>
          <xdr:rowOff>1428750</xdr:rowOff>
        </xdr:to>
        <xdr:sp macro="" textlink="">
          <xdr:nvSpPr>
            <xdr:cNvPr id="184574" name="Option Button 254" hidden="1">
              <a:extLst>
                <a:ext uri="{63B3BB69-23CF-44E3-9099-C40C66FF867C}">
                  <a14:compatExt spid="_x0000_s184574"/>
                </a:ext>
                <a:ext uri="{FF2B5EF4-FFF2-40B4-BE49-F238E27FC236}">
                  <a16:creationId xmlns:a16="http://schemas.microsoft.com/office/drawing/2014/main" id="{00000000-0008-0000-0800-0000FE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257175</xdr:colOff>
          <xdr:row>60</xdr:row>
          <xdr:rowOff>1209675</xdr:rowOff>
        </xdr:from>
        <xdr:to>
          <xdr:col>7</xdr:col>
          <xdr:colOff>504825</xdr:colOff>
          <xdr:row>60</xdr:row>
          <xdr:rowOff>1428750</xdr:rowOff>
        </xdr:to>
        <xdr:sp macro="" textlink="">
          <xdr:nvSpPr>
            <xdr:cNvPr id="184575" name="Option Button 255" hidden="1">
              <a:extLst>
                <a:ext uri="{63B3BB69-23CF-44E3-9099-C40C66FF867C}">
                  <a14:compatExt spid="_x0000_s184575"/>
                </a:ext>
                <a:ext uri="{FF2B5EF4-FFF2-40B4-BE49-F238E27FC236}">
                  <a16:creationId xmlns:a16="http://schemas.microsoft.com/office/drawing/2014/main" id="{00000000-0008-0000-0800-0000FF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123825</xdr:colOff>
          <xdr:row>60</xdr:row>
          <xdr:rowOff>1076325</xdr:rowOff>
        </xdr:from>
        <xdr:to>
          <xdr:col>7</xdr:col>
          <xdr:colOff>647700</xdr:colOff>
          <xdr:row>60</xdr:row>
          <xdr:rowOff>1524000</xdr:rowOff>
        </xdr:to>
        <xdr:sp macro="" textlink="">
          <xdr:nvSpPr>
            <xdr:cNvPr id="184576" name="Group Box 256" hidden="1">
              <a:extLst>
                <a:ext uri="{63B3BB69-23CF-44E3-9099-C40C66FF867C}">
                  <a14:compatExt spid="_x0000_s184576"/>
                </a:ext>
                <a:ext uri="{FF2B5EF4-FFF2-40B4-BE49-F238E27FC236}">
                  <a16:creationId xmlns:a16="http://schemas.microsoft.com/office/drawing/2014/main" id="{00000000-0008-0000-0800-000000D1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60</xdr:row>
          <xdr:rowOff>1152525</xdr:rowOff>
        </xdr:from>
        <xdr:to>
          <xdr:col>9</xdr:col>
          <xdr:colOff>342900</xdr:colOff>
          <xdr:row>60</xdr:row>
          <xdr:rowOff>1390650</xdr:rowOff>
        </xdr:to>
        <xdr:sp macro="" textlink="">
          <xdr:nvSpPr>
            <xdr:cNvPr id="184577" name="Check Box 257" hidden="1">
              <a:extLst>
                <a:ext uri="{63B3BB69-23CF-44E3-9099-C40C66FF867C}">
                  <a14:compatExt spid="_x0000_s184577"/>
                </a:ext>
                <a:ext uri="{FF2B5EF4-FFF2-40B4-BE49-F238E27FC236}">
                  <a16:creationId xmlns:a16="http://schemas.microsoft.com/office/drawing/2014/main" id="{00000000-0008-0000-0800-000001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84</xdr:row>
          <xdr:rowOff>314325</xdr:rowOff>
        </xdr:from>
        <xdr:to>
          <xdr:col>9</xdr:col>
          <xdr:colOff>323850</xdr:colOff>
          <xdr:row>84</xdr:row>
          <xdr:rowOff>657225</xdr:rowOff>
        </xdr:to>
        <xdr:sp macro="" textlink="">
          <xdr:nvSpPr>
            <xdr:cNvPr id="184579" name="Check Box 259" hidden="1">
              <a:extLst>
                <a:ext uri="{63B3BB69-23CF-44E3-9099-C40C66FF867C}">
                  <a14:compatExt spid="_x0000_s184579"/>
                </a:ext>
                <a:ext uri="{FF2B5EF4-FFF2-40B4-BE49-F238E27FC236}">
                  <a16:creationId xmlns:a16="http://schemas.microsoft.com/office/drawing/2014/main" id="{00000000-0008-0000-0800-000003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100</xdr:row>
          <xdr:rowOff>561975</xdr:rowOff>
        </xdr:from>
        <xdr:to>
          <xdr:col>9</xdr:col>
          <xdr:colOff>323850</xdr:colOff>
          <xdr:row>100</xdr:row>
          <xdr:rowOff>942975</xdr:rowOff>
        </xdr:to>
        <xdr:sp macro="" textlink="">
          <xdr:nvSpPr>
            <xdr:cNvPr id="184581" name="Check Box 261" hidden="1">
              <a:extLst>
                <a:ext uri="{63B3BB69-23CF-44E3-9099-C40C66FF867C}">
                  <a14:compatExt spid="_x0000_s184581"/>
                </a:ext>
                <a:ext uri="{FF2B5EF4-FFF2-40B4-BE49-F238E27FC236}">
                  <a16:creationId xmlns:a16="http://schemas.microsoft.com/office/drawing/2014/main" id="{00000000-0008-0000-0800-000005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257175</xdr:colOff>
          <xdr:row>100</xdr:row>
          <xdr:rowOff>628650</xdr:rowOff>
        </xdr:from>
        <xdr:to>
          <xdr:col>5</xdr:col>
          <xdr:colOff>504825</xdr:colOff>
          <xdr:row>100</xdr:row>
          <xdr:rowOff>942975</xdr:rowOff>
        </xdr:to>
        <xdr:sp macro="" textlink="">
          <xdr:nvSpPr>
            <xdr:cNvPr id="184582" name="Option Button 262" hidden="1">
              <a:extLst>
                <a:ext uri="{63B3BB69-23CF-44E3-9099-C40C66FF867C}">
                  <a14:compatExt spid="_x0000_s184582"/>
                </a:ext>
                <a:ext uri="{FF2B5EF4-FFF2-40B4-BE49-F238E27FC236}">
                  <a16:creationId xmlns:a16="http://schemas.microsoft.com/office/drawing/2014/main" id="{00000000-0008-0000-0800-000006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100</xdr:row>
          <xdr:rowOff>638175</xdr:rowOff>
        </xdr:from>
        <xdr:to>
          <xdr:col>6</xdr:col>
          <xdr:colOff>485775</xdr:colOff>
          <xdr:row>100</xdr:row>
          <xdr:rowOff>942975</xdr:rowOff>
        </xdr:to>
        <xdr:sp macro="" textlink="">
          <xdr:nvSpPr>
            <xdr:cNvPr id="184583" name="Option Button 263" hidden="1">
              <a:extLst>
                <a:ext uri="{63B3BB69-23CF-44E3-9099-C40C66FF867C}">
                  <a14:compatExt spid="_x0000_s184583"/>
                </a:ext>
                <a:ext uri="{FF2B5EF4-FFF2-40B4-BE49-F238E27FC236}">
                  <a16:creationId xmlns:a16="http://schemas.microsoft.com/office/drawing/2014/main" id="{00000000-0008-0000-0800-000007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100</xdr:row>
          <xdr:rowOff>619125</xdr:rowOff>
        </xdr:from>
        <xdr:to>
          <xdr:col>7</xdr:col>
          <xdr:colOff>485775</xdr:colOff>
          <xdr:row>100</xdr:row>
          <xdr:rowOff>942975</xdr:rowOff>
        </xdr:to>
        <xdr:sp macro="" textlink="">
          <xdr:nvSpPr>
            <xdr:cNvPr id="184584" name="Option Button 264" hidden="1">
              <a:extLst>
                <a:ext uri="{63B3BB69-23CF-44E3-9099-C40C66FF867C}">
                  <a14:compatExt spid="_x0000_s184584"/>
                </a:ext>
                <a:ext uri="{FF2B5EF4-FFF2-40B4-BE49-F238E27FC236}">
                  <a16:creationId xmlns:a16="http://schemas.microsoft.com/office/drawing/2014/main" id="{00000000-0008-0000-0800-000008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100</xdr:row>
          <xdr:rowOff>600075</xdr:rowOff>
        </xdr:from>
        <xdr:to>
          <xdr:col>7</xdr:col>
          <xdr:colOff>628650</xdr:colOff>
          <xdr:row>101</xdr:row>
          <xdr:rowOff>0</xdr:rowOff>
        </xdr:to>
        <xdr:sp macro="" textlink="">
          <xdr:nvSpPr>
            <xdr:cNvPr id="184585" name="Group Box 265" hidden="1">
              <a:extLst>
                <a:ext uri="{63B3BB69-23CF-44E3-9099-C40C66FF867C}">
                  <a14:compatExt spid="_x0000_s184585"/>
                </a:ext>
                <a:ext uri="{FF2B5EF4-FFF2-40B4-BE49-F238E27FC236}">
                  <a16:creationId xmlns:a16="http://schemas.microsoft.com/office/drawing/2014/main" id="{00000000-0008-0000-0800-000009D1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25</xdr:row>
          <xdr:rowOff>1381125</xdr:rowOff>
        </xdr:from>
        <xdr:to>
          <xdr:col>5</xdr:col>
          <xdr:colOff>571500</xdr:colOff>
          <xdr:row>25</xdr:row>
          <xdr:rowOff>1724025</xdr:rowOff>
        </xdr:to>
        <xdr:sp macro="" textlink="">
          <xdr:nvSpPr>
            <xdr:cNvPr id="184586" name="Option Button 266" hidden="1">
              <a:extLst>
                <a:ext uri="{63B3BB69-23CF-44E3-9099-C40C66FF867C}">
                  <a14:compatExt spid="_x0000_s184586"/>
                </a:ext>
                <a:ext uri="{FF2B5EF4-FFF2-40B4-BE49-F238E27FC236}">
                  <a16:creationId xmlns:a16="http://schemas.microsoft.com/office/drawing/2014/main" id="{00000000-0008-0000-0800-00000A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25</xdr:row>
          <xdr:rowOff>1381125</xdr:rowOff>
        </xdr:from>
        <xdr:to>
          <xdr:col>6</xdr:col>
          <xdr:colOff>533400</xdr:colOff>
          <xdr:row>25</xdr:row>
          <xdr:rowOff>1724025</xdr:rowOff>
        </xdr:to>
        <xdr:sp macro="" textlink="">
          <xdr:nvSpPr>
            <xdr:cNvPr id="184587" name="Option Button 267" hidden="1">
              <a:extLst>
                <a:ext uri="{63B3BB69-23CF-44E3-9099-C40C66FF867C}">
                  <a14:compatExt spid="_x0000_s184587"/>
                </a:ext>
                <a:ext uri="{FF2B5EF4-FFF2-40B4-BE49-F238E27FC236}">
                  <a16:creationId xmlns:a16="http://schemas.microsoft.com/office/drawing/2014/main" id="{00000000-0008-0000-0800-00000B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25</xdr:row>
          <xdr:rowOff>1381125</xdr:rowOff>
        </xdr:from>
        <xdr:to>
          <xdr:col>7</xdr:col>
          <xdr:colOff>571500</xdr:colOff>
          <xdr:row>25</xdr:row>
          <xdr:rowOff>1724025</xdr:rowOff>
        </xdr:to>
        <xdr:sp macro="" textlink="">
          <xdr:nvSpPr>
            <xdr:cNvPr id="184588" name="Option Button 268" hidden="1">
              <a:extLst>
                <a:ext uri="{63B3BB69-23CF-44E3-9099-C40C66FF867C}">
                  <a14:compatExt spid="_x0000_s184588"/>
                </a:ext>
                <a:ext uri="{FF2B5EF4-FFF2-40B4-BE49-F238E27FC236}">
                  <a16:creationId xmlns:a16="http://schemas.microsoft.com/office/drawing/2014/main" id="{00000000-0008-0000-0800-00000C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79</xdr:row>
          <xdr:rowOff>276225</xdr:rowOff>
        </xdr:from>
        <xdr:to>
          <xdr:col>7</xdr:col>
          <xdr:colOff>571500</xdr:colOff>
          <xdr:row>79</xdr:row>
          <xdr:rowOff>800100</xdr:rowOff>
        </xdr:to>
        <xdr:sp macro="" textlink="">
          <xdr:nvSpPr>
            <xdr:cNvPr id="184589" name="Group Box 269" hidden="1">
              <a:extLst>
                <a:ext uri="{63B3BB69-23CF-44E3-9099-C40C66FF867C}">
                  <a14:compatExt spid="_x0000_s184589"/>
                </a:ext>
                <a:ext uri="{FF2B5EF4-FFF2-40B4-BE49-F238E27FC236}">
                  <a16:creationId xmlns:a16="http://schemas.microsoft.com/office/drawing/2014/main" id="{00000000-0008-0000-0800-00000DD1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71</xdr:row>
          <xdr:rowOff>171450</xdr:rowOff>
        </xdr:from>
        <xdr:to>
          <xdr:col>9</xdr:col>
          <xdr:colOff>323850</xdr:colOff>
          <xdr:row>71</xdr:row>
          <xdr:rowOff>400050</xdr:rowOff>
        </xdr:to>
        <xdr:sp macro="" textlink="">
          <xdr:nvSpPr>
            <xdr:cNvPr id="184592" name="Check Box 272" hidden="1">
              <a:extLst>
                <a:ext uri="{63B3BB69-23CF-44E3-9099-C40C66FF867C}">
                  <a14:compatExt spid="_x0000_s184592"/>
                </a:ext>
                <a:ext uri="{FF2B5EF4-FFF2-40B4-BE49-F238E27FC236}">
                  <a16:creationId xmlns:a16="http://schemas.microsoft.com/office/drawing/2014/main" id="{00000000-0008-0000-0800-000010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257175</xdr:colOff>
          <xdr:row>91</xdr:row>
          <xdr:rowOff>190500</xdr:rowOff>
        </xdr:from>
        <xdr:to>
          <xdr:col>5</xdr:col>
          <xdr:colOff>609600</xdr:colOff>
          <xdr:row>91</xdr:row>
          <xdr:rowOff>438150</xdr:rowOff>
        </xdr:to>
        <xdr:sp macro="" textlink="">
          <xdr:nvSpPr>
            <xdr:cNvPr id="184593" name="Option Button 273" hidden="1">
              <a:extLst>
                <a:ext uri="{63B3BB69-23CF-44E3-9099-C40C66FF867C}">
                  <a14:compatExt spid="_x0000_s184593"/>
                </a:ext>
                <a:ext uri="{FF2B5EF4-FFF2-40B4-BE49-F238E27FC236}">
                  <a16:creationId xmlns:a16="http://schemas.microsoft.com/office/drawing/2014/main" id="{00000000-0008-0000-0800-000011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142875</xdr:colOff>
          <xdr:row>91</xdr:row>
          <xdr:rowOff>123825</xdr:rowOff>
        </xdr:from>
        <xdr:to>
          <xdr:col>7</xdr:col>
          <xdr:colOff>657225</xdr:colOff>
          <xdr:row>91</xdr:row>
          <xdr:rowOff>495300</xdr:rowOff>
        </xdr:to>
        <xdr:sp macro="" textlink="">
          <xdr:nvSpPr>
            <xdr:cNvPr id="184596" name="Group Box 276" hidden="1">
              <a:extLst>
                <a:ext uri="{63B3BB69-23CF-44E3-9099-C40C66FF867C}">
                  <a14:compatExt spid="_x0000_s184596"/>
                </a:ext>
                <a:ext uri="{FF2B5EF4-FFF2-40B4-BE49-F238E27FC236}">
                  <a16:creationId xmlns:a16="http://schemas.microsoft.com/office/drawing/2014/main" id="{00000000-0008-0000-0800-000014D1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91</xdr:row>
          <xdr:rowOff>190500</xdr:rowOff>
        </xdr:from>
        <xdr:to>
          <xdr:col>7</xdr:col>
          <xdr:colOff>571500</xdr:colOff>
          <xdr:row>91</xdr:row>
          <xdr:rowOff>438150</xdr:rowOff>
        </xdr:to>
        <xdr:sp macro="" textlink="">
          <xdr:nvSpPr>
            <xdr:cNvPr id="184597" name="Option Button 277" hidden="1">
              <a:extLst>
                <a:ext uri="{63B3BB69-23CF-44E3-9099-C40C66FF867C}">
                  <a14:compatExt spid="_x0000_s184597"/>
                </a:ext>
                <a:ext uri="{FF2B5EF4-FFF2-40B4-BE49-F238E27FC236}">
                  <a16:creationId xmlns:a16="http://schemas.microsoft.com/office/drawing/2014/main" id="{00000000-0008-0000-0800-000015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104</xdr:row>
          <xdr:rowOff>190500</xdr:rowOff>
        </xdr:from>
        <xdr:to>
          <xdr:col>9</xdr:col>
          <xdr:colOff>323850</xdr:colOff>
          <xdr:row>104</xdr:row>
          <xdr:rowOff>676275</xdr:rowOff>
        </xdr:to>
        <xdr:sp macro="" textlink="">
          <xdr:nvSpPr>
            <xdr:cNvPr id="184598" name="Check Box 278" hidden="1">
              <a:extLst>
                <a:ext uri="{63B3BB69-23CF-44E3-9099-C40C66FF867C}">
                  <a14:compatExt spid="_x0000_s184598"/>
                </a:ext>
                <a:ext uri="{FF2B5EF4-FFF2-40B4-BE49-F238E27FC236}">
                  <a16:creationId xmlns:a16="http://schemas.microsoft.com/office/drawing/2014/main" id="{00000000-0008-0000-0800-000016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105</xdr:row>
          <xdr:rowOff>333375</xdr:rowOff>
        </xdr:from>
        <xdr:to>
          <xdr:col>9</xdr:col>
          <xdr:colOff>314325</xdr:colOff>
          <xdr:row>105</xdr:row>
          <xdr:rowOff>571500</xdr:rowOff>
        </xdr:to>
        <xdr:sp macro="" textlink="">
          <xdr:nvSpPr>
            <xdr:cNvPr id="184599" name="Check Box 279" hidden="1">
              <a:extLst>
                <a:ext uri="{63B3BB69-23CF-44E3-9099-C40C66FF867C}">
                  <a14:compatExt spid="_x0000_s184599"/>
                </a:ext>
                <a:ext uri="{FF2B5EF4-FFF2-40B4-BE49-F238E27FC236}">
                  <a16:creationId xmlns:a16="http://schemas.microsoft.com/office/drawing/2014/main" id="{00000000-0008-0000-0800-000017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106</xdr:row>
          <xdr:rowOff>352425</xdr:rowOff>
        </xdr:from>
        <xdr:to>
          <xdr:col>9</xdr:col>
          <xdr:colOff>333375</xdr:colOff>
          <xdr:row>106</xdr:row>
          <xdr:rowOff>561975</xdr:rowOff>
        </xdr:to>
        <xdr:sp macro="" textlink="">
          <xdr:nvSpPr>
            <xdr:cNvPr id="184600" name="Check Box 280" hidden="1">
              <a:extLst>
                <a:ext uri="{63B3BB69-23CF-44E3-9099-C40C66FF867C}">
                  <a14:compatExt spid="_x0000_s184600"/>
                </a:ext>
                <a:ext uri="{FF2B5EF4-FFF2-40B4-BE49-F238E27FC236}">
                  <a16:creationId xmlns:a16="http://schemas.microsoft.com/office/drawing/2014/main" id="{00000000-0008-0000-0800-000018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6</xdr:col>
      <xdr:colOff>282575</xdr:colOff>
      <xdr:row>0</xdr:row>
      <xdr:rowOff>104775</xdr:rowOff>
    </xdr:from>
    <xdr:to>
      <xdr:col>16</xdr:col>
      <xdr:colOff>444340</xdr:colOff>
      <xdr:row>36</xdr:row>
      <xdr:rowOff>53941</xdr:rowOff>
    </xdr:to>
    <xdr:sp macro="" textlink="">
      <xdr:nvSpPr>
        <xdr:cNvPr id="4098" name="Text Box 2">
          <a:extLst>
            <a:ext uri="{FF2B5EF4-FFF2-40B4-BE49-F238E27FC236}">
              <a16:creationId xmlns:a16="http://schemas.microsoft.com/office/drawing/2014/main" id="{00000000-0008-0000-0F00-000002100000}"/>
            </a:ext>
          </a:extLst>
        </xdr:cNvPr>
        <xdr:cNvSpPr txBox="1">
          <a:spLocks noChangeArrowheads="1"/>
        </xdr:cNvSpPr>
      </xdr:nvSpPr>
      <xdr:spPr bwMode="auto">
        <a:xfrm>
          <a:off x="4400550" y="104775"/>
          <a:ext cx="7010400" cy="6124575"/>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defRPr sz="1000"/>
          </a:pPr>
          <a:r>
            <a:rPr lang="ja-JP" altLang="en-US" sz="1100" b="0" i="0" u="none" strike="noStrike" baseline="0">
              <a:solidFill>
                <a:srgbClr val="FF0000"/>
              </a:solidFill>
              <a:latin typeface="ＭＳ Ｐゴシック"/>
              <a:ea typeface="ＭＳ Ｐゴシック"/>
            </a:rPr>
            <a:t>　　</a:t>
          </a:r>
        </a:p>
        <a:p>
          <a:pPr algn="l" rtl="0">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不動産 評価ソフト </a:t>
          </a:r>
          <a:r>
            <a:rPr lang="en-US" altLang="ja-JP" sz="1100" b="0" i="0" u="none" strike="noStrike" baseline="0">
              <a:solidFill>
                <a:srgbClr val="000000"/>
              </a:solidFill>
              <a:latin typeface="ＭＳ Ｐゴシック"/>
              <a:ea typeface="ＭＳ Ｐゴシック"/>
            </a:rPr>
            <a:t>2024</a:t>
          </a:r>
          <a:r>
            <a:rPr lang="ja-JP" altLang="en-US" sz="1100" b="0" i="0" u="none" strike="noStrike" baseline="0">
              <a:solidFill>
                <a:srgbClr val="000000"/>
              </a:solidFill>
              <a:latin typeface="ＭＳ Ｐゴシック"/>
              <a:ea typeface="ＭＳ Ｐゴシック"/>
            </a:rPr>
            <a:t>年版 </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Microsoft Excel 2019 </a:t>
          </a:r>
          <a:r>
            <a:rPr lang="ja-JP" altLang="en-US" sz="1100" b="0" i="0" u="none" strike="noStrike" baseline="0">
              <a:solidFill>
                <a:srgbClr val="000000"/>
              </a:solidFill>
              <a:latin typeface="ＭＳ Ｐゴシック"/>
              <a:ea typeface="ＭＳ Ｐゴシック"/>
            </a:rPr>
            <a:t>版</a:t>
          </a:r>
        </a:p>
        <a:p>
          <a:pPr algn="l" rtl="0">
            <a:defRPr sz="1000"/>
          </a:pPr>
          <a:r>
            <a:rPr lang="ja-JP" altLang="en-US" sz="1100" b="0" i="0" u="none" strike="noStrike" baseline="0">
              <a:solidFill>
                <a:srgbClr val="000000"/>
              </a:solidFill>
              <a:latin typeface="ＭＳ Ｐゴシック"/>
              <a:ea typeface="ＭＳ Ｐゴシック"/>
            </a:rPr>
            <a:t>       CASBEE-</a:t>
          </a:r>
          <a:r>
            <a:rPr lang="en-US" altLang="ja-JP" sz="1100" b="0" i="0" u="none" strike="noStrike" baseline="0">
              <a:solidFill>
                <a:srgbClr val="000000"/>
              </a:solidFill>
              <a:latin typeface="ＭＳ Ｐゴシック"/>
              <a:ea typeface="ＭＳ Ｐゴシック"/>
            </a:rPr>
            <a:t>RE</a:t>
          </a:r>
          <a:r>
            <a:rPr lang="ja-JP" altLang="en-US" sz="1100" b="0" i="0" u="none" strike="noStrike" baseline="0">
              <a:solidFill>
                <a:srgbClr val="000000"/>
              </a:solidFill>
              <a:latin typeface="ＭＳ Ｐゴシック"/>
              <a:ea typeface="ＭＳ Ｐゴシック"/>
            </a:rPr>
            <a:t>_</a:t>
          </a:r>
          <a:r>
            <a:rPr lang="en-US" altLang="ja-JP" sz="1100" b="0" i="0" u="none" strike="noStrike" baseline="0">
              <a:solidFill>
                <a:srgbClr val="000000"/>
              </a:solidFill>
              <a:latin typeface="ＭＳ Ｐゴシック"/>
              <a:ea typeface="ＭＳ Ｐゴシック"/>
            </a:rPr>
            <a:t>2024</a:t>
          </a:r>
          <a:r>
            <a:rPr lang="ja-JP" altLang="en-US" sz="1100" b="0" i="0" u="none" strike="noStrike" baseline="0">
              <a:solidFill>
                <a:srgbClr val="000000"/>
              </a:solidFill>
              <a:latin typeface="ＭＳ Ｐゴシック"/>
              <a:ea typeface="ＭＳ Ｐゴシック"/>
            </a:rPr>
            <a:t>v.</a:t>
          </a:r>
          <a:r>
            <a:rPr lang="en-US" altLang="ja-JP" sz="1100" b="0" i="0" u="none" strike="noStrike" baseline="0">
              <a:solidFill>
                <a:srgbClr val="000000"/>
              </a:solidFill>
              <a:latin typeface="ＭＳ Ｐゴシック"/>
              <a:ea typeface="ＭＳ Ｐゴシック"/>
            </a:rPr>
            <a:t>1.1</a:t>
          </a: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2024</a:t>
          </a:r>
          <a:r>
            <a:rPr lang="ja-JP" altLang="en-US" sz="1100" b="0" i="0" u="none" strike="noStrike" baseline="0">
              <a:solidFill>
                <a:srgbClr val="000000"/>
              </a:solidFill>
              <a:latin typeface="ＭＳ Ｐゴシック"/>
              <a:ea typeface="ＭＳ Ｐゴシック"/>
            </a:rPr>
            <a:t>年 </a:t>
          </a:r>
          <a:r>
            <a:rPr lang="en-US" altLang="ja-JP" sz="1100" b="0" i="0" u="none" strike="noStrike" baseline="0">
              <a:solidFill>
                <a:srgbClr val="000000"/>
              </a:solidFill>
              <a:latin typeface="ＭＳ Ｐゴシック"/>
              <a:ea typeface="ＭＳ Ｐゴシック"/>
            </a:rPr>
            <a:t>12</a:t>
          </a:r>
          <a:r>
            <a:rPr lang="ja-JP" altLang="en-US" sz="1100" b="0" i="0" u="none" strike="noStrike" baseline="0">
              <a:solidFill>
                <a:srgbClr val="000000"/>
              </a:solidFill>
              <a:latin typeface="ＭＳ Ｐゴシック"/>
              <a:ea typeface="ＭＳ Ｐゴシック"/>
            </a:rPr>
            <a:t>月発行</a:t>
          </a:r>
          <a:endParaRPr lang="en-US" altLang="ja-JP"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企画・発行　　一般社団法人　日本サステナブル建築協会</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建築物の総合的環境評価研究委員会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ソフトの内容等に関する問い合わせ　  </a:t>
          </a:r>
        </a:p>
        <a:p>
          <a:pPr algn="l" rtl="0">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a:t>
          </a:r>
          <a:r>
            <a:rPr lang="en-US" altLang="ja-JP" sz="1100" b="0" i="0" u="none" strike="noStrike" baseline="0">
              <a:solidFill>
                <a:srgbClr val="000000"/>
              </a:solidFill>
              <a:latin typeface="ＭＳ Ｐゴシック"/>
              <a:ea typeface="ＭＳ Ｐゴシック"/>
            </a:rPr>
            <a:t>E-mail</a:t>
          </a:r>
          <a:r>
            <a:rPr lang="ja-JP" altLang="en-US" sz="1100" b="0" i="0" u="none" strike="noStrike" baseline="0">
              <a:solidFill>
                <a:srgbClr val="000000"/>
              </a:solidFill>
              <a:latin typeface="ＭＳ Ｐゴシック"/>
              <a:ea typeface="ＭＳ Ｐゴシック"/>
            </a:rPr>
            <a:t>にてお送りください。</a:t>
          </a:r>
        </a:p>
        <a:p>
          <a:pPr algn="l" rtl="0">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defRPr sz="1000"/>
          </a:pPr>
          <a:r>
            <a:rPr lang="ja-JP" altLang="en-US" sz="1100" b="0" i="0" u="none" strike="noStrike" baseline="0">
              <a:solidFill>
                <a:srgbClr val="000000"/>
              </a:solidFill>
              <a:latin typeface="ＭＳ Ｐゴシック"/>
              <a:ea typeface="ＭＳ Ｐゴシック"/>
            </a:rPr>
            <a:t>　　　　　また、</a:t>
          </a:r>
          <a:r>
            <a:rPr lang="en-US" altLang="ja-JP" sz="1100" b="0" i="0" u="none" strike="noStrike" baseline="0">
              <a:solidFill>
                <a:srgbClr val="000000"/>
              </a:solidFill>
              <a:latin typeface="ＭＳ Ｐゴシック"/>
              <a:ea typeface="ＭＳ Ｐゴシック"/>
            </a:rPr>
            <a:t>Microsoft Windows</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Microsoft Excel 2019 </a:t>
          </a:r>
          <a:r>
            <a:rPr lang="ja-JP" altLang="en-US" sz="1100" b="0" i="0" u="none" strike="noStrike" baseline="0">
              <a:solidFill>
                <a:srgbClr val="000000"/>
              </a:solidFill>
              <a:latin typeface="ＭＳ Ｐゴシック"/>
              <a:ea typeface="ＭＳ Ｐゴシック"/>
            </a:rPr>
            <a:t>等の操作に関しては、</a:t>
          </a:r>
        </a:p>
        <a:p>
          <a:pPr algn="l" rtl="0">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E-Mail  casbee-info@ibec.or.jp</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URL</a:t>
          </a: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https://www.jsbc.or.jp/research-study/casbee.html</a:t>
          </a: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Copyright ©2024 Japan Sustainable Building Consortium</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JSBC</a:t>
          </a:r>
          <a:r>
            <a:rPr lang="ja-JP" altLang="en-US" sz="1100" b="0" i="0" u="none" strike="noStrike" baseline="0">
              <a:solidFill>
                <a:srgbClr val="000000"/>
              </a:solidFill>
              <a:latin typeface="ＭＳ Ｐゴシック"/>
              <a:ea typeface="ＭＳ Ｐゴシック"/>
            </a:rPr>
            <a:t>）</a:t>
          </a: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0</xdr:col>
      <xdr:colOff>111125</xdr:colOff>
      <xdr:row>0</xdr:row>
      <xdr:rowOff>104775</xdr:rowOff>
    </xdr:from>
    <xdr:to>
      <xdr:col>6</xdr:col>
      <xdr:colOff>149225</xdr:colOff>
      <xdr:row>36</xdr:row>
      <xdr:rowOff>53941</xdr:rowOff>
    </xdr:to>
    <xdr:sp macro="" textlink="">
      <xdr:nvSpPr>
        <xdr:cNvPr id="4099" name="Text Box 3">
          <a:extLst>
            <a:ext uri="{FF2B5EF4-FFF2-40B4-BE49-F238E27FC236}">
              <a16:creationId xmlns:a16="http://schemas.microsoft.com/office/drawing/2014/main" id="{00000000-0008-0000-0F00-000003100000}"/>
            </a:ext>
          </a:extLst>
        </xdr:cNvPr>
        <xdr:cNvSpPr txBox="1">
          <a:spLocks noChangeArrowheads="1"/>
        </xdr:cNvSpPr>
      </xdr:nvSpPr>
      <xdr:spPr bwMode="auto">
        <a:xfrm>
          <a:off x="114300" y="104775"/>
          <a:ext cx="4152900" cy="6124575"/>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20</a:t>
          </a:r>
          <a:r>
            <a:rPr lang="en-US" altLang="ja-JP" sz="1100" b="0" i="0" u="none" strike="noStrike" baseline="0">
              <a:solidFill>
                <a:srgbClr val="000000"/>
              </a:solidFill>
              <a:latin typeface="ＭＳ Ｐゴシック"/>
              <a:ea typeface="ＭＳ Ｐゴシック"/>
            </a:rPr>
            <a:t>19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不動産 評価ソフト」は、Microsoft Excel</a:t>
          </a: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20</a:t>
          </a:r>
          <a:r>
            <a:rPr lang="en-US" altLang="ja-JP" sz="1100" b="0" i="0" u="none" strike="noStrike" baseline="0">
              <a:solidFill>
                <a:srgbClr val="000000"/>
              </a:solidFill>
              <a:latin typeface="ＭＳ Ｐゴシック"/>
              <a:ea typeface="ＭＳ Ｐゴシック"/>
            </a:rPr>
            <a:t>19</a:t>
          </a:r>
          <a:r>
            <a:rPr lang="ja-JP" altLang="en-US" sz="1100" b="0" i="0" u="none" strike="noStrike" baseline="0">
              <a:solidFill>
                <a:srgbClr val="000000"/>
              </a:solidFill>
              <a:latin typeface="ＭＳ Ｐゴシック"/>
              <a:ea typeface="ＭＳ Ｐゴシック"/>
            </a:rPr>
            <a:t> 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a:p>
          <a:pPr algn="l" rtl="0">
            <a:lnSpc>
              <a:spcPts val="1100"/>
            </a:lnSpc>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1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7) この評価ソフトは Microsoft Excel 20</a:t>
          </a:r>
          <a:r>
            <a:rPr lang="en-US" altLang="ja-JP" sz="1100" b="0" i="0" u="none" strike="noStrike" baseline="0">
              <a:solidFill>
                <a:srgbClr val="000000"/>
              </a:solidFill>
              <a:latin typeface="ＭＳ Ｐゴシック"/>
              <a:ea typeface="ＭＳ Ｐゴシック"/>
            </a:rPr>
            <a:t>19</a:t>
          </a:r>
          <a:r>
            <a:rPr lang="ja-JP" altLang="en-US" sz="1100" b="0" i="0" u="none" strike="noStrike" baseline="0">
              <a:solidFill>
                <a:srgbClr val="000000"/>
              </a:solidFill>
              <a:latin typeface="ＭＳ Ｐゴシック"/>
              <a:ea typeface="ＭＳ Ｐゴシック"/>
            </a:rPr>
            <a:t> で作成されたものであり、全てのコンピューター上での動作を保障するものではありません。</a:t>
          </a:r>
        </a:p>
        <a:p>
          <a:pPr algn="l" rtl="0">
            <a:lnSpc>
              <a:spcPts val="1300"/>
            </a:lnSpc>
            <a:defRPr sz="1000"/>
          </a:pPr>
          <a:endParaRPr lang="ja-JP" altLang="en-US"/>
        </a:p>
      </xdr:txBody>
    </xdr:sp>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USB&#12489;&#12521;&#12452;&#12502;&#26367;&#12426;&#9733;%2020220211/&#23398;&#21332;&#20250;&#9733;/CASBEE&#19981;&#21205;&#29987;/20240129%20CASBEE&#19981;&#21205;&#29987;&#26908;&#35342;&#23567;&#22996;&#21729;&#20250;/&#9734;4-2%20CASBEE-RE_2021v1.1%20&#12465;&#12540;&#12473;&#12473;&#12479;&#12487;&#12451;_&#12471;&#12486;&#12451;&#12507;&#12486;&#12523;.xlsx" TargetMode="External"/><Relationship Id="rId2" Type="http://schemas.openxmlformats.org/officeDocument/2006/relationships/externalLinkPath" Target="file:///D:\USB&#12489;&#12521;&#12452;&#12502;&#26367;&#12426;&#9733;%2020220211\&#23398;&#21332;&#20250;&#9733;\CASBEE&#19981;&#21205;&#29987;\20240129%20CASBEE&#19981;&#21205;&#29987;&#26908;&#35342;&#23567;&#22996;&#21729;&#20250;\&#9734;4-2%20CASBEE-RE_2021v1.1%20&#12465;&#12540;&#12473;&#12473;&#12479;&#12487;&#12451;_&#12471;&#12486;&#12451;&#12507;&#12486;&#12523;.xlsx" TargetMode="External"/><Relationship Id="rId1" Type="http://schemas.openxmlformats.org/officeDocument/2006/relationships/externalLinkPath" Target="/USB&#12489;&#12521;&#12452;&#12502;&#26367;&#12426;&#9733;%2020220211/&#23398;&#21332;&#20250;&#9733;/CASBEE&#19981;&#21205;&#29987;/20240129%20CASBEE&#19981;&#21205;&#29987;&#26908;&#35342;&#23567;&#22996;&#21729;&#20250;/&#9734;4-2%20CASBEE-RE_2021v1.1%20&#12465;&#12540;&#12473;&#12473;&#12479;&#12487;&#12451;_&#12471;&#12486;&#12451;&#12507;&#12486;&#12523;.xlsx" TargetMode="External"/></Relationships>
</file>

<file path=xl/externalLinks/_rels/externalLink2.xml.rels><?xml version="1.0" encoding="UTF-8" standalone="yes"?>
<Relationships xmlns="http://schemas.openxmlformats.org/package/2006/relationships"><Relationship Id="rId3" Type="http://schemas.openxmlformats.org/officeDocument/2006/relationships/externalLinkPath" Target="../../../../../USB&#12489;&#12521;&#12452;&#12502;&#26367;&#12426;&#9733;%2020220211/&#23398;&#21332;&#20250;&#9733;/CASBEE&#19981;&#21205;&#29987;/20240129%20CASBEE&#19981;&#21205;&#29987;&#26908;&#35342;&#23567;&#22996;&#21729;&#20250;/&#9734;4-3%20CASBEE-RE_2021v1.1%20&#12465;&#12540;&#12473;&#12473;&#12479;&#12487;&#12451;_&#12522;&#12478;&#12540;&#12488;&#12507;&#12486;&#12523;.xlsx" TargetMode="External"/><Relationship Id="rId2" Type="http://schemas.openxmlformats.org/officeDocument/2006/relationships/externalLinkPath" Target="file:///D:\USB&#12489;&#12521;&#12452;&#12502;&#26367;&#12426;&#9733;%2020220211\&#23398;&#21332;&#20250;&#9733;\CASBEE&#19981;&#21205;&#29987;\20240129%20CASBEE&#19981;&#21205;&#29987;&#26908;&#35342;&#23567;&#22996;&#21729;&#20250;\&#9734;4-3%20CASBEE-RE_2021v1.1%20&#12465;&#12540;&#12473;&#12473;&#12479;&#12487;&#12451;_&#12522;&#12478;&#12540;&#12488;&#12507;&#12486;&#12523;.xlsx" TargetMode="External"/><Relationship Id="rId1" Type="http://schemas.openxmlformats.org/officeDocument/2006/relationships/externalLinkPath" Target="/USB&#12489;&#12521;&#12452;&#12502;&#26367;&#12426;&#9733;%2020220211/&#23398;&#21332;&#20250;&#9733;/CASBEE&#19981;&#21205;&#29987;/20240129%20CASBEE&#19981;&#21205;&#29987;&#26908;&#35342;&#23567;&#22996;&#21729;&#20250;/&#9734;4-3%20CASBEE-RE_2021v1.1%20&#12465;&#12540;&#12473;&#12473;&#12479;&#12487;&#12451;_&#12522;&#12478;&#12540;&#12488;&#12507;&#12486;&#125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シティホテル評価結果"/>
      <sheetName val="SDGs結果表示"/>
      <sheetName val="シティホテル水計算例"/>
      <sheetName val="建築環境SDGsチェックリスト"/>
    </sheetNames>
    <sheetDataSet>
      <sheetData sheetId="0"/>
      <sheetData sheetId="1">
        <row r="1">
          <cell r="A1" t="str">
            <v>非表示</v>
          </cell>
        </row>
      </sheetData>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リゾートホテル評価結果"/>
      <sheetName val="SDGs結果表示"/>
      <sheetName val="リゾートホテル水計算例"/>
      <sheetName val="建築環境SDGsチェックリスト"/>
    </sheetNames>
    <sheetDataSet>
      <sheetData sheetId="0"/>
      <sheetData sheetId="1">
        <row r="1">
          <cell r="A1" t="str">
            <v>非表示</v>
          </cell>
        </row>
      </sheetData>
      <sheetData sheetId="2"/>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6" Type="http://schemas.openxmlformats.org/officeDocument/2006/relationships/ctrlProp" Target="../ctrlProps/ctrlProp13.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80" Type="http://schemas.openxmlformats.org/officeDocument/2006/relationships/ctrlProp" Target="../ctrlProps/ctrlProp77.xml"/><Relationship Id="rId85" Type="http://schemas.openxmlformats.org/officeDocument/2006/relationships/ctrlProp" Target="../ctrlProps/ctrlProp82.xml"/><Relationship Id="rId3" Type="http://schemas.openxmlformats.org/officeDocument/2006/relationships/vmlDrawing" Target="../drawings/vmlDrawing8.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8.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9.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A188"/>
  <sheetViews>
    <sheetView showGridLines="0" zoomScaleNormal="100" zoomScaleSheetLayoutView="100" zoomScalePageLayoutView="40" workbookViewId="0">
      <selection activeCell="M6" sqref="M6"/>
    </sheetView>
  </sheetViews>
  <sheetFormatPr defaultColWidth="0" defaultRowHeight="13.5" customHeight="1"/>
  <cols>
    <col min="1" max="1" width="1.875" customWidth="1"/>
    <col min="2" max="2" width="1.25" customWidth="1"/>
    <col min="3" max="3" width="10.625" customWidth="1"/>
    <col min="4" max="4" width="8.625" customWidth="1"/>
    <col min="5" max="5" width="5.125" style="211"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4.125" customWidth="1"/>
    <col min="19" max="26" width="7.375" hidden="1" customWidth="1"/>
    <col min="27" max="27" width="10" hidden="1" customWidth="1"/>
    <col min="28" max="16384" width="9" hidden="1"/>
  </cols>
  <sheetData>
    <row r="1" spans="2:27" ht="13.5" customHeight="1">
      <c r="V1" s="361"/>
      <c r="W1" s="41"/>
      <c r="X1" s="41" t="s">
        <v>700</v>
      </c>
    </row>
    <row r="2" spans="2:27" ht="13.5" customHeight="1">
      <c r="I2" s="792" t="s">
        <v>320</v>
      </c>
      <c r="J2" s="792"/>
      <c r="P2" s="383" t="s">
        <v>722</v>
      </c>
      <c r="Q2" s="383"/>
      <c r="W2" s="360" t="s">
        <v>686</v>
      </c>
      <c r="X2" s="171" t="str">
        <f>IF(建築環境SDGsチェックリスト!$D$3="オフィス",建築環境SDGsチェックリスト!H116,"0")</f>
        <v>0</v>
      </c>
    </row>
    <row r="3" spans="2:27" ht="13.5" customHeight="1">
      <c r="I3" s="792"/>
      <c r="J3" s="792"/>
      <c r="R3" s="179"/>
      <c r="W3" s="360" t="s">
        <v>680</v>
      </c>
      <c r="X3" s="171" t="str">
        <f>IF(建築環境SDGsチェックリスト!$D$3="オフィス",建築環境SDGsチェックリスト!H117,"0")</f>
        <v>0</v>
      </c>
    </row>
    <row r="4" spans="2:27" ht="13.5" customHeight="1">
      <c r="I4" s="792"/>
      <c r="J4" s="792"/>
      <c r="R4" s="179"/>
      <c r="W4" s="360" t="s">
        <v>681</v>
      </c>
      <c r="X4" s="171" t="str">
        <f>IF(建築環境SDGsチェックリスト!$D$3="オフィス",建築環境SDGsチェックリスト!H118,"0")</f>
        <v>0</v>
      </c>
    </row>
    <row r="5" spans="2:27" ht="14.25" customHeight="1">
      <c r="B5" s="3"/>
      <c r="C5" s="4"/>
      <c r="D5" s="4"/>
      <c r="E5" s="212"/>
      <c r="F5" s="4"/>
      <c r="G5" s="4"/>
      <c r="H5" s="4"/>
      <c r="I5" s="42" t="s">
        <v>1</v>
      </c>
      <c r="J5" s="11" t="s">
        <v>906</v>
      </c>
      <c r="K5" s="4"/>
      <c r="L5" s="4"/>
      <c r="M5" s="2" t="s">
        <v>959</v>
      </c>
      <c r="N5" s="1"/>
      <c r="W5" s="360" t="s">
        <v>682</v>
      </c>
      <c r="X5" s="171" t="str">
        <f>IF(建築環境SDGsチェックリスト!$D$3="オフィス",建築環境SDGsチェックリスト!H119,"0")</f>
        <v>0</v>
      </c>
    </row>
    <row r="6" spans="2:27" ht="15">
      <c r="B6" s="760"/>
      <c r="C6" s="761" t="s">
        <v>2</v>
      </c>
      <c r="D6" s="762"/>
      <c r="E6" s="763"/>
      <c r="F6" s="762"/>
      <c r="G6" s="762"/>
      <c r="H6" s="762"/>
      <c r="I6" s="762"/>
      <c r="J6" s="762"/>
      <c r="K6" s="762"/>
      <c r="L6" s="762"/>
      <c r="M6" s="764"/>
      <c r="N6" s="1"/>
      <c r="W6" s="360" t="s">
        <v>683</v>
      </c>
      <c r="X6" s="171" t="str">
        <f>IF(建築環境SDGsチェックリスト!$D$3="オフィス",建築環境SDGsチェックリスト!H120,"0")</f>
        <v>0</v>
      </c>
    </row>
    <row r="7" spans="2:27" ht="14.25">
      <c r="B7" s="9"/>
      <c r="C7" s="10" t="s">
        <v>3</v>
      </c>
      <c r="D7" s="778" t="s">
        <v>286</v>
      </c>
      <c r="E7" s="779"/>
      <c r="F7" s="779"/>
      <c r="G7" s="779"/>
      <c r="H7" s="15" t="s">
        <v>4</v>
      </c>
      <c r="I7" s="23" t="s">
        <v>287</v>
      </c>
      <c r="J7" s="12" t="s">
        <v>76</v>
      </c>
      <c r="K7" s="10" t="s">
        <v>5</v>
      </c>
      <c r="L7" s="21" t="s">
        <v>108</v>
      </c>
      <c r="M7" s="25"/>
      <c r="N7" s="1"/>
      <c r="S7" s="41" t="s">
        <v>83</v>
      </c>
      <c r="T7" s="41" t="s">
        <v>93</v>
      </c>
      <c r="W7" s="360" t="s">
        <v>684</v>
      </c>
      <c r="X7" s="171" t="str">
        <f>IF(建築環境SDGsチェックリスト!$D$3="オフィス",建築環境SDGsチェックリスト!H121,"0")</f>
        <v>0</v>
      </c>
    </row>
    <row r="8" spans="2:27" ht="14.25">
      <c r="B8" s="9"/>
      <c r="C8" s="10" t="s">
        <v>6</v>
      </c>
      <c r="D8" s="778" t="s">
        <v>288</v>
      </c>
      <c r="E8" s="778"/>
      <c r="F8" s="778"/>
      <c r="G8" s="778"/>
      <c r="H8" s="15" t="s">
        <v>7</v>
      </c>
      <c r="I8" s="23" t="s">
        <v>287</v>
      </c>
      <c r="J8" s="12" t="s">
        <v>76</v>
      </c>
      <c r="K8" s="10" t="s">
        <v>8</v>
      </c>
      <c r="L8" s="810" t="s">
        <v>103</v>
      </c>
      <c r="M8" s="811"/>
      <c r="N8" s="1"/>
      <c r="S8" s="41" t="str">
        <f>C25</f>
        <v>１．エネルギー／温暖化ガス</v>
      </c>
      <c r="T8" s="115">
        <f>IF(C42/D42&gt;1,1,C42/D42)</f>
        <v>0.6</v>
      </c>
      <c r="U8" s="116"/>
      <c r="W8" s="360" t="s">
        <v>685</v>
      </c>
      <c r="X8" s="171" t="str">
        <f>IF(建築環境SDGsチェックリスト!$D$3="オフィス",建築環境SDGsチェックリスト!H122,"0")</f>
        <v>0</v>
      </c>
    </row>
    <row r="9" spans="2:27" ht="14.25">
      <c r="B9" s="9"/>
      <c r="C9" s="10" t="s">
        <v>9</v>
      </c>
      <c r="D9" s="778" t="s">
        <v>10</v>
      </c>
      <c r="E9" s="779"/>
      <c r="F9" s="779"/>
      <c r="G9" s="779"/>
      <c r="H9" s="15" t="s">
        <v>954</v>
      </c>
      <c r="I9" s="23" t="s">
        <v>287</v>
      </c>
      <c r="J9" s="12" t="s">
        <v>76</v>
      </c>
      <c r="K9" s="10" t="s">
        <v>11</v>
      </c>
      <c r="L9" s="21" t="s">
        <v>287</v>
      </c>
      <c r="M9" s="25"/>
      <c r="N9" s="1"/>
      <c r="S9" s="41" t="str">
        <f>C44</f>
        <v>２．水</v>
      </c>
      <c r="T9" s="115">
        <f>C54/D54</f>
        <v>0.6</v>
      </c>
      <c r="U9" s="116"/>
      <c r="W9" s="360" t="s">
        <v>692</v>
      </c>
      <c r="X9" s="171" t="str">
        <f>IF(建築環境SDGsチェックリスト!$D$3="オフィス",建築環境SDGsチェックリスト!H123,"0")</f>
        <v>0</v>
      </c>
    </row>
    <row r="10" spans="2:27" ht="14.25">
      <c r="B10" s="9"/>
      <c r="C10" s="10" t="s">
        <v>14</v>
      </c>
      <c r="D10" s="778" t="s">
        <v>723</v>
      </c>
      <c r="E10" s="778"/>
      <c r="F10" s="778"/>
      <c r="G10" s="812"/>
      <c r="H10" s="15" t="s">
        <v>12</v>
      </c>
      <c r="I10" s="21" t="s">
        <v>290</v>
      </c>
      <c r="J10" s="12"/>
      <c r="K10" s="10" t="s">
        <v>120</v>
      </c>
      <c r="L10" s="202"/>
      <c r="M10" s="203"/>
      <c r="N10" s="1"/>
      <c r="S10" s="41" t="str">
        <f>C56</f>
        <v>３．資源利用／安全</v>
      </c>
      <c r="T10" s="115">
        <f>C82/D82</f>
        <v>0.53749999999999998</v>
      </c>
      <c r="U10" s="116"/>
      <c r="W10" s="360" t="s">
        <v>693</v>
      </c>
      <c r="X10" s="171" t="str">
        <f>IF(建築環境SDGsチェックリスト!$D$3="オフィス",建築環境SDGsチェックリスト!H124,"0")</f>
        <v>0</v>
      </c>
    </row>
    <row r="11" spans="2:27" ht="14.25">
      <c r="B11" s="9"/>
      <c r="C11" s="10" t="s">
        <v>125</v>
      </c>
      <c r="D11" s="810" t="s">
        <v>291</v>
      </c>
      <c r="E11" s="810"/>
      <c r="F11" s="810"/>
      <c r="G11" s="810"/>
      <c r="H11" s="15" t="s">
        <v>15</v>
      </c>
      <c r="I11" s="22" t="s">
        <v>292</v>
      </c>
      <c r="J11" s="12"/>
      <c r="K11" s="10" t="s">
        <v>13</v>
      </c>
      <c r="L11" s="813" t="s">
        <v>103</v>
      </c>
      <c r="M11" s="814"/>
      <c r="N11" s="1"/>
      <c r="S11" s="41" t="str">
        <f>C84</f>
        <v>４．生物多様性／敷地</v>
      </c>
      <c r="T11" s="115">
        <f>C100/D100</f>
        <v>0.6</v>
      </c>
      <c r="U11" s="116"/>
      <c r="W11" s="360" t="s">
        <v>694</v>
      </c>
      <c r="X11" s="171" t="str">
        <f>IF(建築環境SDGsチェックリスト!$D$3="オフィス",建築環境SDGsチェックリスト!H125,"0")</f>
        <v>0</v>
      </c>
    </row>
    <row r="12" spans="2:27" ht="14.25">
      <c r="B12" s="9"/>
      <c r="C12" s="10" t="s">
        <v>124</v>
      </c>
      <c r="F12" s="800" t="s">
        <v>293</v>
      </c>
      <c r="G12" s="801"/>
      <c r="H12" s="15" t="s">
        <v>17</v>
      </c>
      <c r="I12" s="117" t="s">
        <v>18</v>
      </c>
      <c r="J12" s="16" t="s">
        <v>19</v>
      </c>
      <c r="K12" s="10" t="s">
        <v>16</v>
      </c>
      <c r="L12" s="54" t="s">
        <v>287</v>
      </c>
      <c r="M12" s="55"/>
      <c r="N12" s="1"/>
      <c r="S12" s="41" t="str">
        <f>C102</f>
        <v>５．屋内環境</v>
      </c>
      <c r="T12" s="115">
        <f>C128/D128</f>
        <v>0.6</v>
      </c>
      <c r="U12" s="116"/>
      <c r="W12" s="360" t="s">
        <v>695</v>
      </c>
      <c r="X12" s="171" t="str">
        <f>IF(建築環境SDGsチェックリスト!$D$3="オフィス",建築環境SDGsチェックリスト!H126,"0")</f>
        <v>0</v>
      </c>
    </row>
    <row r="13" spans="2:27" ht="14.25">
      <c r="B13" s="13"/>
      <c r="C13" s="758" t="s">
        <v>952</v>
      </c>
      <c r="D13" s="14"/>
      <c r="E13" s="213"/>
      <c r="F13" s="818" t="s">
        <v>953</v>
      </c>
      <c r="G13" s="819"/>
      <c r="H13" s="17" t="s">
        <v>20</v>
      </c>
      <c r="I13" s="24" t="s">
        <v>18</v>
      </c>
      <c r="J13" s="18" t="s">
        <v>69</v>
      </c>
      <c r="K13" s="17" t="s">
        <v>120</v>
      </c>
      <c r="L13" s="204"/>
      <c r="M13" s="205"/>
      <c r="N13" s="1"/>
      <c r="S13" s="41"/>
      <c r="T13" s="41"/>
      <c r="W13" s="360" t="s">
        <v>696</v>
      </c>
      <c r="X13" s="171" t="str">
        <f>IF(建築環境SDGsチェックリスト!$D$3="オフィス",建築環境SDGsチェックリスト!H127,"0")</f>
        <v>0</v>
      </c>
      <c r="Z13" t="s">
        <v>872</v>
      </c>
    </row>
    <row r="14" spans="2:27" ht="3.95" customHeight="1">
      <c r="B14" s="3"/>
      <c r="C14" s="4"/>
      <c r="D14" s="4"/>
      <c r="E14" s="212"/>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697</v>
      </c>
      <c r="X15" s="385" t="e">
        <f>(AVERAGE(X2:X13)-1)*2+1</f>
        <v>#DIV/0!</v>
      </c>
    </row>
    <row r="16" spans="2:27" ht="4.1500000000000004" customHeight="1">
      <c r="B16" s="26"/>
      <c r="G16" s="4"/>
      <c r="H16" s="4"/>
      <c r="I16" s="4"/>
      <c r="M16" s="44"/>
      <c r="N16" s="1"/>
      <c r="S16" s="41" t="s">
        <v>91</v>
      </c>
      <c r="T16" s="41" t="s">
        <v>92</v>
      </c>
      <c r="W16" s="41" t="s">
        <v>698</v>
      </c>
      <c r="X16" s="171" t="e">
        <f>IF(X15=1,1,IF(X15&lt;1.5,1,IF(X15&lt;2.5,2,IF(X15&lt;3.5,3,IF(X15&lt;4.5,4,5)))))/5</f>
        <v>#DIV/0!</v>
      </c>
      <c r="Z16" s="41" t="s">
        <v>868</v>
      </c>
      <c r="AA16" s="41" t="s">
        <v>92</v>
      </c>
    </row>
    <row r="17" spans="2:27" ht="14.25">
      <c r="B17" s="26"/>
      <c r="C17" s="746">
        <f>C42+C54+C82+C100+C128</f>
        <v>58.75</v>
      </c>
      <c r="D17" s="50" t="s">
        <v>104</v>
      </c>
      <c r="E17" s="705" t="s">
        <v>22</v>
      </c>
      <c r="H17" s="4"/>
      <c r="I17" s="214" t="s">
        <v>889</v>
      </c>
      <c r="M17" s="706" t="str">
        <f>IF(Z17=0,Z13,"")</f>
        <v>評価しない</v>
      </c>
      <c r="N17" s="1"/>
      <c r="S17" s="41">
        <f>IF(C17&gt;=F19,5,IF(C17&gt;=F20,4,IF(C17&gt;=F21,3,IF(C17&gt;=F22,2,0))))</f>
        <v>2</v>
      </c>
      <c r="T17" s="41">
        <f>5-S17</f>
        <v>3</v>
      </c>
      <c r="W17" s="41" t="s">
        <v>699</v>
      </c>
      <c r="X17" s="171" t="e">
        <f>1-X16</f>
        <v>#DIV/0!</v>
      </c>
      <c r="Z17" s="702">
        <f>C132</f>
        <v>0</v>
      </c>
      <c r="AA17" s="41">
        <f>IF(M17=Z13,0,5-Z17)</f>
        <v>0</v>
      </c>
    </row>
    <row r="18" spans="2:27" ht="14.25">
      <c r="B18" s="26"/>
      <c r="C18" s="707" t="s">
        <v>105</v>
      </c>
      <c r="D18" s="708" t="s">
        <v>106</v>
      </c>
      <c r="E18"/>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862</v>
      </c>
      <c r="K21" s="703" t="str">
        <f>IF(M17=Z13,"",L132)</f>
        <v/>
      </c>
      <c r="L21" s="32" t="s">
        <v>867</v>
      </c>
      <c r="M21" s="703" t="str">
        <f>IF(M17=Z13,"",L134)</f>
        <v/>
      </c>
      <c r="N21" s="1"/>
    </row>
    <row r="22" spans="2:27" ht="14.25">
      <c r="B22" s="43"/>
      <c r="C22" s="11" t="s">
        <v>326</v>
      </c>
      <c r="E22" s="10" t="s">
        <v>23</v>
      </c>
      <c r="F22" s="709">
        <v>50</v>
      </c>
      <c r="J22" s="32" t="s">
        <v>924</v>
      </c>
      <c r="K22" s="703" t="str">
        <f>IF(M17=Z13,"",L133)</f>
        <v/>
      </c>
      <c r="L22" s="32" t="s">
        <v>865</v>
      </c>
      <c r="M22" s="703" t="str">
        <f>IF(M17=Z13,"",L135)</f>
        <v/>
      </c>
      <c r="W22" t="s">
        <v>860</v>
      </c>
    </row>
    <row r="23" spans="2:27" ht="14.25">
      <c r="B23" s="698"/>
      <c r="C23" s="711" t="s">
        <v>869</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E24"/>
      <c r="S24" s="118">
        <f t="shared" ref="S24:S51" si="0">W24</f>
        <v>0</v>
      </c>
      <c r="T24" s="41">
        <f>IF($I$9&gt;=30000,Z24,IF($I$9&gt;=10000,Y24,X24))</f>
        <v>1</v>
      </c>
      <c r="U24" s="41">
        <f t="shared" ref="U24:U51" si="1">IF(AND($L$35&gt;=S24,$L$35&lt;S25),T24,0)</f>
        <v>1</v>
      </c>
      <c r="W24" s="41">
        <v>0</v>
      </c>
      <c r="X24" s="48">
        <v>7</v>
      </c>
      <c r="Y24" s="48">
        <v>0</v>
      </c>
      <c r="Z24" s="48">
        <v>1</v>
      </c>
    </row>
    <row r="25" spans="2:27" ht="15">
      <c r="B25" s="5"/>
      <c r="C25" s="6" t="s">
        <v>341</v>
      </c>
      <c r="D25" s="7"/>
      <c r="E25" s="219"/>
      <c r="F25" s="7"/>
      <c r="G25" s="7"/>
      <c r="H25" s="7"/>
      <c r="I25" s="7"/>
      <c r="J25" s="7"/>
      <c r="K25" s="7"/>
      <c r="L25" s="7"/>
      <c r="M25" s="8"/>
      <c r="S25" s="118">
        <f t="shared" si="0"/>
        <v>200</v>
      </c>
      <c r="T25" s="41">
        <f t="shared" ref="T25:T51" si="2">IF($I$9&gt;=30000,Z25,IF($I$9&gt;=10000,Y25,X25))</f>
        <v>2</v>
      </c>
      <c r="U25" s="41">
        <f t="shared" si="1"/>
        <v>0</v>
      </c>
      <c r="W25" s="41">
        <v>200</v>
      </c>
      <c r="X25" s="48">
        <v>49</v>
      </c>
      <c r="Y25" s="48">
        <v>0</v>
      </c>
      <c r="Z25" s="48">
        <v>2</v>
      </c>
    </row>
    <row r="26" spans="2:27" ht="14.25">
      <c r="B26" s="26"/>
      <c r="C26" s="31" t="s">
        <v>24</v>
      </c>
      <c r="D26" s="10" t="s">
        <v>25</v>
      </c>
      <c r="E26" s="32"/>
      <c r="F26" s="11"/>
      <c r="G26" s="11"/>
      <c r="H26" s="11"/>
      <c r="I26" s="11"/>
      <c r="J26" s="31" t="s">
        <v>26</v>
      </c>
      <c r="K26" s="11" t="s">
        <v>70</v>
      </c>
      <c r="L26" s="31" t="s">
        <v>27</v>
      </c>
      <c r="M26" s="12"/>
      <c r="S26" s="118">
        <f t="shared" si="0"/>
        <v>400</v>
      </c>
      <c r="T26" s="41">
        <f t="shared" si="2"/>
        <v>3</v>
      </c>
      <c r="U26" s="41">
        <f t="shared" si="1"/>
        <v>0</v>
      </c>
      <c r="W26" s="41">
        <v>400</v>
      </c>
      <c r="X26" s="48">
        <v>66</v>
      </c>
      <c r="Y26" s="48">
        <v>5</v>
      </c>
      <c r="Z26" s="48">
        <v>3</v>
      </c>
    </row>
    <row r="27" spans="2:27" ht="14.25">
      <c r="B27" s="26"/>
      <c r="C27" s="367"/>
      <c r="D27" s="11"/>
      <c r="E27" s="214" t="s">
        <v>28</v>
      </c>
      <c r="F27" s="11"/>
      <c r="G27" s="11" t="s">
        <v>875</v>
      </c>
      <c r="H27" s="11"/>
      <c r="I27" s="11"/>
      <c r="J27" s="11"/>
      <c r="K27" s="11"/>
      <c r="L27" s="11"/>
      <c r="M27" s="12"/>
      <c r="S27" s="118">
        <f t="shared" ref="S27:S35" si="3">W27</f>
        <v>600</v>
      </c>
      <c r="T27" s="41">
        <f t="shared" ref="T27:T35" si="4">IF($I$9&gt;=30000,Z27,IF($I$9&gt;=10000,Y27,X27))</f>
        <v>4</v>
      </c>
      <c r="U27" s="41">
        <f t="shared" si="1"/>
        <v>0</v>
      </c>
      <c r="W27" s="41">
        <v>600</v>
      </c>
      <c r="X27" s="48">
        <v>104</v>
      </c>
      <c r="Y27" s="48">
        <v>14</v>
      </c>
      <c r="Z27" s="48">
        <v>4</v>
      </c>
    </row>
    <row r="28" spans="2:27" ht="14.25">
      <c r="B28" s="26"/>
      <c r="C28" s="368"/>
      <c r="D28" s="19" t="s">
        <v>72</v>
      </c>
      <c r="E28" s="32"/>
      <c r="F28" s="42" t="s">
        <v>30</v>
      </c>
      <c r="G28" s="783"/>
      <c r="H28" s="784"/>
      <c r="I28" s="785"/>
      <c r="J28" s="10" t="s">
        <v>71</v>
      </c>
      <c r="K28" s="11"/>
      <c r="L28" s="119"/>
      <c r="M28" s="12" t="s">
        <v>80</v>
      </c>
      <c r="S28" s="118">
        <f t="shared" si="3"/>
        <v>800</v>
      </c>
      <c r="T28" s="41">
        <f t="shared" si="4"/>
        <v>8</v>
      </c>
      <c r="U28" s="41">
        <f t="shared" si="1"/>
        <v>0</v>
      </c>
      <c r="W28" s="41">
        <v>800</v>
      </c>
      <c r="X28" s="48">
        <v>194</v>
      </c>
      <c r="Y28" s="48">
        <v>28</v>
      </c>
      <c r="Z28" s="48">
        <v>8</v>
      </c>
    </row>
    <row r="29" spans="2:27" ht="14.25">
      <c r="B29" s="26"/>
      <c r="E29" s="32"/>
      <c r="F29" s="11"/>
      <c r="G29" s="786"/>
      <c r="H29" s="787"/>
      <c r="I29" s="788"/>
      <c r="J29" s="11"/>
      <c r="K29" s="11"/>
      <c r="L29" s="11"/>
      <c r="M29" s="12"/>
      <c r="S29" s="118">
        <f t="shared" si="3"/>
        <v>1000</v>
      </c>
      <c r="T29" s="41">
        <f t="shared" si="4"/>
        <v>9</v>
      </c>
      <c r="U29" s="41">
        <f t="shared" si="1"/>
        <v>0</v>
      </c>
      <c r="W29" s="41">
        <v>1000</v>
      </c>
      <c r="X29" s="48">
        <v>255</v>
      </c>
      <c r="Y29" s="48">
        <v>61</v>
      </c>
      <c r="Z29" s="48">
        <v>9</v>
      </c>
    </row>
    <row r="30" spans="2:27" ht="14.25">
      <c r="B30" s="26"/>
      <c r="C30" s="368">
        <v>15</v>
      </c>
      <c r="D30" s="19">
        <v>25</v>
      </c>
      <c r="E30" s="33">
        <v>1.1000000000000001</v>
      </c>
      <c r="F30" s="34" t="s">
        <v>31</v>
      </c>
      <c r="G30" s="11"/>
      <c r="H30" s="11"/>
      <c r="I30" s="11"/>
      <c r="J30" s="11"/>
      <c r="K30" s="11"/>
      <c r="L30" s="11"/>
      <c r="M30" s="12"/>
      <c r="S30" s="118">
        <f t="shared" si="3"/>
        <v>1200</v>
      </c>
      <c r="T30" s="41">
        <f t="shared" si="4"/>
        <v>22</v>
      </c>
      <c r="U30" s="41">
        <f t="shared" si="1"/>
        <v>0</v>
      </c>
      <c r="W30" s="41">
        <v>1200</v>
      </c>
      <c r="X30" s="48">
        <v>245</v>
      </c>
      <c r="Y30" s="48">
        <v>82</v>
      </c>
      <c r="Z30" s="48">
        <v>22</v>
      </c>
    </row>
    <row r="31" spans="2:27" ht="14.25">
      <c r="B31" s="26"/>
      <c r="C31" s="11"/>
      <c r="D31" s="32"/>
      <c r="E31" s="32"/>
      <c r="F31" s="42" t="s">
        <v>30</v>
      </c>
      <c r="G31" s="783"/>
      <c r="H31" s="784"/>
      <c r="I31" s="785"/>
      <c r="J31" s="10" t="s">
        <v>73</v>
      </c>
      <c r="K31" s="11"/>
      <c r="L31" s="120"/>
      <c r="M31" s="12" t="s">
        <v>80</v>
      </c>
      <c r="S31" s="118">
        <f t="shared" si="3"/>
        <v>1400</v>
      </c>
      <c r="T31" s="41">
        <f t="shared" si="4"/>
        <v>22</v>
      </c>
      <c r="U31" s="41">
        <f t="shared" si="1"/>
        <v>0</v>
      </c>
      <c r="W31" s="41">
        <v>1400</v>
      </c>
      <c r="X31" s="48">
        <v>225</v>
      </c>
      <c r="Y31" s="48">
        <v>101</v>
      </c>
      <c r="Z31" s="48">
        <v>22</v>
      </c>
    </row>
    <row r="32" spans="2:27" ht="14.25">
      <c r="B32" s="26"/>
      <c r="C32" s="11"/>
      <c r="D32" s="11"/>
      <c r="E32" s="32"/>
      <c r="F32" s="11"/>
      <c r="G32" s="815"/>
      <c r="H32" s="816"/>
      <c r="I32" s="817"/>
      <c r="J32" s="10" t="s">
        <v>74</v>
      </c>
      <c r="K32" s="11"/>
      <c r="L32" s="120"/>
      <c r="M32" s="12" t="s">
        <v>81</v>
      </c>
      <c r="S32" s="118">
        <f t="shared" si="3"/>
        <v>1600</v>
      </c>
      <c r="T32" s="41">
        <f t="shared" si="4"/>
        <v>34</v>
      </c>
      <c r="U32" s="41">
        <f t="shared" si="1"/>
        <v>0</v>
      </c>
      <c r="W32" s="41">
        <v>1600</v>
      </c>
      <c r="X32" s="48">
        <v>167</v>
      </c>
      <c r="Y32" s="48">
        <v>89</v>
      </c>
      <c r="Z32" s="48">
        <v>34</v>
      </c>
    </row>
    <row r="33" spans="2:26" ht="15.75">
      <c r="B33" s="26"/>
      <c r="C33" s="11"/>
      <c r="D33" s="11"/>
      <c r="E33" s="32"/>
      <c r="F33" s="11"/>
      <c r="G33" s="786"/>
      <c r="H33" s="787"/>
      <c r="I33" s="788"/>
      <c r="J33" s="10" t="s">
        <v>890</v>
      </c>
      <c r="K33" s="11"/>
      <c r="L33" s="369"/>
      <c r="M33" s="12" t="s">
        <v>891</v>
      </c>
      <c r="S33" s="118">
        <f t="shared" si="3"/>
        <v>1800</v>
      </c>
      <c r="T33" s="41">
        <f t="shared" si="4"/>
        <v>39</v>
      </c>
      <c r="U33" s="41">
        <f t="shared" si="1"/>
        <v>0</v>
      </c>
      <c r="W33" s="41">
        <v>1800</v>
      </c>
      <c r="X33" s="48">
        <v>117</v>
      </c>
      <c r="Y33" s="48">
        <v>70</v>
      </c>
      <c r="Z33" s="48">
        <v>39</v>
      </c>
    </row>
    <row r="34" spans="2:26" ht="14.25">
      <c r="B34" s="26"/>
      <c r="C34" s="368">
        <v>3</v>
      </c>
      <c r="D34" s="19">
        <v>5</v>
      </c>
      <c r="E34" s="33" t="s">
        <v>32</v>
      </c>
      <c r="F34" s="34" t="s">
        <v>33</v>
      </c>
      <c r="G34" s="11"/>
      <c r="H34" s="11"/>
      <c r="I34" s="11"/>
      <c r="J34" s="11"/>
      <c r="K34" s="11"/>
      <c r="L34" s="11"/>
      <c r="M34" s="12"/>
      <c r="S34" s="118">
        <f t="shared" si="3"/>
        <v>2000</v>
      </c>
      <c r="T34" s="41">
        <f t="shared" si="4"/>
        <v>44</v>
      </c>
      <c r="U34" s="41">
        <f t="shared" si="1"/>
        <v>0</v>
      </c>
      <c r="W34" s="41">
        <v>2000</v>
      </c>
      <c r="X34" s="48">
        <v>78</v>
      </c>
      <c r="Y34" s="48">
        <v>58</v>
      </c>
      <c r="Z34" s="48">
        <v>44</v>
      </c>
    </row>
    <row r="35" spans="2:26" ht="14.25">
      <c r="B35" s="26"/>
      <c r="C35" s="11"/>
      <c r="D35" s="32"/>
      <c r="E35" s="32"/>
      <c r="F35" s="42" t="s">
        <v>30</v>
      </c>
      <c r="G35" s="783"/>
      <c r="H35" s="784"/>
      <c r="I35" s="785"/>
      <c r="J35" s="10" t="s">
        <v>75</v>
      </c>
      <c r="K35" s="11"/>
      <c r="L35" s="120"/>
      <c r="M35" s="12" t="s">
        <v>80</v>
      </c>
      <c r="S35" s="118">
        <f t="shared" si="3"/>
        <v>2200</v>
      </c>
      <c r="T35" s="41">
        <f t="shared" si="4"/>
        <v>32</v>
      </c>
      <c r="U35" s="41">
        <f t="shared" si="1"/>
        <v>0</v>
      </c>
      <c r="W35" s="41">
        <v>2200</v>
      </c>
      <c r="X35" s="48">
        <v>53</v>
      </c>
      <c r="Y35" s="48">
        <v>47</v>
      </c>
      <c r="Z35" s="48">
        <v>32</v>
      </c>
    </row>
    <row r="36" spans="2:26" ht="14.25">
      <c r="B36" s="26"/>
      <c r="C36" s="11"/>
      <c r="D36" s="11"/>
      <c r="E36" s="32"/>
      <c r="F36" s="11"/>
      <c r="G36" s="815"/>
      <c r="H36" s="816"/>
      <c r="I36" s="817"/>
      <c r="J36" s="10" t="s">
        <v>74</v>
      </c>
      <c r="K36" s="11"/>
      <c r="L36" s="120"/>
      <c r="M36" s="12" t="s">
        <v>81</v>
      </c>
      <c r="S36" s="118">
        <f t="shared" si="0"/>
        <v>2400</v>
      </c>
      <c r="T36" s="41">
        <f t="shared" si="2"/>
        <v>23</v>
      </c>
      <c r="U36" s="41">
        <f t="shared" si="1"/>
        <v>0</v>
      </c>
      <c r="W36" s="41">
        <v>2400</v>
      </c>
      <c r="X36" s="48">
        <v>37</v>
      </c>
      <c r="Y36" s="48">
        <v>28</v>
      </c>
      <c r="Z36" s="48">
        <v>23</v>
      </c>
    </row>
    <row r="37" spans="2:26" ht="15.75">
      <c r="B37" s="26"/>
      <c r="C37" s="11"/>
      <c r="D37" s="11"/>
      <c r="E37" s="32"/>
      <c r="F37" s="11"/>
      <c r="G37" s="786"/>
      <c r="H37" s="787"/>
      <c r="I37" s="788"/>
      <c r="J37" s="10" t="s">
        <v>890</v>
      </c>
      <c r="K37" s="11"/>
      <c r="L37" s="369"/>
      <c r="M37" s="12" t="s">
        <v>891</v>
      </c>
      <c r="S37" s="118">
        <f t="shared" si="0"/>
        <v>2600</v>
      </c>
      <c r="T37" s="41">
        <f t="shared" si="2"/>
        <v>23</v>
      </c>
      <c r="U37" s="41">
        <f t="shared" si="1"/>
        <v>0</v>
      </c>
      <c r="W37" s="47">
        <v>2600</v>
      </c>
      <c r="X37" s="48">
        <v>25</v>
      </c>
      <c r="Y37" s="48">
        <v>17</v>
      </c>
      <c r="Z37" s="48">
        <v>23</v>
      </c>
    </row>
    <row r="38" spans="2:26" ht="14.25">
      <c r="B38" s="26"/>
      <c r="C38" s="11"/>
      <c r="D38" s="19">
        <v>0</v>
      </c>
      <c r="E38" s="33">
        <v>1.3</v>
      </c>
      <c r="F38" s="34" t="s">
        <v>356</v>
      </c>
      <c r="G38" s="11"/>
      <c r="H38" s="11"/>
      <c r="I38" s="32" t="s">
        <v>876</v>
      </c>
      <c r="J38" s="11"/>
      <c r="K38" s="11"/>
      <c r="L38" s="11"/>
      <c r="M38" s="12"/>
      <c r="S38" s="118">
        <f t="shared" si="0"/>
        <v>2800</v>
      </c>
      <c r="T38" s="41">
        <f t="shared" si="2"/>
        <v>14</v>
      </c>
      <c r="U38" s="41">
        <f t="shared" si="1"/>
        <v>0</v>
      </c>
      <c r="W38" s="41">
        <v>2800</v>
      </c>
      <c r="X38" s="48">
        <v>21</v>
      </c>
      <c r="Y38" s="48">
        <v>26</v>
      </c>
      <c r="Z38" s="48">
        <v>14</v>
      </c>
    </row>
    <row r="39" spans="2:26" ht="14.25" hidden="1">
      <c r="B39" s="26"/>
      <c r="C39" s="11"/>
      <c r="D39" s="32"/>
      <c r="E39" s="32"/>
      <c r="F39" s="42" t="s">
        <v>30</v>
      </c>
      <c r="G39" s="780"/>
      <c r="H39" s="781"/>
      <c r="I39" s="782"/>
      <c r="J39" s="10" t="s">
        <v>339</v>
      </c>
      <c r="K39" s="11"/>
      <c r="L39" s="120"/>
      <c r="M39" s="16" t="s">
        <v>83</v>
      </c>
      <c r="S39" s="118">
        <f t="shared" si="0"/>
        <v>3000</v>
      </c>
      <c r="T39" s="41">
        <f t="shared" si="2"/>
        <v>5</v>
      </c>
      <c r="U39" s="41">
        <f t="shared" si="1"/>
        <v>0</v>
      </c>
      <c r="W39" s="41">
        <v>3000</v>
      </c>
      <c r="X39" s="48">
        <v>11</v>
      </c>
      <c r="Y39" s="48">
        <v>8</v>
      </c>
      <c r="Z39" s="48">
        <v>5</v>
      </c>
    </row>
    <row r="40" spans="2:26" ht="14.25">
      <c r="B40" s="26"/>
      <c r="C40" s="49">
        <v>3</v>
      </c>
      <c r="D40" s="19">
        <v>5</v>
      </c>
      <c r="E40" s="33">
        <v>1.4</v>
      </c>
      <c r="F40" s="34" t="s">
        <v>859</v>
      </c>
      <c r="G40" s="11"/>
      <c r="H40" s="11"/>
      <c r="I40" s="11"/>
      <c r="J40" s="11"/>
      <c r="K40" s="11"/>
      <c r="L40" s="11"/>
      <c r="M40" s="12"/>
      <c r="S40" s="118">
        <f t="shared" si="0"/>
        <v>3200</v>
      </c>
      <c r="T40" s="41">
        <f t="shared" si="2"/>
        <v>6</v>
      </c>
      <c r="U40" s="41">
        <f t="shared" si="1"/>
        <v>0</v>
      </c>
      <c r="W40" s="41">
        <v>3200</v>
      </c>
      <c r="X40" s="48">
        <v>11</v>
      </c>
      <c r="Y40" s="48">
        <v>6</v>
      </c>
      <c r="Z40" s="48">
        <v>6</v>
      </c>
    </row>
    <row r="41" spans="2:26" ht="14.25">
      <c r="B41" s="26"/>
      <c r="C41" s="11"/>
      <c r="D41" s="32"/>
      <c r="E41" s="32"/>
      <c r="F41" s="42" t="s">
        <v>30</v>
      </c>
      <c r="G41" s="780"/>
      <c r="H41" s="781"/>
      <c r="I41" s="782"/>
      <c r="J41" s="10" t="s">
        <v>34</v>
      </c>
      <c r="K41" s="11"/>
      <c r="L41" s="120"/>
      <c r="M41" s="12" t="s">
        <v>35</v>
      </c>
      <c r="S41" s="118">
        <f t="shared" si="0"/>
        <v>3400</v>
      </c>
      <c r="T41" s="41">
        <f t="shared" si="2"/>
        <v>12</v>
      </c>
      <c r="U41" s="41">
        <f t="shared" si="1"/>
        <v>0</v>
      </c>
      <c r="W41" s="41">
        <v>3400</v>
      </c>
      <c r="X41" s="48">
        <v>8</v>
      </c>
      <c r="Y41" s="48">
        <v>7</v>
      </c>
      <c r="Z41" s="48">
        <v>12</v>
      </c>
    </row>
    <row r="42" spans="2:26" ht="14.25">
      <c r="B42" s="26"/>
      <c r="C42" s="56">
        <f>C28+C30+C34+C38+C40</f>
        <v>21</v>
      </c>
      <c r="D42" s="215">
        <f>D30+D34+D38+D40</f>
        <v>35</v>
      </c>
      <c r="E42" s="220" t="s">
        <v>22</v>
      </c>
      <c r="F42" s="11"/>
      <c r="G42" s="11"/>
      <c r="H42" s="11"/>
      <c r="I42" s="11"/>
      <c r="J42" s="11"/>
      <c r="K42" s="11"/>
      <c r="L42" s="11"/>
      <c r="M42" s="12"/>
      <c r="S42" s="118">
        <f t="shared" si="0"/>
        <v>3600</v>
      </c>
      <c r="T42" s="41">
        <f t="shared" si="2"/>
        <v>3</v>
      </c>
      <c r="U42" s="41">
        <f t="shared" si="1"/>
        <v>0</v>
      </c>
      <c r="W42" s="41">
        <v>3600</v>
      </c>
      <c r="X42" s="48">
        <v>9</v>
      </c>
      <c r="Y42" s="48">
        <v>4</v>
      </c>
      <c r="Z42" s="48">
        <v>3</v>
      </c>
    </row>
    <row r="43" spans="2:26" ht="7.15" customHeight="1">
      <c r="B43" s="26"/>
      <c r="C43" s="4"/>
      <c r="D43" s="4"/>
      <c r="E43" s="217"/>
      <c r="F43" s="4"/>
      <c r="G43" s="4"/>
      <c r="H43" s="4"/>
      <c r="I43" s="4"/>
      <c r="J43" s="4"/>
      <c r="K43" s="4"/>
      <c r="L43" s="4"/>
      <c r="M43" s="27"/>
      <c r="S43" s="118">
        <f t="shared" si="0"/>
        <v>3800</v>
      </c>
      <c r="T43" s="41">
        <f t="shared" si="2"/>
        <v>5</v>
      </c>
      <c r="U43" s="41">
        <f t="shared" si="1"/>
        <v>0</v>
      </c>
      <c r="W43" s="41">
        <v>3800</v>
      </c>
      <c r="X43" s="48">
        <v>5</v>
      </c>
      <c r="Y43" s="48">
        <v>5</v>
      </c>
      <c r="Z43" s="48">
        <v>5</v>
      </c>
    </row>
    <row r="44" spans="2:26" ht="15">
      <c r="B44" s="35"/>
      <c r="C44" s="36" t="s">
        <v>36</v>
      </c>
      <c r="D44" s="37"/>
      <c r="E44" s="221"/>
      <c r="F44" s="37"/>
      <c r="G44" s="37"/>
      <c r="H44" s="37"/>
      <c r="I44" s="37"/>
      <c r="J44" s="37"/>
      <c r="K44" s="37"/>
      <c r="L44" s="37"/>
      <c r="M44" s="38"/>
      <c r="S44" s="118">
        <f t="shared" si="0"/>
        <v>4000</v>
      </c>
      <c r="T44" s="41">
        <f t="shared" si="2"/>
        <v>4</v>
      </c>
      <c r="U44" s="41">
        <f t="shared" si="1"/>
        <v>0</v>
      </c>
      <c r="W44" s="41">
        <v>4000</v>
      </c>
      <c r="X44" s="48">
        <v>6</v>
      </c>
      <c r="Y44" s="48">
        <v>5</v>
      </c>
      <c r="Z44" s="48">
        <v>4</v>
      </c>
    </row>
    <row r="45" spans="2:26" ht="14.25">
      <c r="B45" s="26"/>
      <c r="C45" s="31" t="s">
        <v>24</v>
      </c>
      <c r="D45" s="10" t="s">
        <v>25</v>
      </c>
      <c r="E45" s="32"/>
      <c r="F45" s="11"/>
      <c r="G45" s="11"/>
      <c r="H45" s="11"/>
      <c r="I45" s="11"/>
      <c r="J45" s="31" t="s">
        <v>26</v>
      </c>
      <c r="K45" s="11"/>
      <c r="L45" s="31" t="s">
        <v>27</v>
      </c>
      <c r="M45" s="12"/>
      <c r="S45" s="118">
        <f>W45</f>
        <v>4200</v>
      </c>
      <c r="T45" s="41">
        <f>IF($I$9&gt;=30000,Z45,IF($I$9&gt;=10000,Y45,X45))</f>
        <v>1</v>
      </c>
      <c r="U45" s="41">
        <f t="shared" si="1"/>
        <v>0</v>
      </c>
      <c r="W45" s="41">
        <v>4200</v>
      </c>
      <c r="X45" s="48">
        <v>4</v>
      </c>
      <c r="Y45" s="48">
        <v>6</v>
      </c>
      <c r="Z45" s="48">
        <v>1</v>
      </c>
    </row>
    <row r="46" spans="2:26" ht="14.25">
      <c r="B46" s="26"/>
      <c r="C46" s="367"/>
      <c r="D46" s="11"/>
      <c r="E46" s="214" t="s">
        <v>28</v>
      </c>
      <c r="F46" s="11"/>
      <c r="G46" s="11" t="s">
        <v>877</v>
      </c>
      <c r="H46" s="11"/>
      <c r="I46" s="11"/>
      <c r="J46" s="11"/>
      <c r="K46" s="11"/>
      <c r="L46" s="11"/>
      <c r="M46" s="12"/>
      <c r="S46" s="118">
        <f>W46</f>
        <v>4400</v>
      </c>
      <c r="T46" s="41">
        <f>IF($I$9&gt;=30000,Z46,IF($I$9&gt;=10000,Y46,X46))</f>
        <v>2</v>
      </c>
      <c r="U46" s="41">
        <f t="shared" si="1"/>
        <v>0</v>
      </c>
      <c r="W46" s="41">
        <v>4400</v>
      </c>
      <c r="X46" s="48">
        <v>4</v>
      </c>
      <c r="Y46" s="48">
        <v>3</v>
      </c>
      <c r="Z46" s="48">
        <v>2</v>
      </c>
    </row>
    <row r="47" spans="2:26" ht="14.25">
      <c r="B47" s="26"/>
      <c r="C47" s="11"/>
      <c r="D47" s="11"/>
      <c r="E47" s="32"/>
      <c r="F47" s="42" t="s">
        <v>30</v>
      </c>
      <c r="G47" s="780"/>
      <c r="H47" s="781"/>
      <c r="I47" s="782"/>
      <c r="J47" s="10" t="s">
        <v>38</v>
      </c>
      <c r="K47" s="11"/>
      <c r="L47" s="120"/>
      <c r="M47" s="12" t="s">
        <v>82</v>
      </c>
      <c r="S47" s="118">
        <f>W47</f>
        <v>4600</v>
      </c>
      <c r="T47" s="41">
        <f>IF($I$9&gt;=30000,Z47,IF($I$9&gt;=10000,Y47,X47))</f>
        <v>3</v>
      </c>
      <c r="U47" s="41">
        <f t="shared" si="1"/>
        <v>0</v>
      </c>
      <c r="W47" s="41">
        <v>4600</v>
      </c>
      <c r="X47" s="48">
        <v>1</v>
      </c>
      <c r="Y47" s="48">
        <v>0</v>
      </c>
      <c r="Z47" s="48">
        <v>3</v>
      </c>
    </row>
    <row r="48" spans="2:26" ht="14.25">
      <c r="B48" s="26"/>
      <c r="C48" s="368">
        <v>3</v>
      </c>
      <c r="D48" s="19">
        <v>5</v>
      </c>
      <c r="E48" s="33" t="s">
        <v>39</v>
      </c>
      <c r="F48" s="34" t="s">
        <v>40</v>
      </c>
      <c r="G48" s="11"/>
      <c r="H48" s="11"/>
      <c r="I48" s="11"/>
      <c r="J48" s="11"/>
      <c r="K48" s="11"/>
      <c r="L48" s="11"/>
      <c r="M48" s="12"/>
      <c r="S48" s="118">
        <f>W48</f>
        <v>4800</v>
      </c>
      <c r="T48" s="41">
        <f>IF($I$9&gt;=30000,Z48,IF($I$9&gt;=10000,Y48,X48))</f>
        <v>0</v>
      </c>
      <c r="U48" s="41">
        <f t="shared" si="1"/>
        <v>0</v>
      </c>
      <c r="W48" s="41">
        <v>4800</v>
      </c>
      <c r="X48" s="48">
        <v>2</v>
      </c>
      <c r="Y48" s="48">
        <v>0</v>
      </c>
      <c r="Z48" s="48">
        <v>0</v>
      </c>
    </row>
    <row r="49" spans="2:26" ht="14.25">
      <c r="B49" s="26"/>
      <c r="C49" s="11"/>
      <c r="D49" s="32"/>
      <c r="E49" s="32"/>
      <c r="F49" s="42" t="s">
        <v>30</v>
      </c>
      <c r="G49" s="780"/>
      <c r="H49" s="781"/>
      <c r="I49" s="782"/>
      <c r="J49" s="10" t="s">
        <v>41</v>
      </c>
      <c r="K49" s="11"/>
      <c r="L49" s="120"/>
      <c r="M49" s="12" t="s">
        <v>82</v>
      </c>
      <c r="S49" s="118">
        <f t="shared" si="0"/>
        <v>5000</v>
      </c>
      <c r="T49" s="41">
        <f t="shared" si="2"/>
        <v>0</v>
      </c>
      <c r="U49" s="41">
        <f t="shared" si="1"/>
        <v>0</v>
      </c>
      <c r="W49" s="41">
        <v>5000</v>
      </c>
      <c r="X49" s="48"/>
      <c r="Y49" s="48"/>
      <c r="Z49" s="48"/>
    </row>
    <row r="50" spans="2:26" ht="14.25">
      <c r="B50" s="26"/>
      <c r="C50" s="11"/>
      <c r="D50" s="19">
        <v>0</v>
      </c>
      <c r="E50" s="33">
        <v>2.2000000000000002</v>
      </c>
      <c r="F50" s="34" t="s">
        <v>340</v>
      </c>
      <c r="G50" s="11"/>
      <c r="H50" s="11"/>
      <c r="I50" s="32" t="s">
        <v>876</v>
      </c>
      <c r="J50" s="11"/>
      <c r="K50" s="11"/>
      <c r="L50" s="11"/>
      <c r="M50" s="12"/>
      <c r="S50" s="118">
        <f t="shared" si="0"/>
        <v>5200</v>
      </c>
      <c r="T50" s="41">
        <f>IF($I$9&gt;=30000,Z50,IF($I$9&gt;=10000,Y50,X50))</f>
        <v>0</v>
      </c>
      <c r="U50" s="41">
        <f t="shared" si="1"/>
        <v>0</v>
      </c>
      <c r="W50" s="41">
        <v>5200</v>
      </c>
      <c r="X50" s="48"/>
      <c r="Y50" s="48"/>
      <c r="Z50" s="48"/>
    </row>
    <row r="51" spans="2:26" ht="14.25" hidden="1">
      <c r="B51" s="26"/>
      <c r="C51" s="11"/>
      <c r="D51" s="32"/>
      <c r="E51" s="32"/>
      <c r="F51" s="42" t="s">
        <v>30</v>
      </c>
      <c r="G51" s="780"/>
      <c r="H51" s="781"/>
      <c r="I51" s="782"/>
      <c r="J51" s="10" t="s">
        <v>41</v>
      </c>
      <c r="K51" s="11"/>
      <c r="L51" s="120"/>
      <c r="M51" s="12" t="s">
        <v>82</v>
      </c>
      <c r="S51" s="118">
        <f t="shared" si="0"/>
        <v>5400</v>
      </c>
      <c r="T51" s="41">
        <f t="shared" si="2"/>
        <v>0</v>
      </c>
      <c r="U51" s="41">
        <f t="shared" si="1"/>
        <v>0</v>
      </c>
      <c r="W51" s="41">
        <v>5400</v>
      </c>
      <c r="X51" s="48"/>
      <c r="Y51" s="48"/>
      <c r="Z51" s="48"/>
    </row>
    <row r="52" spans="2:26" ht="14.25">
      <c r="B52" s="26"/>
      <c r="C52" s="368">
        <v>3</v>
      </c>
      <c r="D52" s="19">
        <v>5</v>
      </c>
      <c r="E52" s="33">
        <v>2.2999999999999998</v>
      </c>
      <c r="F52" s="34" t="s">
        <v>42</v>
      </c>
      <c r="G52" s="11"/>
      <c r="H52" s="11"/>
      <c r="I52" s="11"/>
      <c r="J52" s="11"/>
      <c r="K52" s="11"/>
      <c r="L52" s="11"/>
      <c r="M52" s="12"/>
      <c r="S52" s="121"/>
    </row>
    <row r="53" spans="2:26" ht="14.25">
      <c r="B53" s="26"/>
      <c r="C53" s="11"/>
      <c r="D53" s="32"/>
      <c r="E53" s="32"/>
      <c r="F53" s="42" t="s">
        <v>30</v>
      </c>
      <c r="G53" s="780"/>
      <c r="H53" s="781"/>
      <c r="I53" s="782"/>
      <c r="J53" s="10" t="s">
        <v>43</v>
      </c>
      <c r="K53" s="11"/>
      <c r="L53" s="120"/>
      <c r="M53" s="12" t="s">
        <v>82</v>
      </c>
      <c r="S53" t="s">
        <v>863</v>
      </c>
    </row>
    <row r="54" spans="2:26" ht="14.25">
      <c r="B54" s="26"/>
      <c r="C54" s="56">
        <f>C48+C50+C52</f>
        <v>6</v>
      </c>
      <c r="D54" s="215">
        <f>D48+D50+D52</f>
        <v>10</v>
      </c>
      <c r="E54" s="220" t="s">
        <v>22</v>
      </c>
      <c r="F54" s="11"/>
      <c r="G54" s="3"/>
      <c r="H54" s="3"/>
      <c r="I54" s="3"/>
      <c r="J54" s="11"/>
      <c r="K54" s="11"/>
      <c r="L54" s="11"/>
      <c r="M54" s="12"/>
      <c r="S54" s="41" t="s">
        <v>96</v>
      </c>
      <c r="T54" s="41" t="s">
        <v>101</v>
      </c>
      <c r="U54" s="41" t="s">
        <v>100</v>
      </c>
    </row>
    <row r="55" spans="2:26" ht="7.15" customHeight="1">
      <c r="B55" s="29"/>
      <c r="C55" s="30"/>
      <c r="D55" s="30"/>
      <c r="E55" s="218"/>
      <c r="F55" s="30"/>
      <c r="G55" s="30"/>
      <c r="H55" s="30"/>
      <c r="I55" s="30"/>
      <c r="J55" s="30"/>
      <c r="K55" s="30"/>
      <c r="L55" s="30"/>
      <c r="M55" s="39"/>
      <c r="S55" s="57">
        <v>0</v>
      </c>
      <c r="T55" s="586"/>
      <c r="U55" s="587">
        <f t="shared" ref="U55:U83" si="5">IF(AND($L$53&gt;=S55,$L$53&lt;S56),T55,0)</f>
        <v>0</v>
      </c>
    </row>
    <row r="56" spans="2:26" ht="15">
      <c r="B56" s="35"/>
      <c r="C56" s="36" t="s">
        <v>44</v>
      </c>
      <c r="D56" s="37"/>
      <c r="E56" s="221"/>
      <c r="F56" s="37"/>
      <c r="G56" s="37"/>
      <c r="H56" s="37"/>
      <c r="I56" s="37"/>
      <c r="J56" s="37"/>
      <c r="K56" s="37"/>
      <c r="L56" s="37"/>
      <c r="M56" s="38"/>
      <c r="S56" s="57">
        <v>100</v>
      </c>
      <c r="T56" s="586"/>
      <c r="U56" s="587">
        <f t="shared" si="5"/>
        <v>0</v>
      </c>
    </row>
    <row r="57" spans="2:26" ht="14.25">
      <c r="B57" s="26"/>
      <c r="C57" s="31" t="s">
        <v>24</v>
      </c>
      <c r="D57" s="10" t="s">
        <v>25</v>
      </c>
      <c r="E57" s="32"/>
      <c r="F57" s="11"/>
      <c r="G57" s="11"/>
      <c r="H57" s="11"/>
      <c r="I57" s="11"/>
      <c r="J57" s="31" t="s">
        <v>26</v>
      </c>
      <c r="K57" s="11"/>
      <c r="L57" s="31" t="s">
        <v>27</v>
      </c>
      <c r="M57" s="12"/>
      <c r="S57" s="57">
        <v>200</v>
      </c>
      <c r="T57" s="586"/>
      <c r="U57" s="587">
        <f t="shared" si="5"/>
        <v>0</v>
      </c>
    </row>
    <row r="58" spans="2:26" ht="14.25">
      <c r="B58" s="26"/>
      <c r="C58" s="367"/>
      <c r="D58" s="11"/>
      <c r="E58" s="214" t="s">
        <v>28</v>
      </c>
      <c r="F58" s="11"/>
      <c r="G58" s="11" t="s">
        <v>878</v>
      </c>
      <c r="H58" s="11"/>
      <c r="I58" s="11"/>
      <c r="J58" s="11"/>
      <c r="K58" s="11"/>
      <c r="L58" s="11"/>
      <c r="M58" s="12"/>
      <c r="S58" s="57">
        <v>300</v>
      </c>
      <c r="T58" s="586">
        <v>90</v>
      </c>
      <c r="U58" s="587">
        <f t="shared" si="5"/>
        <v>0</v>
      </c>
    </row>
    <row r="59" spans="2:26" ht="14.25">
      <c r="B59" s="26"/>
      <c r="C59" s="11"/>
      <c r="D59" s="11"/>
      <c r="E59" s="32"/>
      <c r="F59" s="42" t="s">
        <v>30</v>
      </c>
      <c r="G59" s="780"/>
      <c r="H59" s="781"/>
      <c r="I59" s="782"/>
      <c r="J59" s="10" t="s">
        <v>45</v>
      </c>
      <c r="K59" s="11"/>
      <c r="L59" s="11"/>
      <c r="M59" s="12"/>
      <c r="S59" s="57">
        <v>400</v>
      </c>
      <c r="T59" s="586">
        <v>183</v>
      </c>
      <c r="U59" s="587">
        <f t="shared" si="5"/>
        <v>0</v>
      </c>
    </row>
    <row r="60" spans="2:26" ht="14.25">
      <c r="B60" s="26"/>
      <c r="C60" s="56">
        <f>MAX(C61,C63)</f>
        <v>3</v>
      </c>
      <c r="D60" s="19">
        <v>5</v>
      </c>
      <c r="E60" s="33" t="s">
        <v>46</v>
      </c>
      <c r="F60" s="34" t="s">
        <v>358</v>
      </c>
      <c r="G60" s="11"/>
      <c r="H60" s="11"/>
      <c r="I60" s="32" t="s">
        <v>879</v>
      </c>
      <c r="J60" s="11"/>
      <c r="K60" s="11"/>
      <c r="L60" s="11"/>
      <c r="M60" s="12"/>
      <c r="S60" s="57">
        <v>500</v>
      </c>
      <c r="T60" s="586">
        <v>234</v>
      </c>
      <c r="U60" s="587">
        <f t="shared" si="5"/>
        <v>0</v>
      </c>
    </row>
    <row r="61" spans="2:26" ht="14.25">
      <c r="B61" s="26"/>
      <c r="C61" s="49">
        <v>3</v>
      </c>
      <c r="D61" s="51"/>
      <c r="E61" s="52" t="s">
        <v>351</v>
      </c>
      <c r="F61" s="53" t="s">
        <v>111</v>
      </c>
      <c r="G61" s="3"/>
      <c r="H61" s="3"/>
      <c r="I61" s="3"/>
      <c r="J61" s="11"/>
      <c r="K61" s="11"/>
      <c r="L61" s="11"/>
      <c r="M61" s="12"/>
      <c r="S61" s="57">
        <v>600</v>
      </c>
      <c r="T61" s="586">
        <v>230</v>
      </c>
      <c r="U61" s="587">
        <f t="shared" si="5"/>
        <v>0</v>
      </c>
    </row>
    <row r="62" spans="2:26" ht="14.25">
      <c r="B62" s="26"/>
      <c r="D62" s="51"/>
      <c r="E62" s="52"/>
      <c r="F62" s="42" t="s">
        <v>30</v>
      </c>
      <c r="G62" s="780"/>
      <c r="H62" s="781"/>
      <c r="I62" s="782"/>
      <c r="J62" s="11"/>
      <c r="K62" s="11"/>
      <c r="L62" s="11"/>
      <c r="M62" s="12"/>
      <c r="S62" s="57">
        <v>700</v>
      </c>
      <c r="T62" s="586">
        <v>236</v>
      </c>
      <c r="U62" s="587">
        <f t="shared" si="5"/>
        <v>0</v>
      </c>
    </row>
    <row r="63" spans="2:26" ht="14.25">
      <c r="B63" s="26"/>
      <c r="C63" s="49">
        <v>3</v>
      </c>
      <c r="D63" s="51"/>
      <c r="E63" s="216" t="s">
        <v>352</v>
      </c>
      <c r="F63" s="53" t="s">
        <v>373</v>
      </c>
      <c r="G63" s="3"/>
      <c r="H63" s="3"/>
      <c r="I63" s="3"/>
      <c r="J63" s="11"/>
      <c r="K63" s="11"/>
      <c r="L63" s="11"/>
      <c r="M63" s="12"/>
      <c r="S63" s="57">
        <v>800</v>
      </c>
      <c r="T63" s="586">
        <v>198</v>
      </c>
      <c r="U63" s="587">
        <f t="shared" si="5"/>
        <v>0</v>
      </c>
    </row>
    <row r="64" spans="2:26" ht="14.25">
      <c r="B64" s="26"/>
      <c r="D64" s="51"/>
      <c r="E64" s="216"/>
      <c r="F64" s="42" t="s">
        <v>30</v>
      </c>
      <c r="G64" s="780"/>
      <c r="H64" s="781"/>
      <c r="I64" s="782"/>
      <c r="J64" s="11"/>
      <c r="K64" s="11"/>
      <c r="L64" s="11"/>
      <c r="M64" s="12"/>
      <c r="S64" s="57">
        <v>900</v>
      </c>
      <c r="T64" s="586">
        <v>165</v>
      </c>
      <c r="U64" s="587">
        <f t="shared" si="5"/>
        <v>0</v>
      </c>
    </row>
    <row r="65" spans="2:21" ht="14.25">
      <c r="B65" s="26"/>
      <c r="C65" s="56">
        <f>(C67+C68)/2+C69</f>
        <v>2</v>
      </c>
      <c r="D65" s="19">
        <v>5</v>
      </c>
      <c r="E65" s="33" t="s">
        <v>47</v>
      </c>
      <c r="F65" s="34" t="s">
        <v>342</v>
      </c>
      <c r="G65" s="3"/>
      <c r="H65" s="3"/>
      <c r="I65" s="3"/>
      <c r="J65" s="11"/>
      <c r="K65" s="11"/>
      <c r="L65" s="11"/>
      <c r="M65" s="12"/>
      <c r="S65" s="57">
        <v>1000</v>
      </c>
      <c r="T65" s="586">
        <v>139</v>
      </c>
      <c r="U65" s="587">
        <f t="shared" si="5"/>
        <v>0</v>
      </c>
    </row>
    <row r="66" spans="2:21" ht="14.25">
      <c r="B66" s="26"/>
      <c r="E66" s="52" t="s">
        <v>343</v>
      </c>
      <c r="F66" s="53" t="s">
        <v>944</v>
      </c>
      <c r="G66" s="11"/>
      <c r="H66" s="11"/>
      <c r="I66" s="32" t="s">
        <v>880</v>
      </c>
      <c r="J66" s="11"/>
      <c r="K66" s="11"/>
      <c r="L66" s="11"/>
      <c r="M66" s="12"/>
      <c r="S66" s="57">
        <v>1100</v>
      </c>
      <c r="T66" s="586">
        <v>131</v>
      </c>
      <c r="U66" s="587">
        <f t="shared" si="5"/>
        <v>0</v>
      </c>
    </row>
    <row r="67" spans="2:21" ht="14.25">
      <c r="B67" s="26"/>
      <c r="C67" s="49">
        <v>3</v>
      </c>
      <c r="D67" s="51"/>
      <c r="E67" s="52" t="s">
        <v>109</v>
      </c>
      <c r="F67" s="53" t="s">
        <v>121</v>
      </c>
      <c r="G67" s="789"/>
      <c r="H67" s="790"/>
      <c r="I67" s="791"/>
      <c r="J67" s="11"/>
      <c r="K67" s="11"/>
      <c r="L67" s="11"/>
      <c r="M67" s="12"/>
      <c r="S67" s="57">
        <v>1200</v>
      </c>
      <c r="T67" s="586">
        <v>77</v>
      </c>
      <c r="U67" s="587">
        <f t="shared" si="5"/>
        <v>0</v>
      </c>
    </row>
    <row r="68" spans="2:21" ht="14.25">
      <c r="B68" s="26"/>
      <c r="C68" s="368">
        <v>1</v>
      </c>
      <c r="D68" s="51"/>
      <c r="E68" s="52" t="s">
        <v>110</v>
      </c>
      <c r="F68" s="53" t="s">
        <v>122</v>
      </c>
      <c r="G68" s="789"/>
      <c r="H68" s="790"/>
      <c r="I68" s="791"/>
      <c r="J68" s="582" t="s">
        <v>107</v>
      </c>
      <c r="K68" s="11"/>
      <c r="L68" s="370"/>
      <c r="M68" s="16" t="s">
        <v>48</v>
      </c>
      <c r="S68" s="57">
        <v>1300</v>
      </c>
      <c r="T68" s="586">
        <v>46</v>
      </c>
      <c r="U68" s="587">
        <f t="shared" si="5"/>
        <v>0</v>
      </c>
    </row>
    <row r="69" spans="2:21" ht="14.25">
      <c r="B69" s="26"/>
      <c r="C69" s="51"/>
      <c r="E69" s="52" t="s">
        <v>344</v>
      </c>
      <c r="F69" s="123" t="s">
        <v>126</v>
      </c>
      <c r="G69" s="725"/>
      <c r="H69" s="725"/>
      <c r="I69" s="726" t="s">
        <v>881</v>
      </c>
      <c r="M69" s="16"/>
      <c r="S69" s="57">
        <v>1400</v>
      </c>
      <c r="T69" s="586">
        <v>48</v>
      </c>
      <c r="U69" s="587">
        <f t="shared" si="5"/>
        <v>0</v>
      </c>
    </row>
    <row r="70" spans="2:21" ht="14.25" hidden="1">
      <c r="B70" s="26"/>
      <c r="D70" s="51"/>
      <c r="E70" s="52"/>
      <c r="F70" s="42" t="s">
        <v>30</v>
      </c>
      <c r="G70" s="727"/>
      <c r="H70" s="574"/>
      <c r="I70" s="575"/>
      <c r="J70" s="10" t="s">
        <v>367</v>
      </c>
      <c r="K70" s="11"/>
      <c r="L70" s="40"/>
      <c r="M70" s="16" t="s">
        <v>114</v>
      </c>
      <c r="S70" s="57">
        <v>1500</v>
      </c>
      <c r="T70" s="586">
        <v>26</v>
      </c>
      <c r="U70" s="587">
        <f t="shared" si="5"/>
        <v>0</v>
      </c>
    </row>
    <row r="71" spans="2:21" ht="14.25">
      <c r="B71" s="26"/>
      <c r="C71" s="368">
        <v>3</v>
      </c>
      <c r="D71" s="19">
        <v>5</v>
      </c>
      <c r="E71" s="33" t="s">
        <v>49</v>
      </c>
      <c r="F71" s="34" t="s">
        <v>50</v>
      </c>
      <c r="G71" s="579"/>
      <c r="H71" s="579"/>
      <c r="I71" s="579"/>
      <c r="J71" s="11"/>
      <c r="K71" s="11"/>
      <c r="L71" s="11"/>
      <c r="M71" s="12"/>
      <c r="S71" s="57">
        <v>1600</v>
      </c>
      <c r="T71" s="586">
        <v>26</v>
      </c>
      <c r="U71" s="587">
        <f t="shared" si="5"/>
        <v>0</v>
      </c>
    </row>
    <row r="72" spans="2:21" ht="13.9" customHeight="1">
      <c r="B72" s="26"/>
      <c r="C72" s="11"/>
      <c r="D72" s="32"/>
      <c r="E72" s="32"/>
      <c r="F72" s="42" t="s">
        <v>30</v>
      </c>
      <c r="G72" s="793"/>
      <c r="H72" s="781"/>
      <c r="I72" s="782"/>
      <c r="J72" s="573" t="s">
        <v>112</v>
      </c>
      <c r="K72" s="11"/>
      <c r="L72" s="119"/>
      <c r="M72" s="16" t="s">
        <v>51</v>
      </c>
      <c r="S72" s="57">
        <v>1700</v>
      </c>
      <c r="T72" s="586">
        <v>24</v>
      </c>
      <c r="U72" s="587">
        <f t="shared" si="5"/>
        <v>0</v>
      </c>
    </row>
    <row r="73" spans="2:21" ht="14.25">
      <c r="B73" s="26"/>
      <c r="C73" s="580">
        <f>AVERAGE(C74:C80)</f>
        <v>2.75</v>
      </c>
      <c r="D73" s="19">
        <v>5</v>
      </c>
      <c r="E73" s="33" t="s">
        <v>52</v>
      </c>
      <c r="F73" s="583" t="s">
        <v>833</v>
      </c>
      <c r="G73" s="579"/>
      <c r="H73" s="579"/>
      <c r="I73" s="725"/>
      <c r="K73" s="584" t="s">
        <v>832</v>
      </c>
      <c r="L73" s="11"/>
      <c r="M73" s="12"/>
      <c r="S73" s="57">
        <v>1800</v>
      </c>
      <c r="T73" s="586">
        <v>15</v>
      </c>
      <c r="U73" s="587">
        <f t="shared" si="5"/>
        <v>0</v>
      </c>
    </row>
    <row r="74" spans="2:21" ht="14.25">
      <c r="B74" s="26"/>
      <c r="C74" s="368">
        <v>3</v>
      </c>
      <c r="D74" s="51"/>
      <c r="E74" s="52" t="s">
        <v>353</v>
      </c>
      <c r="F74" s="53" t="s">
        <v>350</v>
      </c>
      <c r="G74" s="725"/>
      <c r="H74" s="725"/>
      <c r="I74" s="725"/>
      <c r="M74" s="12"/>
      <c r="S74" s="57">
        <v>1900</v>
      </c>
      <c r="T74" s="586">
        <v>14</v>
      </c>
      <c r="U74" s="587">
        <f t="shared" si="5"/>
        <v>0</v>
      </c>
    </row>
    <row r="75" spans="2:21" ht="14.25">
      <c r="B75" s="26"/>
      <c r="D75" s="51"/>
      <c r="E75" s="52"/>
      <c r="F75" s="42" t="s">
        <v>30</v>
      </c>
      <c r="G75" s="789"/>
      <c r="H75" s="790"/>
      <c r="I75" s="791"/>
      <c r="J75" s="10" t="s">
        <v>116</v>
      </c>
      <c r="K75" s="11"/>
      <c r="L75" s="119"/>
      <c r="M75" s="16" t="s">
        <v>115</v>
      </c>
      <c r="S75" s="57">
        <v>2000</v>
      </c>
      <c r="T75" s="586">
        <v>6</v>
      </c>
      <c r="U75" s="587">
        <f t="shared" si="5"/>
        <v>0</v>
      </c>
    </row>
    <row r="76" spans="2:21" ht="14.25">
      <c r="B76" s="26"/>
      <c r="C76" s="368">
        <v>3</v>
      </c>
      <c r="D76" s="51"/>
      <c r="E76" s="52" t="s">
        <v>354</v>
      </c>
      <c r="F76" s="53" t="s">
        <v>349</v>
      </c>
      <c r="G76" s="725"/>
      <c r="H76" s="725"/>
      <c r="I76" s="725"/>
      <c r="J76" s="10"/>
      <c r="K76" s="11"/>
      <c r="M76" s="16"/>
      <c r="S76" s="57">
        <v>2100</v>
      </c>
      <c r="T76" s="586">
        <v>13</v>
      </c>
      <c r="U76" s="587">
        <f t="shared" si="5"/>
        <v>0</v>
      </c>
    </row>
    <row r="77" spans="2:21" ht="14.25">
      <c r="B77" s="26"/>
      <c r="D77" s="51"/>
      <c r="E77" s="52"/>
      <c r="F77" s="42" t="s">
        <v>361</v>
      </c>
      <c r="G77" s="789"/>
      <c r="H77" s="790"/>
      <c r="I77" s="791"/>
      <c r="J77" s="10" t="s">
        <v>84</v>
      </c>
      <c r="K77" s="11"/>
      <c r="L77" s="119"/>
      <c r="M77" s="16" t="s">
        <v>83</v>
      </c>
      <c r="S77" s="57">
        <v>2200</v>
      </c>
      <c r="T77" s="586">
        <v>4</v>
      </c>
      <c r="U77" s="587">
        <f t="shared" si="5"/>
        <v>0</v>
      </c>
    </row>
    <row r="78" spans="2:21" ht="14.25">
      <c r="B78" s="26"/>
      <c r="C78" s="368">
        <v>2</v>
      </c>
      <c r="D78" s="51"/>
      <c r="E78" s="52" t="s">
        <v>355</v>
      </c>
      <c r="F78" s="53" t="s">
        <v>113</v>
      </c>
      <c r="G78" s="725"/>
      <c r="H78" s="725"/>
      <c r="I78" s="725"/>
      <c r="M78" s="16"/>
      <c r="S78" s="57">
        <v>2300</v>
      </c>
      <c r="T78" s="586">
        <v>11</v>
      </c>
      <c r="U78" s="587">
        <f t="shared" si="5"/>
        <v>0</v>
      </c>
    </row>
    <row r="79" spans="2:21" ht="14.25">
      <c r="B79" s="26"/>
      <c r="D79" s="51"/>
      <c r="E79" s="52"/>
      <c r="F79" s="42" t="s">
        <v>30</v>
      </c>
      <c r="G79" s="789"/>
      <c r="H79" s="790"/>
      <c r="I79" s="791"/>
      <c r="J79" s="10" t="s">
        <v>85</v>
      </c>
      <c r="K79" s="11"/>
      <c r="L79" s="119"/>
      <c r="M79" s="16" t="s">
        <v>114</v>
      </c>
      <c r="S79" s="57">
        <v>2400</v>
      </c>
      <c r="T79" s="586">
        <v>3</v>
      </c>
      <c r="U79" s="587">
        <f t="shared" si="5"/>
        <v>0</v>
      </c>
    </row>
    <row r="80" spans="2:21" ht="14.25">
      <c r="B80" s="26"/>
      <c r="C80" s="368">
        <v>3</v>
      </c>
      <c r="D80" s="51"/>
      <c r="E80" s="52" t="s">
        <v>381</v>
      </c>
      <c r="F80" s="53" t="s">
        <v>943</v>
      </c>
      <c r="G80" s="725"/>
      <c r="H80" s="725"/>
      <c r="I80" s="725"/>
      <c r="M80" s="16"/>
      <c r="S80" s="57">
        <v>2500</v>
      </c>
      <c r="T80" s="586"/>
      <c r="U80" s="587">
        <f t="shared" si="5"/>
        <v>0</v>
      </c>
    </row>
    <row r="81" spans="2:22" ht="16.149999999999999" customHeight="1">
      <c r="B81" s="26"/>
      <c r="D81" s="51"/>
      <c r="E81" s="52"/>
      <c r="F81" s="42" t="s">
        <v>30</v>
      </c>
      <c r="G81" s="789"/>
      <c r="H81" s="790"/>
      <c r="I81" s="791"/>
      <c r="J81" s="10"/>
      <c r="K81" s="11"/>
      <c r="M81" s="16"/>
      <c r="P81" s="330"/>
      <c r="S81" s="57">
        <v>2600</v>
      </c>
      <c r="T81" s="586"/>
      <c r="U81" s="587">
        <f t="shared" si="5"/>
        <v>0</v>
      </c>
    </row>
    <row r="82" spans="2:22" ht="14.25">
      <c r="B82" s="26"/>
      <c r="C82" s="745">
        <f>C60+C65+C71+C73</f>
        <v>10.75</v>
      </c>
      <c r="D82" s="215">
        <f>D60+D65+D71+D73</f>
        <v>20</v>
      </c>
      <c r="E82" s="220" t="s">
        <v>22</v>
      </c>
      <c r="F82" s="11"/>
      <c r="G82" s="11"/>
      <c r="H82" s="11"/>
      <c r="I82" s="11"/>
      <c r="J82" s="11"/>
      <c r="K82" s="11"/>
      <c r="L82" s="11"/>
      <c r="M82" s="12"/>
      <c r="S82" s="57">
        <v>2700</v>
      </c>
      <c r="T82" s="586"/>
      <c r="U82" s="587">
        <f t="shared" si="5"/>
        <v>0</v>
      </c>
    </row>
    <row r="83" spans="2:22" ht="6.6" customHeight="1">
      <c r="B83" s="29"/>
      <c r="C83" s="30"/>
      <c r="D83" s="30"/>
      <c r="E83" s="218"/>
      <c r="F83" s="30"/>
      <c r="G83" s="30"/>
      <c r="H83" s="30"/>
      <c r="I83" s="30"/>
      <c r="J83" s="30"/>
      <c r="K83" s="30"/>
      <c r="L83" s="30"/>
      <c r="M83" s="39"/>
      <c r="P83" s="331"/>
      <c r="Q83" s="331"/>
      <c r="S83" s="57">
        <v>2800</v>
      </c>
      <c r="T83" s="586"/>
      <c r="U83" s="587">
        <f t="shared" si="5"/>
        <v>0</v>
      </c>
    </row>
    <row r="84" spans="2:22" ht="14.25" customHeight="1">
      <c r="B84" s="5"/>
      <c r="C84" s="6" t="s">
        <v>53</v>
      </c>
      <c r="D84" s="7"/>
      <c r="E84" s="219"/>
      <c r="F84" s="7"/>
      <c r="G84" s="7"/>
      <c r="H84" s="7"/>
      <c r="I84" s="7"/>
      <c r="J84" s="7"/>
      <c r="K84" s="7"/>
      <c r="L84" s="7"/>
      <c r="M84" s="8"/>
      <c r="P84" s="331"/>
      <c r="Q84" s="331"/>
    </row>
    <row r="85" spans="2:22" ht="14.25" customHeight="1">
      <c r="B85" s="26"/>
      <c r="C85" s="31" t="s">
        <v>24</v>
      </c>
      <c r="D85" s="10" t="s">
        <v>25</v>
      </c>
      <c r="E85" s="32"/>
      <c r="F85" s="11"/>
      <c r="G85" s="11"/>
      <c r="H85" s="11"/>
      <c r="I85" s="11"/>
      <c r="J85" s="31" t="s">
        <v>26</v>
      </c>
      <c r="K85" s="11"/>
      <c r="L85" s="31" t="s">
        <v>27</v>
      </c>
      <c r="M85" s="12"/>
      <c r="P85" s="331"/>
      <c r="Q85" s="331"/>
    </row>
    <row r="86" spans="2:22" ht="14.25" customHeight="1">
      <c r="B86" s="26"/>
      <c r="C86" s="367"/>
      <c r="D86" s="11"/>
      <c r="E86" s="214" t="s">
        <v>28</v>
      </c>
      <c r="F86" s="11"/>
      <c r="G86" s="11" t="s">
        <v>882</v>
      </c>
      <c r="H86" s="11"/>
      <c r="I86" s="11"/>
      <c r="J86" s="11"/>
      <c r="K86" s="11"/>
      <c r="L86" s="11"/>
      <c r="M86" s="12"/>
      <c r="P86" s="331"/>
      <c r="Q86" s="331"/>
      <c r="S86" s="59"/>
      <c r="T86" s="122"/>
      <c r="V86" s="46"/>
    </row>
    <row r="87" spans="2:22" ht="14.25" customHeight="1">
      <c r="B87" s="26"/>
      <c r="C87" s="11"/>
      <c r="D87" s="11"/>
      <c r="E87" s="32"/>
      <c r="F87" s="42" t="s">
        <v>30</v>
      </c>
      <c r="G87" s="780"/>
      <c r="H87" s="781"/>
      <c r="I87" s="782"/>
      <c r="J87" s="10" t="s">
        <v>45</v>
      </c>
      <c r="K87" s="11"/>
      <c r="L87" s="11"/>
      <c r="M87" s="12"/>
      <c r="P87" s="331"/>
      <c r="Q87" s="331"/>
      <c r="S87" s="59"/>
      <c r="T87" s="122"/>
    </row>
    <row r="88" spans="2:22" ht="14.25" customHeight="1">
      <c r="B88" s="26"/>
      <c r="C88" s="368">
        <v>3</v>
      </c>
      <c r="D88" s="19">
        <f>IF(AND(C90&lt;&gt;"",C90=0),10,5)</f>
        <v>5</v>
      </c>
      <c r="E88" s="33" t="s">
        <v>54</v>
      </c>
      <c r="F88" s="34" t="s">
        <v>55</v>
      </c>
      <c r="G88" s="11"/>
      <c r="H88" s="11"/>
      <c r="I88" s="11"/>
      <c r="J88" s="11"/>
      <c r="K88" s="11"/>
      <c r="L88" s="11"/>
      <c r="M88" s="12"/>
      <c r="P88" s="331"/>
      <c r="Q88" s="331"/>
    </row>
    <row r="89" spans="2:22" ht="14.25" customHeight="1">
      <c r="B89" s="26"/>
      <c r="C89" s="11"/>
      <c r="D89" s="181" t="s">
        <v>319</v>
      </c>
      <c r="E89" s="42"/>
      <c r="F89" s="42" t="s">
        <v>30</v>
      </c>
      <c r="G89" s="780"/>
      <c r="H89" s="781"/>
      <c r="I89" s="782"/>
      <c r="J89" s="573" t="s">
        <v>118</v>
      </c>
      <c r="K89" s="11"/>
      <c r="L89" s="370"/>
      <c r="M89" s="16" t="s">
        <v>114</v>
      </c>
      <c r="P89" s="331"/>
      <c r="Q89" s="331"/>
    </row>
    <row r="90" spans="2:22" ht="14.25" customHeight="1">
      <c r="B90" s="26"/>
      <c r="C90" s="368">
        <v>3</v>
      </c>
      <c r="D90" s="19">
        <f>IF(AND(C90&lt;&gt;"",C90=0),0,5)</f>
        <v>5</v>
      </c>
      <c r="E90" s="33" t="s">
        <v>56</v>
      </c>
      <c r="F90" s="34" t="s">
        <v>57</v>
      </c>
      <c r="G90" s="11"/>
      <c r="H90" s="11"/>
      <c r="I90" s="11"/>
      <c r="J90" s="11"/>
      <c r="K90" s="11"/>
      <c r="L90" s="11"/>
      <c r="M90" s="12"/>
    </row>
    <row r="91" spans="2:22" ht="14.25">
      <c r="B91" s="26"/>
      <c r="C91" s="11"/>
      <c r="D91" s="32" t="s">
        <v>117</v>
      </c>
      <c r="E91" s="32"/>
      <c r="F91" s="42" t="s">
        <v>30</v>
      </c>
      <c r="G91" s="780"/>
      <c r="H91" s="781"/>
      <c r="I91" s="782"/>
      <c r="J91" s="10" t="s">
        <v>45</v>
      </c>
      <c r="K91" s="11"/>
      <c r="L91" s="11"/>
      <c r="M91" s="12"/>
    </row>
    <row r="92" spans="2:22" ht="14.25">
      <c r="B92" s="26"/>
      <c r="C92" s="56">
        <f>AVERAGE(C93:C95)</f>
        <v>3</v>
      </c>
      <c r="D92" s="19">
        <v>5</v>
      </c>
      <c r="E92" s="33" t="s">
        <v>58</v>
      </c>
      <c r="F92" s="34" t="s">
        <v>345</v>
      </c>
      <c r="G92" s="11"/>
      <c r="H92" s="11"/>
      <c r="I92" s="11"/>
      <c r="J92" s="11"/>
      <c r="K92" s="11"/>
      <c r="L92" s="11"/>
      <c r="M92" s="12"/>
    </row>
    <row r="93" spans="2:22" ht="14.25">
      <c r="B93" s="26"/>
      <c r="C93" s="368">
        <v>3</v>
      </c>
      <c r="D93" s="51"/>
      <c r="E93" s="52" t="s">
        <v>346</v>
      </c>
      <c r="F93" s="53" t="s">
        <v>347</v>
      </c>
      <c r="G93" s="11"/>
      <c r="H93" s="11"/>
      <c r="I93" s="11"/>
      <c r="J93" s="11"/>
      <c r="K93" s="11"/>
      <c r="L93" s="11"/>
      <c r="M93" s="12"/>
    </row>
    <row r="94" spans="2:22" ht="14.25">
      <c r="B94" s="26"/>
      <c r="D94" s="51"/>
      <c r="E94" s="33"/>
      <c r="F94" s="42" t="s">
        <v>30</v>
      </c>
      <c r="G94" s="780"/>
      <c r="H94" s="781"/>
      <c r="I94" s="782"/>
      <c r="J94" s="573" t="s">
        <v>368</v>
      </c>
      <c r="K94" s="11"/>
      <c r="L94" s="119"/>
      <c r="M94" s="16" t="s">
        <v>369</v>
      </c>
    </row>
    <row r="95" spans="2:22" ht="14.25">
      <c r="B95" s="26"/>
      <c r="C95" s="11"/>
      <c r="D95" s="51"/>
      <c r="E95" s="52" t="s">
        <v>348</v>
      </c>
      <c r="F95" s="53" t="s">
        <v>377</v>
      </c>
      <c r="G95" s="11"/>
      <c r="H95" s="11"/>
      <c r="I95" s="32" t="s">
        <v>876</v>
      </c>
      <c r="J95" s="11"/>
      <c r="K95" s="11"/>
      <c r="L95" s="11"/>
      <c r="M95" s="12"/>
    </row>
    <row r="96" spans="2:22" ht="14.25" hidden="1" customHeight="1">
      <c r="B96" s="26"/>
      <c r="C96" s="11"/>
      <c r="D96" s="32"/>
      <c r="E96" s="32"/>
      <c r="F96" s="42" t="s">
        <v>30</v>
      </c>
      <c r="G96" s="780"/>
      <c r="H96" s="781"/>
      <c r="I96" s="782"/>
      <c r="J96" s="10" t="s">
        <v>367</v>
      </c>
      <c r="K96" s="11"/>
      <c r="L96" s="119"/>
      <c r="M96" s="16" t="s">
        <v>83</v>
      </c>
    </row>
    <row r="97" spans="2:17" ht="14.25" customHeight="1">
      <c r="B97" s="26"/>
      <c r="C97" s="368">
        <v>3</v>
      </c>
      <c r="D97" s="19">
        <v>5</v>
      </c>
      <c r="E97" s="33" t="s">
        <v>59</v>
      </c>
      <c r="F97" s="34" t="s">
        <v>60</v>
      </c>
      <c r="G97" s="11"/>
      <c r="H97" s="11"/>
      <c r="I97" s="11"/>
      <c r="J97" s="11"/>
      <c r="K97" s="11"/>
      <c r="L97" s="11"/>
      <c r="M97" s="12"/>
    </row>
    <row r="98" spans="2:17" ht="14.25" customHeight="1">
      <c r="B98" s="26"/>
      <c r="C98" s="11"/>
      <c r="D98" s="32"/>
      <c r="E98" s="32"/>
      <c r="F98" s="42" t="s">
        <v>30</v>
      </c>
      <c r="G98" s="783"/>
      <c r="H98" s="784"/>
      <c r="I98" s="785"/>
      <c r="J98" s="10" t="s">
        <v>86</v>
      </c>
      <c r="K98" s="11"/>
      <c r="L98" s="119"/>
      <c r="M98" s="16" t="s">
        <v>87</v>
      </c>
    </row>
    <row r="99" spans="2:17" ht="13.9" customHeight="1">
      <c r="B99" s="26"/>
      <c r="C99" s="11"/>
      <c r="D99" s="11"/>
      <c r="E99" s="32"/>
      <c r="F99" s="11"/>
      <c r="G99" s="786"/>
      <c r="H99" s="787"/>
      <c r="I99" s="788"/>
      <c r="J99" s="11"/>
      <c r="K99" s="11"/>
      <c r="L99" s="11"/>
      <c r="M99" s="12"/>
    </row>
    <row r="100" spans="2:17" ht="14.25" customHeight="1">
      <c r="B100" s="26"/>
      <c r="C100" s="56">
        <f>C88+C90+C92+C97</f>
        <v>12</v>
      </c>
      <c r="D100" s="215">
        <f>D88+D90+D92+D97</f>
        <v>20</v>
      </c>
      <c r="E100" s="220" t="s">
        <v>22</v>
      </c>
      <c r="F100" s="11"/>
      <c r="G100" s="11"/>
      <c r="H100" s="11"/>
      <c r="I100" s="11"/>
      <c r="J100" s="11"/>
      <c r="K100" s="11"/>
      <c r="L100" s="11"/>
      <c r="M100" s="12"/>
    </row>
    <row r="101" spans="2:17" ht="6" customHeight="1">
      <c r="B101" s="26"/>
      <c r="C101" s="4"/>
      <c r="D101" s="4"/>
      <c r="E101" s="217"/>
      <c r="F101" s="4"/>
      <c r="G101" s="4"/>
      <c r="H101" s="4"/>
      <c r="I101" s="4"/>
      <c r="J101" s="4"/>
      <c r="K101" s="4"/>
      <c r="L101" s="4"/>
      <c r="M101" s="27"/>
    </row>
    <row r="102" spans="2:17" ht="17.25">
      <c r="B102" s="692"/>
      <c r="C102" s="693" t="s">
        <v>61</v>
      </c>
      <c r="D102" s="694"/>
      <c r="E102" s="695"/>
      <c r="F102" s="694"/>
      <c r="G102" s="694"/>
      <c r="H102" s="694"/>
      <c r="I102" s="694"/>
      <c r="J102" s="694"/>
      <c r="K102" s="694"/>
      <c r="L102" s="694"/>
      <c r="M102" s="696"/>
      <c r="N102" s="1"/>
      <c r="P102" s="718" t="s">
        <v>95</v>
      </c>
      <c r="Q102" s="332"/>
    </row>
    <row r="103" spans="2:17" ht="15" customHeight="1">
      <c r="B103" s="26"/>
      <c r="C103" s="31" t="s">
        <v>24</v>
      </c>
      <c r="D103" s="10" t="s">
        <v>25</v>
      </c>
      <c r="E103" s="32"/>
      <c r="F103" s="11"/>
      <c r="G103" s="11"/>
      <c r="H103" s="11"/>
      <c r="I103" s="11"/>
      <c r="J103" s="31" t="s">
        <v>26</v>
      </c>
      <c r="K103" s="11"/>
      <c r="L103" s="31" t="s">
        <v>27</v>
      </c>
      <c r="M103" s="12"/>
      <c r="N103" s="1"/>
      <c r="P103" s="802"/>
      <c r="Q103" s="803"/>
    </row>
    <row r="104" spans="2:17" ht="15" customHeight="1">
      <c r="B104" s="26"/>
      <c r="C104" s="367"/>
      <c r="D104" s="11"/>
      <c r="E104" s="214" t="s">
        <v>28</v>
      </c>
      <c r="F104" s="11"/>
      <c r="G104" s="11" t="s">
        <v>883</v>
      </c>
      <c r="H104" s="11"/>
      <c r="I104" s="11"/>
      <c r="J104" s="11"/>
      <c r="K104" s="11"/>
      <c r="L104" s="11"/>
      <c r="M104" s="12"/>
      <c r="N104" s="1"/>
      <c r="P104" s="802"/>
      <c r="Q104" s="803"/>
    </row>
    <row r="105" spans="2:17" ht="15" customHeight="1">
      <c r="B105" s="26"/>
      <c r="C105" s="11"/>
      <c r="D105" s="11"/>
      <c r="E105" s="32"/>
      <c r="F105" s="42" t="s">
        <v>30</v>
      </c>
      <c r="G105" s="794"/>
      <c r="H105" s="795"/>
      <c r="I105" s="796"/>
      <c r="J105" s="10" t="s">
        <v>45</v>
      </c>
      <c r="K105" s="11"/>
      <c r="L105" s="11"/>
      <c r="M105" s="12"/>
      <c r="N105" s="1"/>
      <c r="P105" s="802"/>
      <c r="Q105" s="803"/>
    </row>
    <row r="106" spans="2:17" ht="15" customHeight="1">
      <c r="B106" s="26"/>
      <c r="C106" s="11"/>
      <c r="D106" s="11"/>
      <c r="E106" s="32"/>
      <c r="F106" s="11"/>
      <c r="G106" s="797"/>
      <c r="H106" s="798"/>
      <c r="I106" s="799"/>
      <c r="J106" s="11"/>
      <c r="K106" s="11"/>
      <c r="L106" s="11"/>
      <c r="M106" s="12"/>
      <c r="N106" s="1"/>
      <c r="P106" s="802"/>
      <c r="Q106" s="803"/>
    </row>
    <row r="107" spans="2:17" ht="15" customHeight="1">
      <c r="B107" s="26"/>
      <c r="C107" s="580">
        <f>IF(C108*2/3+C110*1/3&gt;D107,D107,C108*2/3+C110*1/3)</f>
        <v>3</v>
      </c>
      <c r="D107" s="333">
        <v>5</v>
      </c>
      <c r="E107" s="33" t="s">
        <v>62</v>
      </c>
      <c r="F107" s="34" t="s">
        <v>364</v>
      </c>
      <c r="G107" s="11"/>
      <c r="H107" s="11"/>
      <c r="I107" s="32" t="s">
        <v>365</v>
      </c>
      <c r="J107" s="11"/>
      <c r="K107" s="11"/>
      <c r="L107" s="11"/>
      <c r="M107" s="12"/>
      <c r="N107" s="1"/>
      <c r="P107" s="802"/>
      <c r="Q107" s="803"/>
    </row>
    <row r="108" spans="2:17" ht="15" customHeight="1">
      <c r="B108" s="26"/>
      <c r="C108" s="368">
        <v>3</v>
      </c>
      <c r="D108" s="51"/>
      <c r="E108" s="52" t="s">
        <v>362</v>
      </c>
      <c r="F108" s="53" t="s">
        <v>123</v>
      </c>
      <c r="G108" s="3"/>
      <c r="H108" s="3"/>
      <c r="I108" s="3"/>
      <c r="M108" s="12"/>
      <c r="N108" s="1"/>
      <c r="P108" s="802"/>
      <c r="Q108" s="803"/>
    </row>
    <row r="109" spans="2:17" ht="15" customHeight="1">
      <c r="B109" s="26"/>
      <c r="C109" s="11"/>
      <c r="D109" s="51"/>
      <c r="E109" s="52"/>
      <c r="F109" s="42" t="s">
        <v>30</v>
      </c>
      <c r="G109" s="780"/>
      <c r="H109" s="781"/>
      <c r="I109" s="782"/>
      <c r="J109" s="10" t="s">
        <v>63</v>
      </c>
      <c r="K109" s="11"/>
      <c r="L109" s="120"/>
      <c r="M109" s="16" t="s">
        <v>64</v>
      </c>
      <c r="N109" s="1"/>
      <c r="P109" s="802"/>
      <c r="Q109" s="803"/>
    </row>
    <row r="110" spans="2:17" ht="15" customHeight="1">
      <c r="B110" s="26"/>
      <c r="C110" s="368">
        <v>3</v>
      </c>
      <c r="D110" s="51"/>
      <c r="E110" s="52" t="s">
        <v>363</v>
      </c>
      <c r="F110" s="53" t="s">
        <v>119</v>
      </c>
      <c r="G110" s="3"/>
      <c r="H110" s="3"/>
      <c r="I110" s="3"/>
      <c r="M110" s="12"/>
      <c r="N110" s="1"/>
      <c r="P110" s="802"/>
      <c r="Q110" s="803"/>
    </row>
    <row r="111" spans="2:17" ht="15" customHeight="1">
      <c r="B111" s="26"/>
      <c r="D111" s="51"/>
      <c r="E111" s="52"/>
      <c r="F111" s="42" t="s">
        <v>30</v>
      </c>
      <c r="G111" s="780"/>
      <c r="H111" s="781"/>
      <c r="I111" s="782"/>
      <c r="J111" s="10" t="s">
        <v>88</v>
      </c>
      <c r="K111" s="11"/>
      <c r="L111" s="119"/>
      <c r="M111" s="16" t="s">
        <v>87</v>
      </c>
      <c r="N111" s="1"/>
      <c r="P111" s="802"/>
      <c r="Q111" s="803"/>
    </row>
    <row r="112" spans="2:17" ht="15" customHeight="1">
      <c r="B112" s="26"/>
      <c r="C112" s="368">
        <v>3</v>
      </c>
      <c r="D112" s="19">
        <v>5</v>
      </c>
      <c r="E112" s="33" t="s">
        <v>65</v>
      </c>
      <c r="F112" s="34" t="s">
        <v>66</v>
      </c>
      <c r="G112" s="11"/>
      <c r="H112" s="11"/>
      <c r="I112" s="11"/>
      <c r="J112" s="11"/>
      <c r="K112" s="11"/>
      <c r="L112" s="11"/>
      <c r="M112" s="12"/>
      <c r="N112" s="1"/>
      <c r="P112" s="802"/>
      <c r="Q112" s="803"/>
    </row>
    <row r="113" spans="2:17" ht="15" customHeight="1">
      <c r="B113" s="26"/>
      <c r="C113" s="11"/>
      <c r="D113" s="32"/>
      <c r="E113" s="32"/>
      <c r="F113" s="42" t="s">
        <v>30</v>
      </c>
      <c r="G113" s="780"/>
      <c r="H113" s="781"/>
      <c r="I113" s="782"/>
      <c r="J113" s="10" t="s">
        <v>366</v>
      </c>
      <c r="K113" s="11"/>
      <c r="L113" s="120"/>
      <c r="M113" s="16" t="s">
        <v>949</v>
      </c>
      <c r="N113" s="1"/>
      <c r="P113" s="802"/>
      <c r="Q113" s="803"/>
    </row>
    <row r="114" spans="2:17" ht="15" customHeight="1">
      <c r="B114" s="26"/>
      <c r="C114" s="368">
        <v>3</v>
      </c>
      <c r="D114" s="19">
        <v>5</v>
      </c>
      <c r="E114" s="33" t="s">
        <v>67</v>
      </c>
      <c r="F114" s="34" t="s">
        <v>300</v>
      </c>
      <c r="G114" s="11"/>
      <c r="H114" s="11"/>
      <c r="I114" s="11"/>
      <c r="J114" s="11"/>
      <c r="K114" s="11"/>
      <c r="L114" s="11"/>
      <c r="M114" s="12"/>
      <c r="N114" s="1"/>
      <c r="P114" s="804"/>
      <c r="Q114" s="805"/>
    </row>
    <row r="115" spans="2:17" ht="14.25">
      <c r="B115" s="26"/>
      <c r="C115" s="11"/>
      <c r="D115" s="32"/>
      <c r="E115" s="32"/>
      <c r="F115" s="42" t="s">
        <v>30</v>
      </c>
      <c r="G115" s="780"/>
      <c r="H115" s="781"/>
      <c r="I115" s="782"/>
      <c r="J115" s="10" t="s">
        <v>89</v>
      </c>
      <c r="K115" s="11"/>
      <c r="L115" s="120"/>
      <c r="M115" s="16" t="s">
        <v>90</v>
      </c>
      <c r="N115" s="1"/>
    </row>
    <row r="116" spans="2:17" ht="13.5" hidden="1" customHeight="1">
      <c r="B116" s="26"/>
      <c r="F116" s="11"/>
      <c r="G116" s="11"/>
      <c r="H116" s="11"/>
      <c r="I116" s="11"/>
      <c r="J116" s="11"/>
      <c r="K116" s="11"/>
      <c r="L116" s="11"/>
      <c r="M116" s="12"/>
      <c r="N116" s="1"/>
    </row>
    <row r="117" spans="2:17" ht="13.5" hidden="1" customHeight="1">
      <c r="B117" s="43"/>
      <c r="C117" s="1"/>
      <c r="D117" s="1"/>
      <c r="E117" s="2"/>
      <c r="F117" s="1"/>
      <c r="G117" s="4"/>
      <c r="H117" s="4"/>
      <c r="I117" s="4"/>
      <c r="J117" s="1"/>
      <c r="K117" s="1"/>
      <c r="L117" s="1"/>
      <c r="M117" s="691"/>
      <c r="N117" s="1"/>
    </row>
    <row r="118" spans="2:17" ht="13.5" hidden="1" customHeight="1">
      <c r="B118" s="43"/>
      <c r="G118" s="3"/>
      <c r="H118" s="3"/>
      <c r="I118" s="3"/>
      <c r="M118" s="44"/>
    </row>
    <row r="119" spans="2:17" ht="13.5" hidden="1" customHeight="1">
      <c r="B119" s="43"/>
      <c r="G119" s="3"/>
      <c r="H119" s="3"/>
      <c r="I119" s="3"/>
      <c r="M119" s="44"/>
    </row>
    <row r="120" spans="2:17" ht="13.5" hidden="1" customHeight="1">
      <c r="B120" s="43"/>
      <c r="G120" s="3"/>
      <c r="H120" s="3"/>
      <c r="I120" s="3"/>
      <c r="M120" s="44"/>
    </row>
    <row r="121" spans="2:17" ht="13.5" hidden="1" customHeight="1">
      <c r="B121" s="43"/>
      <c r="G121" s="3"/>
      <c r="H121" s="3"/>
      <c r="I121" s="3"/>
      <c r="M121" s="44"/>
    </row>
    <row r="122" spans="2:17" ht="13.5" hidden="1" customHeight="1">
      <c r="B122" s="43"/>
      <c r="G122" s="3"/>
      <c r="H122" s="3"/>
      <c r="I122" s="3"/>
      <c r="M122" s="44"/>
    </row>
    <row r="123" spans="2:17" ht="13.5" hidden="1" customHeight="1">
      <c r="B123" s="43"/>
      <c r="G123" s="3"/>
      <c r="H123" s="3"/>
      <c r="I123" s="3"/>
      <c r="M123" s="44"/>
    </row>
    <row r="124" spans="2:17" ht="13.5" hidden="1" customHeight="1">
      <c r="B124" s="43"/>
      <c r="G124" s="3"/>
      <c r="H124" s="3"/>
      <c r="I124" s="3"/>
      <c r="M124" s="44"/>
    </row>
    <row r="125" spans="2:17" ht="13.5" hidden="1" customHeight="1">
      <c r="B125" s="43"/>
      <c r="G125" s="3"/>
      <c r="H125" s="3"/>
      <c r="I125" s="3"/>
      <c r="M125" s="44"/>
    </row>
    <row r="126" spans="2:17" ht="13.5" hidden="1" customHeight="1">
      <c r="B126" s="43"/>
      <c r="G126" s="3"/>
      <c r="H126" s="3"/>
      <c r="I126" s="3"/>
      <c r="M126" s="44"/>
    </row>
    <row r="127" spans="2:17" ht="13.5" hidden="1" customHeight="1">
      <c r="B127" s="43"/>
      <c r="G127" s="3"/>
      <c r="H127" s="3"/>
      <c r="I127" s="3"/>
      <c r="M127" s="44"/>
    </row>
    <row r="128" spans="2:17" ht="13.5" customHeight="1">
      <c r="B128" s="43"/>
      <c r="C128" s="580">
        <f>C107+C112+C114</f>
        <v>9</v>
      </c>
      <c r="D128" s="215">
        <f>D107+D112+D114</f>
        <v>15</v>
      </c>
      <c r="E128" s="220" t="s">
        <v>22</v>
      </c>
      <c r="G128" s="3"/>
      <c r="H128" s="3"/>
      <c r="I128" s="3"/>
      <c r="M128" s="44"/>
    </row>
    <row r="129" spans="2:17" ht="7.9" customHeight="1">
      <c r="B129" s="698"/>
      <c r="C129" s="699"/>
      <c r="D129" s="699"/>
      <c r="E129" s="700"/>
      <c r="F129" s="699"/>
      <c r="G129" s="728"/>
      <c r="H129" s="728"/>
      <c r="I129" s="728"/>
      <c r="J129" s="699"/>
      <c r="K129" s="699"/>
      <c r="L129" s="699"/>
      <c r="M129" s="701"/>
    </row>
    <row r="130" spans="2:17" ht="13.5" customHeight="1">
      <c r="B130" s="692"/>
      <c r="C130" s="693" t="s">
        <v>892</v>
      </c>
      <c r="D130" s="694"/>
      <c r="E130" s="695"/>
      <c r="F130" s="694"/>
      <c r="G130" s="694"/>
      <c r="H130" s="694"/>
      <c r="I130" s="694"/>
      <c r="J130" s="694"/>
      <c r="K130" s="694"/>
      <c r="L130" s="694"/>
      <c r="M130" s="696"/>
    </row>
    <row r="131" spans="2:17" ht="13.5" customHeight="1">
      <c r="B131" s="26"/>
      <c r="C131" s="31" t="s">
        <v>24</v>
      </c>
      <c r="D131" s="10" t="s">
        <v>921</v>
      </c>
      <c r="E131" s="32"/>
      <c r="F131" s="11"/>
      <c r="G131" s="11"/>
      <c r="H131" s="11"/>
      <c r="I131" s="11"/>
      <c r="J131" s="31" t="s">
        <v>26</v>
      </c>
      <c r="K131" s="11"/>
      <c r="L131" s="31" t="s">
        <v>27</v>
      </c>
      <c r="M131" s="12"/>
    </row>
    <row r="132" spans="2:17" ht="13.5" customHeight="1">
      <c r="B132" s="26"/>
      <c r="C132" s="368"/>
      <c r="D132" s="19">
        <v>5</v>
      </c>
      <c r="E132" s="214"/>
      <c r="F132" s="42" t="s">
        <v>30</v>
      </c>
      <c r="G132" s="780"/>
      <c r="H132" s="781"/>
      <c r="I132" s="782"/>
      <c r="J132" s="697" t="s">
        <v>864</v>
      </c>
      <c r="K132" s="11" t="s">
        <v>861</v>
      </c>
      <c r="L132" s="119"/>
      <c r="M132" s="16" t="s">
        <v>114</v>
      </c>
    </row>
    <row r="133" spans="2:17" ht="13.5" customHeight="1">
      <c r="B133" s="43"/>
      <c r="C133" s="186" t="s">
        <v>871</v>
      </c>
      <c r="G133" s="780"/>
      <c r="H133" s="781"/>
      <c r="I133" s="782"/>
      <c r="K133" s="11" t="s">
        <v>924</v>
      </c>
      <c r="L133" s="119"/>
      <c r="M133" s="16" t="s">
        <v>114</v>
      </c>
    </row>
    <row r="134" spans="2:17" ht="13.9" customHeight="1">
      <c r="B134" s="43"/>
      <c r="G134" s="780"/>
      <c r="H134" s="781"/>
      <c r="I134" s="782"/>
      <c r="K134" s="11" t="s">
        <v>867</v>
      </c>
      <c r="L134" s="119"/>
      <c r="M134" s="16" t="s">
        <v>114</v>
      </c>
    </row>
    <row r="135" spans="2:17" ht="13.5" customHeight="1">
      <c r="B135" s="43"/>
      <c r="G135" s="780"/>
      <c r="H135" s="781"/>
      <c r="I135" s="782"/>
      <c r="K135" s="11" t="s">
        <v>866</v>
      </c>
      <c r="L135" s="119"/>
      <c r="M135" s="16" t="s">
        <v>114</v>
      </c>
    </row>
    <row r="136" spans="2:17" ht="13.5" customHeight="1">
      <c r="B136" s="698"/>
      <c r="C136" s="699"/>
      <c r="D136" s="699"/>
      <c r="E136" s="700"/>
      <c r="F136" s="699"/>
      <c r="G136" s="728"/>
      <c r="H136" s="728"/>
      <c r="I136" s="728"/>
      <c r="J136" s="699"/>
      <c r="K136" s="699"/>
      <c r="L136" s="699"/>
      <c r="M136" s="701"/>
    </row>
    <row r="137" spans="2:17" ht="13.5" customHeight="1">
      <c r="M137" s="173" t="str">
        <f>D7</f>
        <v>○○ビル</v>
      </c>
    </row>
    <row r="138" spans="2:17" ht="13.5" customHeight="1">
      <c r="C138" t="s">
        <v>905</v>
      </c>
      <c r="D138" t="s">
        <v>907</v>
      </c>
      <c r="N138" s="1"/>
      <c r="P138" s="716" t="s">
        <v>94</v>
      </c>
      <c r="Q138" s="717"/>
    </row>
    <row r="139" spans="2:17" ht="13.5" customHeight="1">
      <c r="C139" t="s">
        <v>903</v>
      </c>
      <c r="N139" s="1"/>
      <c r="P139" s="808"/>
      <c r="Q139" s="809"/>
    </row>
    <row r="140" spans="2:17" ht="13.5" customHeight="1">
      <c r="D140" s="741">
        <f>ROUNDDOWN(IF(G140&gt;G144,F145,IF(G140&lt;=G143,F143,G140*H143+I143)),1)</f>
        <v>25</v>
      </c>
      <c r="E140" s="211" t="s">
        <v>900</v>
      </c>
      <c r="F140" s="739" t="s">
        <v>899</v>
      </c>
      <c r="G140" s="740"/>
      <c r="H140" t="str">
        <f>"×（"&amp;H143&amp;"）＋"&amp;I143</f>
        <v>×（-25）＋40</v>
      </c>
      <c r="N140" s="1"/>
      <c r="P140" s="716" t="s">
        <v>102</v>
      </c>
      <c r="Q140" s="717"/>
    </row>
    <row r="141" spans="2:17" ht="13.5" customHeight="1">
      <c r="E141"/>
      <c r="N141" s="1"/>
      <c r="P141" s="806"/>
      <c r="Q141" s="807"/>
    </row>
    <row r="142" spans="2:17" ht="13.5" hidden="1" customHeight="1">
      <c r="F142" t="s">
        <v>898</v>
      </c>
      <c r="G142" t="s">
        <v>893</v>
      </c>
      <c r="H142" s="52" t="s">
        <v>894</v>
      </c>
      <c r="I142" s="52" t="s">
        <v>895</v>
      </c>
      <c r="M142" s="1"/>
      <c r="Q142" s="173" t="str">
        <f>D7</f>
        <v>○○ビル</v>
      </c>
    </row>
    <row r="143" spans="2:17" ht="13.5" hidden="1" customHeight="1">
      <c r="E143" t="s">
        <v>896</v>
      </c>
      <c r="F143">
        <v>25</v>
      </c>
      <c r="G143">
        <v>0.6</v>
      </c>
      <c r="H143" s="53">
        <f>(F144-F143)/(G144-G143)</f>
        <v>-25</v>
      </c>
      <c r="I143" s="53">
        <f>F144-H143*G144</f>
        <v>40</v>
      </c>
      <c r="M143" s="1"/>
    </row>
    <row r="144" spans="2:17" ht="13.5" hidden="1" customHeight="1">
      <c r="F144">
        <v>16</v>
      </c>
      <c r="G144">
        <v>0.96</v>
      </c>
      <c r="N144" s="1"/>
    </row>
    <row r="145" spans="3:14" ht="13.5" hidden="1" customHeight="1">
      <c r="E145" t="s">
        <v>897</v>
      </c>
      <c r="F145">
        <v>15</v>
      </c>
      <c r="N145" s="1"/>
    </row>
    <row r="146" spans="3:14" ht="13.5" hidden="1" customHeight="1">
      <c r="N146" s="1"/>
    </row>
    <row r="147" spans="3:14" ht="13.5" customHeight="1">
      <c r="N147" s="1"/>
    </row>
    <row r="148" spans="3:14" ht="13.5" hidden="1" customHeight="1">
      <c r="N148" s="1"/>
    </row>
    <row r="149" spans="3:14" ht="13.5" hidden="1" customHeight="1">
      <c r="N149" s="1"/>
    </row>
    <row r="150" spans="3:14" ht="13.5" hidden="1" customHeight="1">
      <c r="N150" s="1"/>
    </row>
    <row r="151" spans="3:14" ht="13.5" hidden="1" customHeight="1">
      <c r="N151" s="1"/>
    </row>
    <row r="152" spans="3:14" ht="13.5" hidden="1" customHeight="1">
      <c r="N152" s="1"/>
    </row>
    <row r="153" spans="3:14" ht="13.5" hidden="1" customHeight="1">
      <c r="N153" s="1"/>
    </row>
    <row r="154" spans="3:14" ht="13.5" hidden="1" customHeight="1">
      <c r="N154" s="1"/>
    </row>
    <row r="155" spans="3:14" ht="13.5" customHeight="1">
      <c r="N155" s="1"/>
    </row>
    <row r="156" spans="3:14" ht="13.5" customHeight="1">
      <c r="C156" t="s">
        <v>904</v>
      </c>
      <c r="N156" s="1"/>
    </row>
    <row r="157" spans="3:14" ht="13.5" customHeight="1">
      <c r="D157" s="741">
        <f>IF(G157&gt;G160,(ROUNDDOWN(IF(G157&gt;G163,F163,G157*H160+I160),1)),IF(OR(J157&gt;0.5,J157=""),24.9,F160))</f>
        <v>24.9</v>
      </c>
      <c r="E157" s="211" t="s">
        <v>900</v>
      </c>
      <c r="F157" s="739" t="s">
        <v>902</v>
      </c>
      <c r="G157" s="740"/>
      <c r="H157" t="str">
        <f>"×（"&amp;H160&amp;"）＋"&amp;I160</f>
        <v>×（-13.2）＋28.3</v>
      </c>
      <c r="I157" s="173" t="s">
        <v>920</v>
      </c>
      <c r="J157" s="740"/>
      <c r="N157" s="1"/>
    </row>
    <row r="158" spans="3:14">
      <c r="N158" s="1"/>
    </row>
    <row r="159" spans="3:14" hidden="1">
      <c r="F159" t="s">
        <v>898</v>
      </c>
      <c r="G159" t="s">
        <v>901</v>
      </c>
      <c r="H159" s="52" t="s">
        <v>894</v>
      </c>
      <c r="I159" s="52" t="s">
        <v>895</v>
      </c>
      <c r="N159" s="1"/>
    </row>
    <row r="160" spans="3:14" hidden="1">
      <c r="E160"/>
      <c r="F160">
        <v>25</v>
      </c>
      <c r="G160">
        <v>0.25</v>
      </c>
      <c r="H160" s="48">
        <f>IF(G157&lt;=G161,H161,IF(G157&lt;=G162,H162,H163))</f>
        <v>-13.200000000000003</v>
      </c>
      <c r="I160" s="48">
        <f>IF(G157&lt;=G161,I161,IF(G157&lt;=G162,I162,I163))</f>
        <v>28.3</v>
      </c>
      <c r="N160" s="1"/>
    </row>
    <row r="161" spans="5:14" hidden="1">
      <c r="F161">
        <v>21.7</v>
      </c>
      <c r="G161">
        <v>0.5</v>
      </c>
      <c r="H161" s="53">
        <f>(F161-F160)/(G161-G160)</f>
        <v>-13.200000000000003</v>
      </c>
      <c r="I161" s="53">
        <f>F161-H161*G161</f>
        <v>28.3</v>
      </c>
      <c r="N161" s="1"/>
    </row>
    <row r="162" spans="5:14" hidden="1">
      <c r="E162"/>
      <c r="F162">
        <v>18.3</v>
      </c>
      <c r="G162">
        <v>0.6</v>
      </c>
      <c r="H162" s="53">
        <f>(F162-F161)/(G162-G161)</f>
        <v>-33.999999999999993</v>
      </c>
      <c r="I162" s="53">
        <f>F162-H162*G162</f>
        <v>38.699999999999996</v>
      </c>
      <c r="N162" s="1"/>
    </row>
    <row r="163" spans="5:14" hidden="1">
      <c r="F163">
        <v>15</v>
      </c>
      <c r="G163">
        <v>0.8</v>
      </c>
      <c r="H163" s="53">
        <f>(F163-F162)/(G163-G162)</f>
        <v>-16.499999999999996</v>
      </c>
      <c r="I163" s="53">
        <f>F163-H163*G163</f>
        <v>28.199999999999996</v>
      </c>
      <c r="N163" s="1"/>
    </row>
    <row r="164" spans="5:14" hidden="1">
      <c r="N164" s="1"/>
    </row>
    <row r="165" spans="5:14" ht="13.5" customHeight="1">
      <c r="N165" s="1"/>
    </row>
    <row r="188" ht="4.1500000000000004" customHeight="1"/>
  </sheetData>
  <sheetProtection algorithmName="SHA-512" hashValue="FwbyQ+jKFfH7UJIUSp/IjylZyXIxJi0mUCuh628w0Fij8DskOVh7mixDYVedhuE8Vmcepk3/uAaj9tnFoH77rQ==" saltValue="JawboJIj2kPXfCNZ99qGOw==" spinCount="100000" sheet="1" formatCells="0" formatRows="0" insertRows="0"/>
  <mergeCells count="47">
    <mergeCell ref="L8:M8"/>
    <mergeCell ref="D9:G9"/>
    <mergeCell ref="D10:G10"/>
    <mergeCell ref="L11:M11"/>
    <mergeCell ref="G35:I37"/>
    <mergeCell ref="D11:G11"/>
    <mergeCell ref="G31:I33"/>
    <mergeCell ref="D8:G8"/>
    <mergeCell ref="F13:G13"/>
    <mergeCell ref="P103:Q114"/>
    <mergeCell ref="P141:Q141"/>
    <mergeCell ref="P139:Q139"/>
    <mergeCell ref="G81:I81"/>
    <mergeCell ref="G91:I91"/>
    <mergeCell ref="G89:I89"/>
    <mergeCell ref="I2:J4"/>
    <mergeCell ref="G115:I115"/>
    <mergeCell ref="G68:I68"/>
    <mergeCell ref="G72:I72"/>
    <mergeCell ref="G79:I79"/>
    <mergeCell ref="G98:I99"/>
    <mergeCell ref="G105:I106"/>
    <mergeCell ref="G109:I109"/>
    <mergeCell ref="G111:I111"/>
    <mergeCell ref="G113:I113"/>
    <mergeCell ref="G67:I67"/>
    <mergeCell ref="F12:G12"/>
    <mergeCell ref="G51:I51"/>
    <mergeCell ref="G87:I87"/>
    <mergeCell ref="G41:I41"/>
    <mergeCell ref="G47:I47"/>
    <mergeCell ref="D7:G7"/>
    <mergeCell ref="G132:I132"/>
    <mergeCell ref="G133:I133"/>
    <mergeCell ref="G134:I134"/>
    <mergeCell ref="G135:I135"/>
    <mergeCell ref="G94:I94"/>
    <mergeCell ref="G96:I96"/>
    <mergeCell ref="G49:I49"/>
    <mergeCell ref="G39:I39"/>
    <mergeCell ref="G28:I29"/>
    <mergeCell ref="G75:I75"/>
    <mergeCell ref="G77:I77"/>
    <mergeCell ref="G59:I59"/>
    <mergeCell ref="G64:I64"/>
    <mergeCell ref="G53:I53"/>
    <mergeCell ref="G62:I62"/>
  </mergeCells>
  <phoneticPr fontId="44"/>
  <dataValidations count="1">
    <dataValidation type="list" allowBlank="1" showInputMessage="1" showErrorMessage="1" sqref="C86 C27 C58 C46 C104" xr:uid="{00000000-0002-0000-0100-000000000000}">
      <formula1>$S$19:$S$20</formula1>
    </dataValidation>
  </dataValidations>
  <pageMargins left="0.86614173228346458" right="0.43307086614173229" top="0.55118110236220474" bottom="0.55118110236220474" header="0.43307086614173229" footer="0.31496062992125984"/>
  <pageSetup paperSize="9" scale="48"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AA244"/>
  <sheetViews>
    <sheetView showGridLines="0" zoomScaleNormal="100" zoomScaleSheetLayoutView="100" workbookViewId="0">
      <selection activeCell="M5" sqref="M5"/>
    </sheetView>
  </sheetViews>
  <sheetFormatPr defaultColWidth="0" defaultRowHeight="13.5" zeroHeight="1"/>
  <cols>
    <col min="1" max="1" width="1.875" customWidth="1"/>
    <col min="2" max="2" width="1.25" customWidth="1"/>
    <col min="3" max="3" width="10.625" customWidth="1"/>
    <col min="4" max="4" width="8.625" customWidth="1"/>
    <col min="5" max="5" width="5.125"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2.375" customWidth="1"/>
    <col min="19" max="26" width="7.375" hidden="1" customWidth="1"/>
    <col min="27" max="16384" width="9" hidden="1"/>
  </cols>
  <sheetData>
    <row r="1" spans="2:27">
      <c r="W1" s="41"/>
      <c r="X1" s="41" t="s">
        <v>700</v>
      </c>
    </row>
    <row r="2" spans="2:27">
      <c r="I2" s="792" t="s">
        <v>321</v>
      </c>
      <c r="W2" s="360" t="s">
        <v>686</v>
      </c>
      <c r="X2" s="171" t="str">
        <f>IF(建築環境SDGsチェックリスト!$D$3="店舗",建築環境SDGsチェックリスト!H116,"0")</f>
        <v>0</v>
      </c>
    </row>
    <row r="3" spans="2:27" ht="13.5" customHeight="1">
      <c r="I3" s="792"/>
      <c r="W3" s="360" t="s">
        <v>680</v>
      </c>
      <c r="X3" s="171" t="str">
        <f>IF(建築環境SDGsチェックリスト!$D$3="店舗",建築環境SDGsチェックリスト!H117,"0")</f>
        <v>0</v>
      </c>
    </row>
    <row r="4" spans="2:27" ht="13.5" customHeight="1">
      <c r="I4" s="792"/>
      <c r="W4" s="360" t="s">
        <v>681</v>
      </c>
      <c r="X4" s="171" t="str">
        <f>IF(建築環境SDGsチェックリスト!$D$3="店舗",建築環境SDGsチェックリスト!H118,"0")</f>
        <v>0</v>
      </c>
    </row>
    <row r="5" spans="2:27" ht="14.25">
      <c r="B5" s="3"/>
      <c r="C5" s="4"/>
      <c r="D5" s="4"/>
      <c r="E5" s="4"/>
      <c r="F5" s="4"/>
      <c r="G5" s="4"/>
      <c r="H5" s="4"/>
      <c r="I5" s="2" t="s">
        <v>1</v>
      </c>
      <c r="J5" s="4" t="str">
        <f>オフィス評価結果!J5</f>
        <v>CASBEE-不動産 2024年版</v>
      </c>
      <c r="K5" s="4"/>
      <c r="L5" s="4"/>
      <c r="M5" s="2" t="str">
        <f>オフィス評価結果!M5</f>
        <v>v1.21</v>
      </c>
      <c r="N5" s="1"/>
      <c r="P5" s="383" t="s">
        <v>722</v>
      </c>
      <c r="Q5" s="383"/>
      <c r="W5" s="360" t="s">
        <v>682</v>
      </c>
      <c r="X5" s="171" t="str">
        <f>IF(建築環境SDGsチェックリスト!$D$3="店舗",建築環境SDGsチェックリスト!H119,"0")</f>
        <v>0</v>
      </c>
    </row>
    <row r="6" spans="2:27" ht="15">
      <c r="B6" s="760"/>
      <c r="C6" s="761" t="s">
        <v>2</v>
      </c>
      <c r="D6" s="762"/>
      <c r="E6" s="762"/>
      <c r="F6" s="762"/>
      <c r="G6" s="762"/>
      <c r="H6" s="762"/>
      <c r="I6" s="762"/>
      <c r="J6" s="762"/>
      <c r="K6" s="762"/>
      <c r="L6" s="762"/>
      <c r="M6" s="764"/>
      <c r="N6" s="1"/>
      <c r="W6" s="360" t="s">
        <v>683</v>
      </c>
      <c r="X6" s="171" t="str">
        <f>IF(建築環境SDGsチェックリスト!$D$3="店舗",建築環境SDGsチェックリスト!H120,"0")</f>
        <v>0</v>
      </c>
    </row>
    <row r="7" spans="2:27" ht="14.25">
      <c r="B7" s="9"/>
      <c r="C7" s="10" t="s">
        <v>3</v>
      </c>
      <c r="D7" s="778" t="s">
        <v>600</v>
      </c>
      <c r="E7" s="779"/>
      <c r="F7" s="779"/>
      <c r="G7" s="779"/>
      <c r="H7" s="15" t="s">
        <v>4</v>
      </c>
      <c r="I7" s="765" t="s">
        <v>287</v>
      </c>
      <c r="J7" s="12" t="s">
        <v>76</v>
      </c>
      <c r="K7" s="10" t="s">
        <v>5</v>
      </c>
      <c r="L7" s="21" t="s">
        <v>108</v>
      </c>
      <c r="M7" s="25"/>
      <c r="N7" s="1"/>
      <c r="S7" s="41" t="s">
        <v>83</v>
      </c>
      <c r="T7" s="41" t="s">
        <v>93</v>
      </c>
      <c r="W7" s="360" t="s">
        <v>684</v>
      </c>
      <c r="X7" s="171" t="str">
        <f>IF(建築環境SDGsチェックリスト!$D$3="店舗",建築環境SDGsチェックリスト!H121,"0")</f>
        <v>0</v>
      </c>
    </row>
    <row r="8" spans="2:27" ht="14.25">
      <c r="B8" s="9"/>
      <c r="C8" s="10" t="s">
        <v>6</v>
      </c>
      <c r="D8" s="778" t="s">
        <v>288</v>
      </c>
      <c r="E8" s="778"/>
      <c r="F8" s="778"/>
      <c r="G8" s="778"/>
      <c r="H8" s="15" t="s">
        <v>7</v>
      </c>
      <c r="I8" s="765" t="s">
        <v>287</v>
      </c>
      <c r="J8" s="12" t="s">
        <v>76</v>
      </c>
      <c r="K8" s="10" t="s">
        <v>8</v>
      </c>
      <c r="L8" s="810" t="s">
        <v>294</v>
      </c>
      <c r="M8" s="811"/>
      <c r="N8" s="1"/>
      <c r="S8" s="41" t="str">
        <f>C25</f>
        <v>１．エネルギー／温暖化ガス</v>
      </c>
      <c r="T8" s="115">
        <f>IF(C42/D42&gt;1,1,C42/D42)</f>
        <v>0.6</v>
      </c>
      <c r="U8" s="116"/>
      <c r="W8" s="360" t="s">
        <v>685</v>
      </c>
      <c r="X8" s="171" t="str">
        <f>IF(建築環境SDGsチェックリスト!$D$3="店舗",建築環境SDGsチェックリスト!H122,"0")</f>
        <v>0</v>
      </c>
    </row>
    <row r="9" spans="2:27" ht="14.25">
      <c r="B9" s="9"/>
      <c r="C9" s="10" t="s">
        <v>9</v>
      </c>
      <c r="D9" s="778" t="s">
        <v>10</v>
      </c>
      <c r="E9" s="779"/>
      <c r="F9" s="779"/>
      <c r="G9" s="779"/>
      <c r="H9" s="15" t="s">
        <v>954</v>
      </c>
      <c r="I9" s="765" t="s">
        <v>287</v>
      </c>
      <c r="J9" s="12" t="s">
        <v>76</v>
      </c>
      <c r="K9" s="10" t="s">
        <v>11</v>
      </c>
      <c r="L9" s="21" t="s">
        <v>287</v>
      </c>
      <c r="M9" s="25"/>
      <c r="N9" s="1"/>
      <c r="S9" s="41" t="str">
        <f>C44</f>
        <v>２．水</v>
      </c>
      <c r="T9" s="115">
        <f>C54/D54</f>
        <v>0.6</v>
      </c>
      <c r="U9" s="116"/>
      <c r="W9" s="360" t="s">
        <v>692</v>
      </c>
      <c r="X9" s="171" t="str">
        <f>IF(建築環境SDGsチェックリスト!$D$3="店舗",建築環境SDGsチェックリスト!H123,"0")</f>
        <v>0</v>
      </c>
    </row>
    <row r="10" spans="2:27" ht="14.25">
      <c r="B10" s="9"/>
      <c r="C10" s="10" t="s">
        <v>14</v>
      </c>
      <c r="D10" s="778" t="s">
        <v>389</v>
      </c>
      <c r="E10" s="778"/>
      <c r="F10" s="778"/>
      <c r="G10" s="812"/>
      <c r="H10" s="15" t="s">
        <v>12</v>
      </c>
      <c r="I10" s="21" t="s">
        <v>290</v>
      </c>
      <c r="J10" s="12"/>
      <c r="K10" s="10" t="s">
        <v>120</v>
      </c>
      <c r="L10" s="202"/>
      <c r="M10" s="203"/>
      <c r="N10" s="1"/>
      <c r="S10" s="41" t="str">
        <f>C56</f>
        <v>３．資源利用／安全</v>
      </c>
      <c r="T10" s="115">
        <f>C82/D82</f>
        <v>0.55000000000000004</v>
      </c>
      <c r="U10" s="116"/>
      <c r="W10" s="360" t="s">
        <v>693</v>
      </c>
      <c r="X10" s="171" t="str">
        <f>IF(建築環境SDGsチェックリスト!$D$3="店舗",建築環境SDGsチェックリスト!H124,"0")</f>
        <v>0</v>
      </c>
    </row>
    <row r="11" spans="2:27" ht="14.25">
      <c r="B11" s="9"/>
      <c r="C11" s="10" t="s">
        <v>125</v>
      </c>
      <c r="D11" s="810" t="s">
        <v>291</v>
      </c>
      <c r="E11" s="810"/>
      <c r="F11" s="810"/>
      <c r="G11" s="810"/>
      <c r="H11" s="15" t="s">
        <v>15</v>
      </c>
      <c r="I11" s="22" t="s">
        <v>292</v>
      </c>
      <c r="J11" s="12"/>
      <c r="K11" s="10" t="s">
        <v>13</v>
      </c>
      <c r="L11" s="813" t="s">
        <v>293</v>
      </c>
      <c r="M11" s="814"/>
      <c r="N11" s="1"/>
      <c r="S11" s="41" t="str">
        <f>C84</f>
        <v>４．生物多様性／敷地</v>
      </c>
      <c r="T11" s="115">
        <f>C100/D100</f>
        <v>0.6</v>
      </c>
      <c r="U11" s="116"/>
      <c r="W11" s="360" t="s">
        <v>694</v>
      </c>
      <c r="X11" s="171" t="str">
        <f>IF(建築環境SDGsチェックリスト!$D$3="店舗",建築環境SDGsチェックリスト!H125,"0")</f>
        <v>0</v>
      </c>
    </row>
    <row r="12" spans="2:27" ht="14.25">
      <c r="B12" s="9"/>
      <c r="C12" s="10" t="s">
        <v>124</v>
      </c>
      <c r="F12" s="822" t="s">
        <v>127</v>
      </c>
      <c r="G12" s="801"/>
      <c r="H12" s="15" t="s">
        <v>296</v>
      </c>
      <c r="I12" s="117" t="s">
        <v>299</v>
      </c>
      <c r="J12" s="16" t="s">
        <v>19</v>
      </c>
      <c r="K12" s="10" t="s">
        <v>16</v>
      </c>
      <c r="L12" s="21" t="s">
        <v>287</v>
      </c>
      <c r="M12" s="55"/>
      <c r="N12" s="1"/>
      <c r="S12" s="41" t="str">
        <f>C102</f>
        <v>５．屋内環境</v>
      </c>
      <c r="T12" s="115">
        <f>C128/D128</f>
        <v>0.9</v>
      </c>
      <c r="U12" s="116"/>
      <c r="W12" s="360" t="s">
        <v>695</v>
      </c>
      <c r="X12" s="171" t="str">
        <f>IF(建築環境SDGsチェックリスト!$D$3="店舗",建築環境SDGsチェックリスト!H126,"0")</f>
        <v>0</v>
      </c>
    </row>
    <row r="13" spans="2:27" ht="14.25">
      <c r="B13" s="13"/>
      <c r="C13" s="759" t="s">
        <v>952</v>
      </c>
      <c r="D13" s="14"/>
      <c r="E13" s="14"/>
      <c r="F13" s="818" t="s">
        <v>953</v>
      </c>
      <c r="G13" s="819"/>
      <c r="H13" s="17" t="s">
        <v>297</v>
      </c>
      <c r="I13" s="24" t="s">
        <v>18</v>
      </c>
      <c r="J13" s="18" t="s">
        <v>298</v>
      </c>
      <c r="K13" s="17" t="s">
        <v>120</v>
      </c>
      <c r="L13" s="204"/>
      <c r="M13" s="205"/>
      <c r="N13" s="1"/>
      <c r="S13" s="41"/>
      <c r="T13" s="41"/>
      <c r="W13" s="360" t="s">
        <v>696</v>
      </c>
      <c r="X13" s="171" t="str">
        <f>IF(建築環境SDGsチェックリスト!$D$3="店舗",建築環境SDGsチェックリスト!H127,"0")</f>
        <v>0</v>
      </c>
      <c r="Z13" t="s">
        <v>872</v>
      </c>
    </row>
    <row r="14" spans="2:27" ht="3.95" customHeight="1">
      <c r="B14" s="3"/>
      <c r="C14" s="4"/>
      <c r="D14" s="4"/>
      <c r="E14" s="4"/>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697</v>
      </c>
      <c r="X15" s="385" t="e">
        <f>(AVERAGE(X2:X13)-1)*2+1</f>
        <v>#DIV/0!</v>
      </c>
    </row>
    <row r="16" spans="2:27" ht="3.6" customHeight="1">
      <c r="B16" s="26"/>
      <c r="E16" s="211"/>
      <c r="G16" s="4"/>
      <c r="H16" s="4"/>
      <c r="I16" s="4"/>
      <c r="M16" s="44"/>
      <c r="N16" s="1"/>
      <c r="S16" s="41" t="s">
        <v>91</v>
      </c>
      <c r="T16" s="41" t="s">
        <v>92</v>
      </c>
      <c r="W16" s="41" t="s">
        <v>698</v>
      </c>
      <c r="X16" s="171" t="e">
        <f>IF(X15=1,1,IF(X15&lt;1.5,1,IF(X15&lt;2.5,2,IF(X15&lt;3.5,3,IF(X15&lt;4.5,4,5)))))/5</f>
        <v>#DIV/0!</v>
      </c>
      <c r="Z16" s="41" t="s">
        <v>868</v>
      </c>
      <c r="AA16" s="41" t="s">
        <v>92</v>
      </c>
    </row>
    <row r="17" spans="2:27" ht="14.25">
      <c r="B17" s="26"/>
      <c r="C17" s="746">
        <f>C42+C54+C82+C100+C128</f>
        <v>61.75</v>
      </c>
      <c r="D17" s="50" t="s">
        <v>104</v>
      </c>
      <c r="E17" s="705" t="s">
        <v>22</v>
      </c>
      <c r="H17" s="4"/>
      <c r="I17" s="214" t="s">
        <v>889</v>
      </c>
      <c r="M17" s="706" t="str">
        <f>IF(Z17=0,Z13,"")</f>
        <v>評価しない</v>
      </c>
      <c r="N17" s="1"/>
      <c r="S17" s="41">
        <f>IF(C17&gt;=F19,5,IF(C17&gt;=F20,4,IF(C17&gt;=F21,3,IF(C17&gt;=F22,2,0))))</f>
        <v>3</v>
      </c>
      <c r="T17" s="41">
        <f>5-S17</f>
        <v>2</v>
      </c>
      <c r="W17" s="41" t="s">
        <v>699</v>
      </c>
      <c r="X17" s="171" t="e">
        <f>1-X16</f>
        <v>#DIV/0!</v>
      </c>
      <c r="Z17" s="702">
        <f>C132</f>
        <v>0</v>
      </c>
      <c r="AA17" s="41">
        <f>IF(M17=Z13,0,5-Z17)</f>
        <v>0</v>
      </c>
    </row>
    <row r="18" spans="2:27" ht="14.25">
      <c r="B18" s="26"/>
      <c r="C18" s="707" t="s">
        <v>105</v>
      </c>
      <c r="D18" s="708" t="s">
        <v>106</v>
      </c>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862</v>
      </c>
      <c r="K21" s="703" t="str">
        <f>IF(M17=Z13,"",L132)</f>
        <v/>
      </c>
      <c r="L21" s="32" t="s">
        <v>867</v>
      </c>
      <c r="M21" s="703" t="str">
        <f>IF(M17=Z13,"",L134)</f>
        <v/>
      </c>
      <c r="N21" s="1"/>
    </row>
    <row r="22" spans="2:27" ht="14.25">
      <c r="B22" s="43"/>
      <c r="C22" s="11" t="s">
        <v>326</v>
      </c>
      <c r="E22" s="10" t="s">
        <v>23</v>
      </c>
      <c r="F22" s="709">
        <v>50</v>
      </c>
      <c r="J22" s="32" t="s">
        <v>924</v>
      </c>
      <c r="K22" s="703" t="str">
        <f>IF(M17=Z13,"",L133)</f>
        <v/>
      </c>
      <c r="L22" s="32" t="s">
        <v>865</v>
      </c>
      <c r="M22" s="703" t="str">
        <f>IF(M17=Z13,"",L135)</f>
        <v/>
      </c>
    </row>
    <row r="23" spans="2:27" ht="14.25">
      <c r="B23" s="698"/>
      <c r="C23" s="711" t="s">
        <v>869</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0</v>
      </c>
      <c r="U24" s="41">
        <f t="shared" ref="U24:U51" si="1">IF(AND($L$35&gt;=S24,$L$35&lt;S25),T24,0)</f>
        <v>0</v>
      </c>
      <c r="W24" s="41">
        <v>0</v>
      </c>
      <c r="X24" s="48"/>
      <c r="Y24" s="48"/>
      <c r="Z24" s="48"/>
    </row>
    <row r="25" spans="2:27" ht="15">
      <c r="B25" s="5"/>
      <c r="C25" s="6" t="s">
        <v>312</v>
      </c>
      <c r="D25" s="7"/>
      <c r="E25" s="219"/>
      <c r="F25" s="7"/>
      <c r="G25" s="7"/>
      <c r="H25" s="7"/>
      <c r="I25" s="7"/>
      <c r="J25" s="7"/>
      <c r="K25" s="7"/>
      <c r="L25" s="7"/>
      <c r="M25" s="8"/>
      <c r="S25" s="118">
        <f t="shared" si="0"/>
        <v>200</v>
      </c>
      <c r="T25" s="41">
        <f t="shared" ref="T25:T51" si="2">IF($I$9&gt;=30000,Z25,IF($I$9&gt;=10000,Y25,X25))</f>
        <v>0</v>
      </c>
      <c r="U25" s="41">
        <f t="shared" si="1"/>
        <v>0</v>
      </c>
      <c r="W25" s="41">
        <v>200</v>
      </c>
      <c r="X25" s="48"/>
      <c r="Y25" s="48"/>
      <c r="Z25" s="48"/>
    </row>
    <row r="26" spans="2:27" ht="14.25">
      <c r="B26" s="26"/>
      <c r="C26" s="31" t="s">
        <v>24</v>
      </c>
      <c r="D26" s="10" t="s">
        <v>25</v>
      </c>
      <c r="E26" s="32"/>
      <c r="F26" s="11"/>
      <c r="G26" s="11"/>
      <c r="H26" s="11"/>
      <c r="I26" s="11"/>
      <c r="J26" s="31" t="s">
        <v>26</v>
      </c>
      <c r="K26" s="11" t="s">
        <v>70</v>
      </c>
      <c r="L26" s="31" t="s">
        <v>27</v>
      </c>
      <c r="M26" s="12"/>
      <c r="S26" s="118">
        <f t="shared" si="0"/>
        <v>400</v>
      </c>
      <c r="T26" s="41">
        <f t="shared" si="2"/>
        <v>0</v>
      </c>
      <c r="U26" s="41">
        <f t="shared" si="1"/>
        <v>0</v>
      </c>
      <c r="W26" s="41">
        <v>400</v>
      </c>
      <c r="X26" s="48"/>
      <c r="Y26" s="48"/>
      <c r="Z26" s="48"/>
    </row>
    <row r="27" spans="2:27" ht="14.25">
      <c r="B27" s="26"/>
      <c r="C27" s="20"/>
      <c r="D27" s="11"/>
      <c r="E27" s="214" t="s">
        <v>28</v>
      </c>
      <c r="F27" s="11"/>
      <c r="G27" s="11" t="s">
        <v>875</v>
      </c>
      <c r="H27" s="11"/>
      <c r="I27" s="11"/>
      <c r="J27" s="11"/>
      <c r="K27" s="11"/>
      <c r="L27" s="11"/>
      <c r="M27" s="12"/>
      <c r="S27" s="118">
        <f t="shared" ref="S27:S35" si="3">W27</f>
        <v>600</v>
      </c>
      <c r="T27" s="41">
        <f t="shared" ref="T27:T35" si="4">IF($I$9&gt;=30000,Z27,IF($I$9&gt;=10000,Y27,X27))</f>
        <v>0</v>
      </c>
      <c r="U27" s="41">
        <f t="shared" si="1"/>
        <v>0</v>
      </c>
      <c r="W27" s="41">
        <v>600</v>
      </c>
      <c r="X27" s="48"/>
      <c r="Y27" s="48"/>
      <c r="Z27" s="48"/>
    </row>
    <row r="28" spans="2:27" ht="14.25">
      <c r="B28" s="26"/>
      <c r="C28" s="49"/>
      <c r="D28" s="19" t="s">
        <v>72</v>
      </c>
      <c r="E28" s="32"/>
      <c r="F28" s="42" t="s">
        <v>30</v>
      </c>
      <c r="G28" s="783"/>
      <c r="H28" s="784"/>
      <c r="I28" s="785"/>
      <c r="J28" s="10" t="s">
        <v>71</v>
      </c>
      <c r="K28" s="11"/>
      <c r="L28" s="119"/>
      <c r="M28" s="12" t="s">
        <v>80</v>
      </c>
      <c r="S28" s="118">
        <f t="shared" si="3"/>
        <v>800</v>
      </c>
      <c r="T28" s="41">
        <f t="shared" si="4"/>
        <v>0</v>
      </c>
      <c r="U28" s="41">
        <f t="shared" si="1"/>
        <v>0</v>
      </c>
      <c r="W28" s="41">
        <v>800</v>
      </c>
      <c r="X28" s="48"/>
      <c r="Y28" s="48"/>
      <c r="Z28" s="48"/>
    </row>
    <row r="29" spans="2:27" ht="14.25">
      <c r="B29" s="26"/>
      <c r="E29" s="32"/>
      <c r="F29" s="11"/>
      <c r="G29" s="786"/>
      <c r="H29" s="787"/>
      <c r="I29" s="788"/>
      <c r="J29" s="11"/>
      <c r="K29" s="11"/>
      <c r="L29" s="11"/>
      <c r="M29" s="12"/>
      <c r="S29" s="118">
        <f t="shared" si="3"/>
        <v>1000</v>
      </c>
      <c r="T29" s="41">
        <f t="shared" si="4"/>
        <v>0</v>
      </c>
      <c r="U29" s="41">
        <f t="shared" si="1"/>
        <v>0</v>
      </c>
      <c r="W29" s="41">
        <v>1000</v>
      </c>
      <c r="X29" s="48"/>
      <c r="Y29" s="48"/>
      <c r="Z29" s="48"/>
    </row>
    <row r="30" spans="2:27" ht="14.25">
      <c r="B30" s="26"/>
      <c r="C30" s="49">
        <v>15</v>
      </c>
      <c r="D30" s="19">
        <v>25</v>
      </c>
      <c r="E30" s="33">
        <v>1.1000000000000001</v>
      </c>
      <c r="F30" s="34" t="s">
        <v>31</v>
      </c>
      <c r="G30" s="11"/>
      <c r="H30" s="11"/>
      <c r="I30" s="11"/>
      <c r="J30" s="11"/>
      <c r="K30" s="11"/>
      <c r="L30" s="11"/>
      <c r="M30" s="12"/>
      <c r="S30" s="118">
        <f t="shared" si="3"/>
        <v>1200</v>
      </c>
      <c r="T30" s="41">
        <f t="shared" si="4"/>
        <v>0</v>
      </c>
      <c r="U30" s="41">
        <f t="shared" si="1"/>
        <v>0</v>
      </c>
      <c r="W30" s="41">
        <v>1200</v>
      </c>
      <c r="X30" s="48"/>
      <c r="Y30" s="48"/>
      <c r="Z30" s="48"/>
    </row>
    <row r="31" spans="2:27" ht="14.25">
      <c r="B31" s="26"/>
      <c r="C31" s="11"/>
      <c r="D31" s="32"/>
      <c r="E31" s="32"/>
      <c r="F31" s="42" t="s">
        <v>30</v>
      </c>
      <c r="G31" s="783"/>
      <c r="H31" s="784"/>
      <c r="I31" s="785"/>
      <c r="J31" s="10" t="s">
        <v>73</v>
      </c>
      <c r="K31" s="11"/>
      <c r="L31" s="120"/>
      <c r="M31" s="12" t="s">
        <v>80</v>
      </c>
      <c r="S31" s="118">
        <f t="shared" si="3"/>
        <v>1400</v>
      </c>
      <c r="T31" s="41">
        <f t="shared" si="4"/>
        <v>0</v>
      </c>
      <c r="U31" s="41">
        <f t="shared" si="1"/>
        <v>0</v>
      </c>
      <c r="W31" s="41">
        <v>1400</v>
      </c>
      <c r="X31" s="48"/>
      <c r="Y31" s="48"/>
      <c r="Z31" s="48"/>
    </row>
    <row r="32" spans="2:27" ht="14.25">
      <c r="B32" s="26"/>
      <c r="C32" s="11"/>
      <c r="D32" s="11"/>
      <c r="E32" s="32"/>
      <c r="F32" s="11"/>
      <c r="G32" s="815"/>
      <c r="H32" s="816"/>
      <c r="I32" s="817"/>
      <c r="J32" s="10" t="s">
        <v>74</v>
      </c>
      <c r="K32" s="11"/>
      <c r="L32" s="120"/>
      <c r="M32" s="12" t="s">
        <v>81</v>
      </c>
      <c r="S32" s="118">
        <f t="shared" si="3"/>
        <v>1600</v>
      </c>
      <c r="T32" s="41">
        <f t="shared" si="4"/>
        <v>0</v>
      </c>
      <c r="U32" s="41">
        <f t="shared" si="1"/>
        <v>0</v>
      </c>
      <c r="W32" s="41">
        <v>1600</v>
      </c>
      <c r="X32" s="48"/>
      <c r="Y32" s="48"/>
      <c r="Z32" s="48"/>
    </row>
    <row r="33" spans="2:26" ht="15.75">
      <c r="B33" s="26"/>
      <c r="C33" s="11"/>
      <c r="D33" s="11"/>
      <c r="E33" s="32"/>
      <c r="F33" s="11"/>
      <c r="G33" s="786"/>
      <c r="H33" s="787"/>
      <c r="I33" s="788"/>
      <c r="J33" s="10" t="s">
        <v>890</v>
      </c>
      <c r="K33" s="11"/>
      <c r="L33" s="120"/>
      <c r="M33" s="12" t="s">
        <v>891</v>
      </c>
      <c r="S33" s="118">
        <f t="shared" si="3"/>
        <v>1800</v>
      </c>
      <c r="T33" s="41">
        <f t="shared" si="4"/>
        <v>0</v>
      </c>
      <c r="U33" s="41">
        <f t="shared" si="1"/>
        <v>0</v>
      </c>
      <c r="W33" s="41">
        <v>1800</v>
      </c>
      <c r="X33" s="48"/>
      <c r="Y33" s="48"/>
      <c r="Z33" s="48"/>
    </row>
    <row r="34" spans="2:26" ht="14.25">
      <c r="B34" s="26"/>
      <c r="C34" s="49">
        <v>3</v>
      </c>
      <c r="D34" s="19">
        <v>5</v>
      </c>
      <c r="E34" s="33" t="s">
        <v>32</v>
      </c>
      <c r="F34" s="34" t="s">
        <v>33</v>
      </c>
      <c r="G34" s="11"/>
      <c r="H34" s="11"/>
      <c r="I34" s="11"/>
      <c r="J34" s="11"/>
      <c r="K34" s="11"/>
      <c r="L34" s="11"/>
      <c r="M34" s="12"/>
      <c r="S34" s="118">
        <f t="shared" si="3"/>
        <v>2000</v>
      </c>
      <c r="T34" s="41">
        <f t="shared" si="4"/>
        <v>0</v>
      </c>
      <c r="U34" s="41">
        <f t="shared" si="1"/>
        <v>0</v>
      </c>
      <c r="W34" s="41">
        <v>2000</v>
      </c>
      <c r="X34" s="48"/>
      <c r="Y34" s="48"/>
      <c r="Z34" s="48"/>
    </row>
    <row r="35" spans="2:26" ht="14.25">
      <c r="B35" s="26"/>
      <c r="C35" s="11"/>
      <c r="D35" s="32"/>
      <c r="E35" s="32"/>
      <c r="F35" s="42" t="s">
        <v>30</v>
      </c>
      <c r="G35" s="823"/>
      <c r="H35" s="784"/>
      <c r="I35" s="785"/>
      <c r="J35" s="10" t="s">
        <v>75</v>
      </c>
      <c r="K35" s="11"/>
      <c r="L35" s="120"/>
      <c r="M35" s="12" t="s">
        <v>80</v>
      </c>
      <c r="S35" s="118">
        <f t="shared" si="3"/>
        <v>2200</v>
      </c>
      <c r="T35" s="41">
        <f t="shared" si="4"/>
        <v>0</v>
      </c>
      <c r="U35" s="41">
        <f t="shared" si="1"/>
        <v>0</v>
      </c>
      <c r="W35" s="41">
        <v>2200</v>
      </c>
      <c r="X35" s="48"/>
      <c r="Y35" s="48"/>
      <c r="Z35" s="48"/>
    </row>
    <row r="36" spans="2:26" ht="14.25">
      <c r="B36" s="26"/>
      <c r="C36" s="11"/>
      <c r="D36" s="11"/>
      <c r="E36" s="32"/>
      <c r="F36" s="11"/>
      <c r="G36" s="815"/>
      <c r="H36" s="816"/>
      <c r="I36" s="817"/>
      <c r="J36" s="10" t="s">
        <v>74</v>
      </c>
      <c r="K36" s="11"/>
      <c r="L36" s="120"/>
      <c r="M36" s="12" t="s">
        <v>81</v>
      </c>
      <c r="S36" s="118">
        <f t="shared" si="0"/>
        <v>2400</v>
      </c>
      <c r="T36" s="41">
        <f t="shared" si="2"/>
        <v>0</v>
      </c>
      <c r="U36" s="41">
        <f t="shared" si="1"/>
        <v>0</v>
      </c>
      <c r="W36" s="41">
        <v>2400</v>
      </c>
      <c r="X36" s="48"/>
      <c r="Y36" s="48"/>
      <c r="Z36" s="48"/>
    </row>
    <row r="37" spans="2:26" ht="15.75">
      <c r="B37" s="26"/>
      <c r="C37" s="11"/>
      <c r="D37" s="11"/>
      <c r="E37" s="32"/>
      <c r="F37" s="11"/>
      <c r="G37" s="786"/>
      <c r="H37" s="787"/>
      <c r="I37" s="788"/>
      <c r="J37" s="10" t="s">
        <v>890</v>
      </c>
      <c r="K37" s="11"/>
      <c r="L37" s="120"/>
      <c r="M37" s="12" t="s">
        <v>891</v>
      </c>
      <c r="S37" s="118">
        <f t="shared" si="0"/>
        <v>2600</v>
      </c>
      <c r="T37" s="41">
        <f t="shared" si="2"/>
        <v>0</v>
      </c>
      <c r="U37" s="41">
        <f t="shared" si="1"/>
        <v>0</v>
      </c>
      <c r="W37" s="47">
        <v>2600</v>
      </c>
      <c r="X37" s="48"/>
      <c r="Y37" s="48"/>
      <c r="Z37" s="48"/>
    </row>
    <row r="38" spans="2:26" ht="14.25">
      <c r="B38" s="26"/>
      <c r="C38" s="11"/>
      <c r="D38" s="19">
        <v>0</v>
      </c>
      <c r="E38" s="33">
        <v>1.3</v>
      </c>
      <c r="F38" s="34" t="s">
        <v>356</v>
      </c>
      <c r="G38" s="11"/>
      <c r="H38" s="11"/>
      <c r="I38" s="32" t="s">
        <v>876</v>
      </c>
      <c r="J38" s="11"/>
      <c r="K38" s="11"/>
      <c r="L38" s="11"/>
      <c r="M38" s="12"/>
      <c r="S38" s="118">
        <f t="shared" si="0"/>
        <v>2800</v>
      </c>
      <c r="T38" s="41">
        <f t="shared" si="2"/>
        <v>0</v>
      </c>
      <c r="U38" s="41">
        <f t="shared" si="1"/>
        <v>0</v>
      </c>
      <c r="W38" s="41">
        <v>2800</v>
      </c>
      <c r="X38" s="48"/>
      <c r="Y38" s="48"/>
      <c r="Z38" s="48"/>
    </row>
    <row r="39" spans="2:26" ht="14.25" hidden="1">
      <c r="B39" s="26"/>
      <c r="C39" s="11"/>
      <c r="D39" s="32"/>
      <c r="E39" s="32"/>
      <c r="F39" s="42" t="s">
        <v>30</v>
      </c>
      <c r="G39" s="780"/>
      <c r="H39" s="781"/>
      <c r="I39" s="782"/>
      <c r="J39" s="10" t="s">
        <v>339</v>
      </c>
      <c r="K39" s="11"/>
      <c r="L39" s="120"/>
      <c r="M39" s="16" t="s">
        <v>83</v>
      </c>
      <c r="S39" s="118">
        <f t="shared" si="0"/>
        <v>3000</v>
      </c>
      <c r="T39" s="41">
        <f t="shared" si="2"/>
        <v>0</v>
      </c>
      <c r="U39" s="41">
        <f t="shared" si="1"/>
        <v>0</v>
      </c>
      <c r="W39" s="41">
        <v>3000</v>
      </c>
      <c r="X39" s="48"/>
      <c r="Y39" s="48"/>
      <c r="Z39" s="48"/>
    </row>
    <row r="40" spans="2:26" ht="14.25">
      <c r="B40" s="26"/>
      <c r="C40" s="49">
        <v>3</v>
      </c>
      <c r="D40" s="19">
        <v>5</v>
      </c>
      <c r="E40" s="33">
        <v>1.4</v>
      </c>
      <c r="F40" s="34" t="s">
        <v>859</v>
      </c>
      <c r="G40" s="11"/>
      <c r="H40" s="11"/>
      <c r="I40" s="11"/>
      <c r="J40" s="11"/>
      <c r="K40" s="11"/>
      <c r="L40" s="11"/>
      <c r="M40" s="12"/>
      <c r="S40" s="118">
        <f t="shared" si="0"/>
        <v>3200</v>
      </c>
      <c r="T40" s="41">
        <f t="shared" si="2"/>
        <v>0</v>
      </c>
      <c r="U40" s="41">
        <f t="shared" si="1"/>
        <v>0</v>
      </c>
      <c r="W40" s="41">
        <v>3200</v>
      </c>
      <c r="X40" s="48"/>
      <c r="Y40" s="48"/>
      <c r="Z40" s="48"/>
    </row>
    <row r="41" spans="2:26" ht="14.25">
      <c r="B41" s="26"/>
      <c r="C41" s="11"/>
      <c r="D41" s="32"/>
      <c r="E41" s="32"/>
      <c r="F41" s="42" t="s">
        <v>30</v>
      </c>
      <c r="G41" s="780"/>
      <c r="H41" s="781"/>
      <c r="I41" s="782"/>
      <c r="J41" s="10" t="s">
        <v>34</v>
      </c>
      <c r="K41" s="11"/>
      <c r="L41" s="120"/>
      <c r="M41" s="12" t="s">
        <v>35</v>
      </c>
      <c r="S41" s="118">
        <f t="shared" si="0"/>
        <v>3400</v>
      </c>
      <c r="T41" s="41">
        <f t="shared" si="2"/>
        <v>0</v>
      </c>
      <c r="U41" s="41">
        <f t="shared" si="1"/>
        <v>0</v>
      </c>
      <c r="W41" s="41">
        <v>3400</v>
      </c>
      <c r="X41" s="48"/>
      <c r="Y41" s="48"/>
      <c r="Z41" s="48"/>
    </row>
    <row r="42" spans="2:26" ht="14.25">
      <c r="B42" s="26"/>
      <c r="C42" s="56">
        <f>C28+C30+C34+C38+C40</f>
        <v>21</v>
      </c>
      <c r="D42" s="215">
        <f>D30+D34+D38+D40</f>
        <v>35</v>
      </c>
      <c r="E42" s="220" t="s">
        <v>22</v>
      </c>
      <c r="F42" s="11"/>
      <c r="G42" s="11"/>
      <c r="H42" s="11"/>
      <c r="I42" s="11"/>
      <c r="J42" s="11"/>
      <c r="K42" s="11"/>
      <c r="L42" s="11"/>
      <c r="M42" s="12"/>
      <c r="S42" s="118">
        <f t="shared" si="0"/>
        <v>3600</v>
      </c>
      <c r="T42" s="41">
        <f t="shared" si="2"/>
        <v>0</v>
      </c>
      <c r="U42" s="41">
        <f t="shared" si="1"/>
        <v>0</v>
      </c>
      <c r="W42" s="41">
        <v>3600</v>
      </c>
      <c r="X42" s="48"/>
      <c r="Y42" s="48"/>
      <c r="Z42" s="48"/>
    </row>
    <row r="43" spans="2:26" ht="7.15" customHeight="1">
      <c r="B43" s="26"/>
      <c r="C43" s="4"/>
      <c r="D43" s="4"/>
      <c r="E43" s="217"/>
      <c r="F43" s="4"/>
      <c r="G43" s="4"/>
      <c r="H43" s="4"/>
      <c r="I43" s="4"/>
      <c r="J43" s="4"/>
      <c r="K43" s="4"/>
      <c r="L43" s="4"/>
      <c r="M43" s="27"/>
      <c r="S43" s="118">
        <f t="shared" si="0"/>
        <v>3800</v>
      </c>
      <c r="T43" s="41">
        <f t="shared" si="2"/>
        <v>0</v>
      </c>
      <c r="U43" s="41">
        <f t="shared" si="1"/>
        <v>0</v>
      </c>
      <c r="W43" s="41">
        <v>3800</v>
      </c>
      <c r="X43" s="48"/>
      <c r="Y43" s="48"/>
      <c r="Z43" s="48"/>
    </row>
    <row r="44" spans="2:26" ht="15">
      <c r="B44" s="35"/>
      <c r="C44" s="36" t="s">
        <v>36</v>
      </c>
      <c r="D44" s="37"/>
      <c r="E44" s="221"/>
      <c r="F44" s="37"/>
      <c r="G44" s="37"/>
      <c r="H44" s="37"/>
      <c r="I44" s="37"/>
      <c r="J44" s="37"/>
      <c r="K44" s="37"/>
      <c r="L44" s="37"/>
      <c r="M44" s="38"/>
      <c r="S44" s="118">
        <f t="shared" si="0"/>
        <v>4000</v>
      </c>
      <c r="T44" s="41">
        <f t="shared" si="2"/>
        <v>0</v>
      </c>
      <c r="U44" s="41">
        <f t="shared" si="1"/>
        <v>0</v>
      </c>
      <c r="W44" s="41">
        <v>4000</v>
      </c>
      <c r="X44" s="48"/>
      <c r="Y44" s="48"/>
      <c r="Z44" s="48"/>
    </row>
    <row r="45" spans="2:26" ht="14.25">
      <c r="B45" s="26"/>
      <c r="C45" s="31" t="s">
        <v>24</v>
      </c>
      <c r="D45" s="10" t="s">
        <v>25</v>
      </c>
      <c r="E45" s="32"/>
      <c r="F45" s="11"/>
      <c r="G45" s="11"/>
      <c r="H45" s="11"/>
      <c r="I45" s="11"/>
      <c r="J45" s="31" t="s">
        <v>26</v>
      </c>
      <c r="K45" s="11"/>
      <c r="L45" s="31" t="s">
        <v>27</v>
      </c>
      <c r="M45" s="12"/>
      <c r="S45" s="118">
        <f>W45</f>
        <v>4200</v>
      </c>
      <c r="T45" s="41">
        <f>IF($I$9&gt;=30000,Z45,IF($I$9&gt;=10000,Y45,X45))</f>
        <v>0</v>
      </c>
      <c r="U45" s="41">
        <f t="shared" si="1"/>
        <v>0</v>
      </c>
      <c r="W45" s="41">
        <v>4200</v>
      </c>
      <c r="X45" s="48"/>
      <c r="Y45" s="48"/>
      <c r="Z45" s="48"/>
    </row>
    <row r="46" spans="2:26" ht="14.25">
      <c r="B46" s="26"/>
      <c r="C46" s="20"/>
      <c r="D46" s="11"/>
      <c r="E46" s="214" t="s">
        <v>28</v>
      </c>
      <c r="F46" s="11"/>
      <c r="G46" s="11" t="s">
        <v>877</v>
      </c>
      <c r="H46" s="11"/>
      <c r="I46" s="11"/>
      <c r="J46" s="11"/>
      <c r="K46" s="11"/>
      <c r="L46" s="11"/>
      <c r="M46" s="12"/>
      <c r="S46" s="118">
        <f>W46</f>
        <v>4400</v>
      </c>
      <c r="T46" s="41">
        <f>IF($I$9&gt;=30000,Z46,IF($I$9&gt;=10000,Y46,X46))</f>
        <v>0</v>
      </c>
      <c r="U46" s="41">
        <f t="shared" si="1"/>
        <v>0</v>
      </c>
      <c r="W46" s="41">
        <v>4400</v>
      </c>
      <c r="X46" s="48"/>
      <c r="Y46" s="48"/>
      <c r="Z46" s="48"/>
    </row>
    <row r="47" spans="2:26" ht="14.25">
      <c r="B47" s="26"/>
      <c r="C47" s="11"/>
      <c r="D47" s="11"/>
      <c r="E47" s="32"/>
      <c r="F47" s="42" t="s">
        <v>30</v>
      </c>
      <c r="G47" s="780"/>
      <c r="H47" s="781"/>
      <c r="I47" s="782"/>
      <c r="J47" s="10" t="s">
        <v>38</v>
      </c>
      <c r="K47" s="11"/>
      <c r="L47" s="120"/>
      <c r="M47" s="12" t="s">
        <v>82</v>
      </c>
      <c r="S47" s="118">
        <f>W47</f>
        <v>4600</v>
      </c>
      <c r="T47" s="41">
        <f>IF($I$9&gt;=30000,Z47,IF($I$9&gt;=10000,Y47,X47))</f>
        <v>0</v>
      </c>
      <c r="U47" s="41">
        <f t="shared" si="1"/>
        <v>0</v>
      </c>
      <c r="W47" s="41">
        <v>4600</v>
      </c>
      <c r="X47" s="48"/>
      <c r="Y47" s="48"/>
      <c r="Z47" s="48"/>
    </row>
    <row r="48" spans="2:26" ht="14.25">
      <c r="B48" s="26"/>
      <c r="C48" s="49">
        <v>3</v>
      </c>
      <c r="D48" s="19">
        <v>5</v>
      </c>
      <c r="E48" s="33" t="s">
        <v>39</v>
      </c>
      <c r="F48" s="34" t="s">
        <v>40</v>
      </c>
      <c r="G48" s="11"/>
      <c r="H48" s="11"/>
      <c r="I48" s="11"/>
      <c r="J48" s="11"/>
      <c r="K48" s="11"/>
      <c r="L48" s="11"/>
      <c r="M48" s="12"/>
      <c r="S48" s="118">
        <f>W48</f>
        <v>4800</v>
      </c>
      <c r="T48" s="41">
        <f>IF($I$9&gt;=30000,Z48,IF($I$9&gt;=10000,Y48,X48))</f>
        <v>0</v>
      </c>
      <c r="U48" s="41">
        <f t="shared" si="1"/>
        <v>0</v>
      </c>
      <c r="W48" s="41">
        <v>4800</v>
      </c>
      <c r="X48" s="48"/>
      <c r="Y48" s="48"/>
      <c r="Z48" s="48"/>
    </row>
    <row r="49" spans="2:26" ht="14.25">
      <c r="B49" s="26"/>
      <c r="C49" s="11"/>
      <c r="D49" s="32"/>
      <c r="E49" s="32"/>
      <c r="F49" s="42" t="s">
        <v>30</v>
      </c>
      <c r="G49" s="780"/>
      <c r="H49" s="781"/>
      <c r="I49" s="782"/>
      <c r="J49" s="10" t="s">
        <v>41</v>
      </c>
      <c r="K49" s="11"/>
      <c r="L49" s="120"/>
      <c r="M49" s="12" t="s">
        <v>82</v>
      </c>
      <c r="S49" s="118">
        <f t="shared" si="0"/>
        <v>5000</v>
      </c>
      <c r="T49" s="41">
        <f t="shared" si="2"/>
        <v>0</v>
      </c>
      <c r="U49" s="41">
        <f t="shared" si="1"/>
        <v>0</v>
      </c>
      <c r="W49" s="41">
        <v>5000</v>
      </c>
      <c r="X49" s="48"/>
      <c r="Y49" s="48"/>
      <c r="Z49" s="48"/>
    </row>
    <row r="50" spans="2:26" ht="14.25">
      <c r="B50" s="26"/>
      <c r="C50" s="11"/>
      <c r="D50" s="19">
        <v>0</v>
      </c>
      <c r="E50" s="33">
        <v>2.2000000000000002</v>
      </c>
      <c r="F50" s="34" t="s">
        <v>340</v>
      </c>
      <c r="G50" s="11"/>
      <c r="H50" s="11"/>
      <c r="I50" s="32" t="s">
        <v>876</v>
      </c>
      <c r="J50" s="11"/>
      <c r="K50" s="11"/>
      <c r="L50" s="11"/>
      <c r="M50" s="12"/>
      <c r="S50" s="118">
        <f t="shared" si="0"/>
        <v>5200</v>
      </c>
      <c r="T50" s="41">
        <f>IF($I$9&gt;=30000,Z50,IF($I$9&gt;=10000,Y50,X50))</f>
        <v>0</v>
      </c>
      <c r="U50" s="41">
        <f t="shared" si="1"/>
        <v>0</v>
      </c>
      <c r="W50" s="41">
        <v>5200</v>
      </c>
      <c r="X50" s="48"/>
      <c r="Y50" s="48"/>
      <c r="Z50" s="48"/>
    </row>
    <row r="51" spans="2:26" ht="14.25" hidden="1">
      <c r="B51" s="26"/>
      <c r="C51" s="11"/>
      <c r="D51" s="32"/>
      <c r="E51" s="32"/>
      <c r="F51" s="42" t="s">
        <v>30</v>
      </c>
      <c r="G51" s="780"/>
      <c r="H51" s="781"/>
      <c r="I51" s="782"/>
      <c r="J51" s="10" t="s">
        <v>41</v>
      </c>
      <c r="K51" s="11"/>
      <c r="L51" s="120"/>
      <c r="M51" s="12" t="s">
        <v>82</v>
      </c>
      <c r="S51" s="118">
        <f t="shared" si="0"/>
        <v>5400</v>
      </c>
      <c r="T51" s="41">
        <f t="shared" si="2"/>
        <v>0</v>
      </c>
      <c r="U51" s="41">
        <f t="shared" si="1"/>
        <v>0</v>
      </c>
      <c r="W51" s="41">
        <v>5400</v>
      </c>
      <c r="X51" s="48"/>
      <c r="Y51" s="48"/>
      <c r="Z51" s="48"/>
    </row>
    <row r="52" spans="2:26" ht="14.25">
      <c r="B52" s="26"/>
      <c r="C52" s="49">
        <v>3</v>
      </c>
      <c r="D52" s="19">
        <v>5</v>
      </c>
      <c r="E52" s="33">
        <v>2.2999999999999998</v>
      </c>
      <c r="F52" s="34" t="s">
        <v>42</v>
      </c>
      <c r="G52" s="11"/>
      <c r="H52" s="11"/>
      <c r="I52" s="11"/>
      <c r="J52" s="11"/>
      <c r="K52" s="11"/>
      <c r="L52" s="11"/>
      <c r="M52" s="12"/>
      <c r="S52" s="121"/>
    </row>
    <row r="53" spans="2:26" ht="14.25">
      <c r="B53" s="26"/>
      <c r="C53" s="11"/>
      <c r="D53" s="32"/>
      <c r="E53" s="32"/>
      <c r="F53" s="42" t="s">
        <v>30</v>
      </c>
      <c r="G53" s="780"/>
      <c r="H53" s="781"/>
      <c r="I53" s="782"/>
      <c r="J53" s="10" t="s">
        <v>43</v>
      </c>
      <c r="K53" s="11"/>
      <c r="L53" s="120"/>
      <c r="M53" s="12" t="s">
        <v>82</v>
      </c>
    </row>
    <row r="54" spans="2:26" ht="14.25">
      <c r="B54" s="26"/>
      <c r="C54" s="56">
        <f>C48+C50+C52</f>
        <v>6</v>
      </c>
      <c r="D54" s="215">
        <f>D48+D50+D52</f>
        <v>10</v>
      </c>
      <c r="E54" s="220" t="s">
        <v>22</v>
      </c>
      <c r="F54" s="11"/>
      <c r="G54" s="3"/>
      <c r="H54" s="3"/>
      <c r="I54" s="3"/>
      <c r="J54" s="11"/>
      <c r="K54" s="11"/>
      <c r="L54" s="11"/>
      <c r="M54" s="12"/>
      <c r="S54" s="41" t="s">
        <v>96</v>
      </c>
      <c r="T54" s="41" t="s">
        <v>101</v>
      </c>
      <c r="U54" s="41" t="s">
        <v>100</v>
      </c>
    </row>
    <row r="55" spans="2:26" ht="7.15" customHeight="1">
      <c r="B55" s="29"/>
      <c r="C55" s="30"/>
      <c r="D55" s="30"/>
      <c r="E55" s="218"/>
      <c r="F55" s="30"/>
      <c r="G55" s="30"/>
      <c r="H55" s="30"/>
      <c r="I55" s="30"/>
      <c r="J55" s="30"/>
      <c r="K55" s="30"/>
      <c r="L55" s="30"/>
      <c r="M55" s="39"/>
      <c r="S55" s="57">
        <v>0</v>
      </c>
      <c r="T55" s="58"/>
      <c r="U55" s="41"/>
    </row>
    <row r="56" spans="2:26" ht="15">
      <c r="B56" s="35"/>
      <c r="C56" s="36" t="s">
        <v>44</v>
      </c>
      <c r="D56" s="37"/>
      <c r="E56" s="221"/>
      <c r="F56" s="37"/>
      <c r="G56" s="37"/>
      <c r="H56" s="37"/>
      <c r="I56" s="37"/>
      <c r="J56" s="37"/>
      <c r="K56" s="37"/>
      <c r="L56" s="37"/>
      <c r="M56" s="38"/>
      <c r="S56" s="57">
        <v>100</v>
      </c>
      <c r="T56" s="58"/>
      <c r="U56" s="41"/>
    </row>
    <row r="57" spans="2:26" ht="14.25">
      <c r="B57" s="26"/>
      <c r="C57" s="31" t="s">
        <v>24</v>
      </c>
      <c r="D57" s="10" t="s">
        <v>25</v>
      </c>
      <c r="E57" s="32"/>
      <c r="F57" s="11"/>
      <c r="G57" s="11"/>
      <c r="H57" s="11"/>
      <c r="I57" s="11"/>
      <c r="J57" s="31" t="s">
        <v>26</v>
      </c>
      <c r="K57" s="11"/>
      <c r="L57" s="31" t="s">
        <v>27</v>
      </c>
      <c r="M57" s="12"/>
      <c r="S57" s="57">
        <v>200</v>
      </c>
      <c r="T57" s="58"/>
      <c r="U57" s="41"/>
    </row>
    <row r="58" spans="2:26" ht="14.25">
      <c r="B58" s="26"/>
      <c r="C58" s="20"/>
      <c r="D58" s="11"/>
      <c r="E58" s="214" t="s">
        <v>28</v>
      </c>
      <c r="F58" s="11"/>
      <c r="G58" s="11" t="s">
        <v>878</v>
      </c>
      <c r="H58" s="11"/>
      <c r="I58" s="11"/>
      <c r="J58" s="11"/>
      <c r="K58" s="11"/>
      <c r="L58" s="11"/>
      <c r="M58" s="12"/>
      <c r="S58" s="57">
        <v>300</v>
      </c>
      <c r="T58" s="58"/>
      <c r="U58" s="41"/>
    </row>
    <row r="59" spans="2:26" ht="14.25">
      <c r="B59" s="26"/>
      <c r="C59" s="11"/>
      <c r="D59" s="11"/>
      <c r="E59" s="32"/>
      <c r="F59" s="42" t="s">
        <v>30</v>
      </c>
      <c r="G59" s="824"/>
      <c r="H59" s="781"/>
      <c r="I59" s="782"/>
      <c r="J59" s="10" t="s">
        <v>45</v>
      </c>
      <c r="K59" s="11"/>
      <c r="L59" s="11"/>
      <c r="M59" s="12"/>
      <c r="S59" s="57">
        <v>400</v>
      </c>
      <c r="T59" s="58"/>
      <c r="U59" s="41"/>
    </row>
    <row r="60" spans="2:26" ht="14.25">
      <c r="B60" s="26"/>
      <c r="C60" s="56">
        <f>MAX(C61,C63)</f>
        <v>3</v>
      </c>
      <c r="D60" s="19">
        <v>5</v>
      </c>
      <c r="E60" s="33" t="s">
        <v>46</v>
      </c>
      <c r="F60" s="34" t="s">
        <v>358</v>
      </c>
      <c r="G60" s="11"/>
      <c r="H60" s="11"/>
      <c r="I60" s="32" t="s">
        <v>879</v>
      </c>
      <c r="J60" s="11"/>
      <c r="K60" s="11"/>
      <c r="L60" s="11"/>
      <c r="M60" s="12"/>
      <c r="S60" s="57">
        <v>500</v>
      </c>
      <c r="T60" s="58"/>
      <c r="U60" s="41"/>
    </row>
    <row r="61" spans="2:26" ht="14.25">
      <c r="B61" s="26"/>
      <c r="C61" s="49">
        <v>3</v>
      </c>
      <c r="D61" s="51"/>
      <c r="E61" s="52" t="s">
        <v>351</v>
      </c>
      <c r="F61" s="53" t="s">
        <v>111</v>
      </c>
      <c r="G61" s="3"/>
      <c r="H61" s="3"/>
      <c r="I61" s="3"/>
      <c r="J61" s="11"/>
      <c r="K61" s="11"/>
      <c r="L61" s="11"/>
      <c r="M61" s="12"/>
      <c r="S61" s="57">
        <v>600</v>
      </c>
      <c r="T61" s="58"/>
      <c r="U61" s="41"/>
    </row>
    <row r="62" spans="2:26" ht="14.25">
      <c r="B62" s="26"/>
      <c r="D62" s="51"/>
      <c r="E62" s="52"/>
      <c r="F62" s="42" t="s">
        <v>30</v>
      </c>
      <c r="G62" s="780"/>
      <c r="H62" s="781"/>
      <c r="I62" s="782"/>
      <c r="J62" s="11"/>
      <c r="K62" s="11"/>
      <c r="L62" s="11"/>
      <c r="M62" s="12"/>
      <c r="S62" s="57">
        <v>700</v>
      </c>
      <c r="T62" s="58"/>
      <c r="U62" s="41"/>
    </row>
    <row r="63" spans="2:26" ht="14.25">
      <c r="B63" s="26"/>
      <c r="C63" s="49">
        <v>3</v>
      </c>
      <c r="D63" s="51"/>
      <c r="E63" s="216" t="s">
        <v>352</v>
      </c>
      <c r="F63" s="53" t="s">
        <v>373</v>
      </c>
      <c r="G63" s="3"/>
      <c r="H63" s="3"/>
      <c r="I63" s="3"/>
      <c r="J63" s="11"/>
      <c r="K63" s="11"/>
      <c r="L63" s="11"/>
      <c r="M63" s="12"/>
      <c r="S63" s="57">
        <v>800</v>
      </c>
      <c r="T63" s="58"/>
      <c r="U63" s="41"/>
    </row>
    <row r="64" spans="2:26" ht="14.25">
      <c r="B64" s="26"/>
      <c r="D64" s="51"/>
      <c r="E64" s="216"/>
      <c r="F64" s="42" t="s">
        <v>30</v>
      </c>
      <c r="G64" s="780"/>
      <c r="H64" s="781"/>
      <c r="I64" s="782"/>
      <c r="J64" s="11"/>
      <c r="K64" s="11"/>
      <c r="L64" s="11"/>
      <c r="M64" s="12"/>
      <c r="S64" s="57">
        <v>900</v>
      </c>
      <c r="T64" s="58"/>
      <c r="U64" s="41"/>
    </row>
    <row r="65" spans="2:21" ht="14.25">
      <c r="B65" s="26"/>
      <c r="C65" s="572">
        <f>(C67+C68)/2+C69</f>
        <v>5</v>
      </c>
      <c r="D65" s="19">
        <v>10</v>
      </c>
      <c r="E65" s="33" t="s">
        <v>47</v>
      </c>
      <c r="F65" s="34" t="s">
        <v>342</v>
      </c>
      <c r="G65" s="3"/>
      <c r="H65" s="3"/>
      <c r="I65" s="3"/>
      <c r="J65" s="11"/>
      <c r="K65" s="11"/>
      <c r="L65" s="11"/>
      <c r="M65" s="12"/>
      <c r="S65" s="57">
        <v>1000</v>
      </c>
      <c r="T65" s="58"/>
      <c r="U65" s="41"/>
    </row>
    <row r="66" spans="2:21" ht="14.25">
      <c r="B66" s="26"/>
      <c r="E66" s="52" t="s">
        <v>343</v>
      </c>
      <c r="F66" s="53" t="s">
        <v>944</v>
      </c>
      <c r="G66" s="11"/>
      <c r="H66" s="11"/>
      <c r="I66" s="32" t="s">
        <v>880</v>
      </c>
      <c r="J66" s="11"/>
      <c r="K66" s="11"/>
      <c r="L66" s="11"/>
      <c r="M66" s="12"/>
      <c r="S66" s="57">
        <v>1100</v>
      </c>
      <c r="T66" s="58"/>
      <c r="U66" s="41"/>
    </row>
    <row r="67" spans="2:21" ht="14.25">
      <c r="B67" s="26"/>
      <c r="C67" s="49">
        <v>3</v>
      </c>
      <c r="D67" s="51"/>
      <c r="E67" s="52" t="s">
        <v>109</v>
      </c>
      <c r="F67" s="53" t="s">
        <v>121</v>
      </c>
      <c r="G67" s="780"/>
      <c r="H67" s="781"/>
      <c r="I67" s="782"/>
      <c r="J67" s="11"/>
      <c r="K67" s="11"/>
      <c r="L67" s="11"/>
      <c r="M67" s="12"/>
      <c r="S67" s="57">
        <v>1200</v>
      </c>
      <c r="T67" s="58"/>
      <c r="U67" s="41"/>
    </row>
    <row r="68" spans="2:21" ht="14.25">
      <c r="B68" s="26"/>
      <c r="C68" s="49">
        <v>1</v>
      </c>
      <c r="D68" s="51"/>
      <c r="E68" s="52" t="s">
        <v>110</v>
      </c>
      <c r="F68" s="53" t="s">
        <v>122</v>
      </c>
      <c r="G68" s="780"/>
      <c r="H68" s="781"/>
      <c r="I68" s="782"/>
      <c r="J68" s="573" t="s">
        <v>107</v>
      </c>
      <c r="K68" s="11"/>
      <c r="L68" s="119"/>
      <c r="M68" s="16" t="s">
        <v>48</v>
      </c>
      <c r="S68" s="57">
        <v>1300</v>
      </c>
      <c r="T68" s="58"/>
      <c r="U68" s="41"/>
    </row>
    <row r="69" spans="2:21" ht="14.25">
      <c r="B69" s="26"/>
      <c r="C69" s="368">
        <v>3</v>
      </c>
      <c r="E69" s="52" t="s">
        <v>344</v>
      </c>
      <c r="F69" s="123" t="s">
        <v>126</v>
      </c>
      <c r="G69" s="3"/>
      <c r="H69" s="3"/>
      <c r="I69" s="32"/>
      <c r="M69" s="16"/>
      <c r="S69" s="57">
        <v>1400</v>
      </c>
      <c r="T69" s="58"/>
      <c r="U69" s="41"/>
    </row>
    <row r="70" spans="2:21" ht="14.25">
      <c r="B70" s="26"/>
      <c r="D70" s="51"/>
      <c r="E70" s="52"/>
      <c r="F70" s="42" t="s">
        <v>30</v>
      </c>
      <c r="G70" s="824" t="s">
        <v>885</v>
      </c>
      <c r="H70" s="781"/>
      <c r="I70" s="782"/>
      <c r="J70" s="10" t="s">
        <v>367</v>
      </c>
      <c r="K70" s="11"/>
      <c r="L70" s="40"/>
      <c r="M70" s="16" t="s">
        <v>114</v>
      </c>
      <c r="S70" s="57">
        <v>1500</v>
      </c>
      <c r="T70" s="58"/>
      <c r="U70" s="41"/>
    </row>
    <row r="71" spans="2:21" ht="14.25">
      <c r="B71" s="26"/>
      <c r="C71" s="49">
        <v>3</v>
      </c>
      <c r="D71" s="19">
        <v>5</v>
      </c>
      <c r="E71" s="33" t="s">
        <v>49</v>
      </c>
      <c r="F71" s="34" t="s">
        <v>50</v>
      </c>
      <c r="G71" s="11"/>
      <c r="H71" s="11"/>
      <c r="I71" s="11"/>
      <c r="J71" s="11"/>
      <c r="K71" s="11"/>
      <c r="L71" s="11"/>
      <c r="M71" s="12"/>
      <c r="S71" s="57">
        <v>1600</v>
      </c>
      <c r="T71" s="58"/>
      <c r="U71" s="41"/>
    </row>
    <row r="72" spans="2:21" ht="14.25">
      <c r="B72" s="26"/>
      <c r="C72" s="11"/>
      <c r="D72" s="32"/>
      <c r="E72" s="32"/>
      <c r="F72" s="42" t="s">
        <v>30</v>
      </c>
      <c r="G72" s="793"/>
      <c r="H72" s="781"/>
      <c r="I72" s="782"/>
      <c r="J72" s="573" t="s">
        <v>112</v>
      </c>
      <c r="K72" s="11"/>
      <c r="L72" s="119"/>
      <c r="M72" s="16" t="s">
        <v>51</v>
      </c>
      <c r="S72" s="57">
        <v>1700</v>
      </c>
      <c r="T72" s="58"/>
      <c r="U72" s="41"/>
    </row>
    <row r="73" spans="2:21" ht="14.25">
      <c r="B73" s="26"/>
      <c r="C73" s="580">
        <f>AVERAGE(C74:C80)</f>
        <v>2.75</v>
      </c>
      <c r="D73" s="19">
        <v>5</v>
      </c>
      <c r="E73" s="33" t="s">
        <v>52</v>
      </c>
      <c r="F73" s="583" t="s">
        <v>833</v>
      </c>
      <c r="G73" s="579"/>
      <c r="H73" s="579"/>
      <c r="I73" s="725"/>
      <c r="K73" s="584" t="s">
        <v>832</v>
      </c>
      <c r="L73" s="11"/>
      <c r="M73" s="12"/>
      <c r="S73" s="57">
        <v>1800</v>
      </c>
      <c r="T73" s="58"/>
      <c r="U73" s="41"/>
    </row>
    <row r="74" spans="2:21" ht="14.25">
      <c r="B74" s="26"/>
      <c r="C74" s="49">
        <v>3</v>
      </c>
      <c r="D74" s="51"/>
      <c r="E74" s="52" t="s">
        <v>353</v>
      </c>
      <c r="F74" s="53" t="s">
        <v>350</v>
      </c>
      <c r="G74" s="3"/>
      <c r="H74" s="3"/>
      <c r="I74" s="3"/>
      <c r="M74" s="12"/>
      <c r="S74" s="57">
        <v>1900</v>
      </c>
      <c r="T74" s="58"/>
      <c r="U74" s="41"/>
    </row>
    <row r="75" spans="2:21" ht="14.25">
      <c r="B75" s="26"/>
      <c r="D75" s="51"/>
      <c r="E75" s="52"/>
      <c r="F75" s="42" t="s">
        <v>30</v>
      </c>
      <c r="G75" s="780"/>
      <c r="H75" s="781"/>
      <c r="I75" s="782"/>
      <c r="J75" s="10" t="s">
        <v>116</v>
      </c>
      <c r="K75" s="11"/>
      <c r="L75" s="119"/>
      <c r="M75" s="16" t="s">
        <v>115</v>
      </c>
      <c r="S75" s="57">
        <v>2000</v>
      </c>
      <c r="T75" s="58"/>
      <c r="U75" s="41"/>
    </row>
    <row r="76" spans="2:21" ht="14.25">
      <c r="B76" s="26"/>
      <c r="C76" s="49">
        <v>3</v>
      </c>
      <c r="D76" s="51"/>
      <c r="E76" s="52" t="s">
        <v>354</v>
      </c>
      <c r="F76" s="53" t="s">
        <v>349</v>
      </c>
      <c r="G76" s="3"/>
      <c r="H76" s="3"/>
      <c r="I76" s="3"/>
      <c r="J76" s="10"/>
      <c r="K76" s="11"/>
      <c r="M76" s="16"/>
      <c r="S76" s="57">
        <v>2100</v>
      </c>
      <c r="T76" s="58"/>
      <c r="U76" s="41"/>
    </row>
    <row r="77" spans="2:21" ht="13.9" customHeight="1">
      <c r="B77" s="26"/>
      <c r="D77" s="51"/>
      <c r="E77" s="52"/>
      <c r="F77" s="42" t="s">
        <v>361</v>
      </c>
      <c r="G77" s="820"/>
      <c r="H77" s="825"/>
      <c r="I77" s="826"/>
      <c r="J77" s="10" t="s">
        <v>84</v>
      </c>
      <c r="K77" s="11"/>
      <c r="L77" s="119"/>
      <c r="M77" s="16" t="s">
        <v>83</v>
      </c>
      <c r="S77" s="57"/>
      <c r="T77" s="58"/>
      <c r="U77" s="41"/>
    </row>
    <row r="78" spans="2:21" ht="14.25">
      <c r="B78" s="26"/>
      <c r="C78" s="49">
        <v>2</v>
      </c>
      <c r="D78" s="51"/>
      <c r="E78" s="52" t="s">
        <v>355</v>
      </c>
      <c r="F78" s="53" t="s">
        <v>113</v>
      </c>
      <c r="G78" s="3"/>
      <c r="H78" s="3"/>
      <c r="I78" s="3"/>
      <c r="M78" s="16"/>
      <c r="S78" s="57"/>
      <c r="T78" s="58"/>
      <c r="U78" s="41"/>
    </row>
    <row r="79" spans="2:21" ht="14.25">
      <c r="B79" s="26"/>
      <c r="D79" s="51"/>
      <c r="E79" s="52"/>
      <c r="F79" s="42" t="s">
        <v>30</v>
      </c>
      <c r="G79" s="780"/>
      <c r="H79" s="781"/>
      <c r="I79" s="782"/>
      <c r="J79" s="10" t="s">
        <v>85</v>
      </c>
      <c r="K79" s="11"/>
      <c r="L79" s="119"/>
      <c r="M79" s="16" t="s">
        <v>114</v>
      </c>
      <c r="S79" s="57">
        <v>2200</v>
      </c>
      <c r="T79" s="58"/>
      <c r="U79" s="41"/>
    </row>
    <row r="80" spans="2:21" ht="14.25">
      <c r="B80" s="26"/>
      <c r="C80" s="368">
        <v>3</v>
      </c>
      <c r="D80" s="51"/>
      <c r="E80" s="52" t="s">
        <v>381</v>
      </c>
      <c r="F80" s="53" t="s">
        <v>943</v>
      </c>
      <c r="G80" s="3"/>
      <c r="H80" s="3"/>
      <c r="I80" s="3"/>
      <c r="M80" s="16"/>
      <c r="S80" s="57">
        <v>2300</v>
      </c>
      <c r="T80" s="58"/>
      <c r="U80" s="41"/>
    </row>
    <row r="81" spans="2:22" ht="16.149999999999999" customHeight="1">
      <c r="B81" s="26"/>
      <c r="D81" s="51"/>
      <c r="E81" s="52"/>
      <c r="F81" s="42" t="s">
        <v>30</v>
      </c>
      <c r="G81" s="780"/>
      <c r="H81" s="781"/>
      <c r="I81" s="782"/>
      <c r="J81" s="10"/>
      <c r="K81" s="11"/>
      <c r="M81" s="16"/>
      <c r="S81" s="57">
        <v>2400</v>
      </c>
      <c r="T81" s="58"/>
      <c r="U81" s="41"/>
    </row>
    <row r="82" spans="2:22" ht="14.25">
      <c r="B82" s="26"/>
      <c r="C82" s="745">
        <f>C60+C65+C71+C73</f>
        <v>13.75</v>
      </c>
      <c r="D82" s="215">
        <f>D60+D65+D71+D73</f>
        <v>25</v>
      </c>
      <c r="E82" s="220" t="s">
        <v>22</v>
      </c>
      <c r="F82" s="11"/>
      <c r="G82" s="11"/>
      <c r="H82" s="11"/>
      <c r="I82" s="11"/>
      <c r="J82" s="11"/>
      <c r="K82" s="11"/>
      <c r="L82" s="11"/>
      <c r="M82" s="12"/>
      <c r="S82" s="57">
        <v>2500</v>
      </c>
      <c r="T82" s="58"/>
      <c r="U82" s="41"/>
    </row>
    <row r="83" spans="2:22" ht="6.6" customHeight="1">
      <c r="B83" s="29"/>
      <c r="C83" s="30"/>
      <c r="D83" s="30"/>
      <c r="E83" s="218"/>
      <c r="F83" s="30"/>
      <c r="G83" s="30"/>
      <c r="H83" s="30"/>
      <c r="I83" s="30"/>
      <c r="J83" s="30"/>
      <c r="K83" s="30"/>
      <c r="L83" s="30"/>
      <c r="M83" s="39"/>
      <c r="S83" s="57">
        <v>2600</v>
      </c>
      <c r="T83" s="58"/>
      <c r="U83" s="41"/>
    </row>
    <row r="84" spans="2:22" ht="17.25">
      <c r="B84" s="5"/>
      <c r="C84" s="6" t="s">
        <v>53</v>
      </c>
      <c r="D84" s="7"/>
      <c r="E84" s="219"/>
      <c r="F84" s="7"/>
      <c r="G84" s="7"/>
      <c r="H84" s="7"/>
      <c r="I84" s="7"/>
      <c r="J84" s="7"/>
      <c r="K84" s="7"/>
      <c r="L84" s="7"/>
      <c r="M84" s="8"/>
      <c r="P84" s="718" t="s">
        <v>95</v>
      </c>
      <c r="Q84" s="332"/>
    </row>
    <row r="85" spans="2:22" ht="14.25">
      <c r="B85" s="26"/>
      <c r="C85" s="31" t="s">
        <v>24</v>
      </c>
      <c r="D85" s="10" t="s">
        <v>25</v>
      </c>
      <c r="E85" s="32"/>
      <c r="F85" s="11"/>
      <c r="G85" s="11"/>
      <c r="H85" s="11"/>
      <c r="I85" s="11"/>
      <c r="J85" s="31" t="s">
        <v>26</v>
      </c>
      <c r="K85" s="11"/>
      <c r="L85" s="31" t="s">
        <v>27</v>
      </c>
      <c r="M85" s="12"/>
      <c r="P85" s="802"/>
      <c r="Q85" s="803"/>
    </row>
    <row r="86" spans="2:22" ht="14.25">
      <c r="B86" s="26"/>
      <c r="C86" s="20"/>
      <c r="D86" s="11"/>
      <c r="E86" s="214" t="s">
        <v>28</v>
      </c>
      <c r="F86" s="11"/>
      <c r="G86" s="11" t="s">
        <v>882</v>
      </c>
      <c r="H86" s="11"/>
      <c r="I86" s="11"/>
      <c r="J86" s="11"/>
      <c r="K86" s="11"/>
      <c r="L86" s="11"/>
      <c r="M86" s="12"/>
      <c r="P86" s="802"/>
      <c r="Q86" s="803"/>
    </row>
    <row r="87" spans="2:22" ht="14.25">
      <c r="B87" s="26"/>
      <c r="C87" s="11"/>
      <c r="D87" s="11"/>
      <c r="E87" s="32"/>
      <c r="F87" s="42" t="s">
        <v>30</v>
      </c>
      <c r="G87" s="780"/>
      <c r="H87" s="781"/>
      <c r="I87" s="782"/>
      <c r="J87" s="10" t="s">
        <v>45</v>
      </c>
      <c r="K87" s="11"/>
      <c r="L87" s="11"/>
      <c r="M87" s="12"/>
      <c r="P87" s="802"/>
      <c r="Q87" s="803"/>
    </row>
    <row r="88" spans="2:22" ht="14.25">
      <c r="B88" s="26"/>
      <c r="C88" s="49">
        <v>3</v>
      </c>
      <c r="D88" s="19">
        <f>IF(AND(C90&lt;&gt;"",C90=0),10,5)</f>
        <v>5</v>
      </c>
      <c r="E88" s="33" t="s">
        <v>54</v>
      </c>
      <c r="F88" s="34" t="s">
        <v>55</v>
      </c>
      <c r="G88" s="11"/>
      <c r="H88" s="11"/>
      <c r="I88" s="11"/>
      <c r="J88" s="11"/>
      <c r="K88" s="11"/>
      <c r="L88" s="11"/>
      <c r="M88" s="12"/>
      <c r="P88" s="802"/>
      <c r="Q88" s="803"/>
    </row>
    <row r="89" spans="2:22" ht="14.25">
      <c r="B89" s="26"/>
      <c r="C89" s="11"/>
      <c r="D89" s="181" t="s">
        <v>319</v>
      </c>
      <c r="E89" s="42"/>
      <c r="F89" s="42" t="s">
        <v>30</v>
      </c>
      <c r="G89" s="780"/>
      <c r="H89" s="781"/>
      <c r="I89" s="782"/>
      <c r="J89" s="573" t="s">
        <v>118</v>
      </c>
      <c r="K89" s="11"/>
      <c r="L89" s="119"/>
      <c r="M89" s="16" t="s">
        <v>114</v>
      </c>
      <c r="P89" s="802"/>
      <c r="Q89" s="803"/>
    </row>
    <row r="90" spans="2:22" ht="14.25" customHeight="1">
      <c r="B90" s="26"/>
      <c r="C90" s="49">
        <v>3</v>
      </c>
      <c r="D90" s="19">
        <f>IF(AND(C90&lt;&gt;"",C90=0),0,5)</f>
        <v>5</v>
      </c>
      <c r="E90" s="33" t="s">
        <v>56</v>
      </c>
      <c r="F90" s="34" t="s">
        <v>57</v>
      </c>
      <c r="G90" s="11"/>
      <c r="H90" s="11"/>
      <c r="I90" s="11"/>
      <c r="J90" s="11"/>
      <c r="K90" s="11"/>
      <c r="L90" s="11"/>
      <c r="M90" s="12"/>
      <c r="P90" s="802"/>
      <c r="Q90" s="803"/>
    </row>
    <row r="91" spans="2:22" ht="14.25" customHeight="1">
      <c r="B91" s="26"/>
      <c r="C91" s="11"/>
      <c r="D91" s="32" t="s">
        <v>117</v>
      </c>
      <c r="E91" s="32"/>
      <c r="F91" s="42" t="s">
        <v>30</v>
      </c>
      <c r="G91" s="780"/>
      <c r="H91" s="781"/>
      <c r="I91" s="782"/>
      <c r="J91" s="10" t="s">
        <v>45</v>
      </c>
      <c r="K91" s="11"/>
      <c r="L91" s="11"/>
      <c r="M91" s="12"/>
      <c r="P91" s="802"/>
      <c r="Q91" s="803"/>
    </row>
    <row r="92" spans="2:22" ht="14.25">
      <c r="B92" s="26"/>
      <c r="C92" s="56">
        <f>AVERAGE(C93:C95)</f>
        <v>3</v>
      </c>
      <c r="D92" s="19">
        <v>5</v>
      </c>
      <c r="E92" s="33" t="s">
        <v>58</v>
      </c>
      <c r="F92" s="34" t="s">
        <v>345</v>
      </c>
      <c r="G92" s="11"/>
      <c r="H92" s="11"/>
      <c r="I92" s="11"/>
      <c r="J92" s="11"/>
      <c r="K92" s="11"/>
      <c r="L92" s="11"/>
      <c r="M92" s="12"/>
      <c r="P92" s="802"/>
      <c r="Q92" s="803"/>
    </row>
    <row r="93" spans="2:22" ht="14.25">
      <c r="B93" s="26"/>
      <c r="C93" s="49">
        <v>3</v>
      </c>
      <c r="D93" s="51"/>
      <c r="E93" s="52" t="s">
        <v>346</v>
      </c>
      <c r="F93" s="53" t="s">
        <v>347</v>
      </c>
      <c r="G93" s="11"/>
      <c r="H93" s="11"/>
      <c r="I93" s="11"/>
      <c r="J93" s="11"/>
      <c r="K93" s="11"/>
      <c r="L93" s="11"/>
      <c r="M93" s="12"/>
      <c r="P93" s="802"/>
      <c r="Q93" s="803"/>
    </row>
    <row r="94" spans="2:22" ht="14.25">
      <c r="B94" s="26"/>
      <c r="D94" s="51"/>
      <c r="E94" s="33"/>
      <c r="F94" s="42" t="s">
        <v>30</v>
      </c>
      <c r="G94" s="821"/>
      <c r="H94" s="781"/>
      <c r="I94" s="782"/>
      <c r="J94" s="573" t="s">
        <v>368</v>
      </c>
      <c r="K94" s="11"/>
      <c r="L94" s="119"/>
      <c r="M94" s="16" t="s">
        <v>369</v>
      </c>
      <c r="P94" s="802"/>
      <c r="Q94" s="803"/>
      <c r="S94" s="59"/>
      <c r="T94" s="60"/>
      <c r="V94" s="46"/>
    </row>
    <row r="95" spans="2:22" ht="14.25">
      <c r="B95" s="26"/>
      <c r="C95" s="11"/>
      <c r="D95" s="51"/>
      <c r="E95" s="52" t="s">
        <v>348</v>
      </c>
      <c r="F95" s="53" t="s">
        <v>377</v>
      </c>
      <c r="G95" s="11"/>
      <c r="H95" s="11"/>
      <c r="I95" s="32" t="s">
        <v>876</v>
      </c>
      <c r="J95" s="11"/>
      <c r="K95" s="11"/>
      <c r="L95" s="11"/>
      <c r="M95" s="12"/>
      <c r="P95" s="802"/>
      <c r="Q95" s="803"/>
      <c r="S95" s="59"/>
      <c r="T95" s="60"/>
    </row>
    <row r="96" spans="2:22" ht="13.9" hidden="1" customHeight="1">
      <c r="B96" s="26"/>
      <c r="C96" s="11"/>
      <c r="D96" s="32"/>
      <c r="E96" s="32"/>
      <c r="F96" s="42" t="s">
        <v>30</v>
      </c>
      <c r="G96" s="780"/>
      <c r="H96" s="781"/>
      <c r="I96" s="782"/>
      <c r="J96" s="10" t="s">
        <v>367</v>
      </c>
      <c r="K96" s="11"/>
      <c r="L96" s="119"/>
      <c r="M96" s="16" t="s">
        <v>83</v>
      </c>
      <c r="P96" s="802"/>
      <c r="Q96" s="803"/>
      <c r="S96" s="59"/>
      <c r="T96" s="60"/>
    </row>
    <row r="97" spans="2:17" ht="14.25">
      <c r="B97" s="26"/>
      <c r="C97" s="49">
        <v>3</v>
      </c>
      <c r="D97" s="19">
        <v>5</v>
      </c>
      <c r="E97" s="33" t="s">
        <v>59</v>
      </c>
      <c r="F97" s="34" t="s">
        <v>60</v>
      </c>
      <c r="G97" s="11"/>
      <c r="H97" s="11"/>
      <c r="I97" s="11"/>
      <c r="J97" s="11"/>
      <c r="K97" s="11"/>
      <c r="L97" s="11"/>
      <c r="M97" s="12"/>
      <c r="P97" s="804"/>
      <c r="Q97" s="805"/>
    </row>
    <row r="98" spans="2:17" ht="14.25" customHeight="1">
      <c r="B98" s="26"/>
      <c r="C98" s="11"/>
      <c r="D98" s="32"/>
      <c r="E98" s="32"/>
      <c r="F98" s="42" t="s">
        <v>30</v>
      </c>
      <c r="G98" s="783"/>
      <c r="H98" s="784"/>
      <c r="I98" s="785"/>
      <c r="J98" s="10" t="s">
        <v>86</v>
      </c>
      <c r="K98" s="11"/>
      <c r="L98" s="119"/>
      <c r="M98" s="16" t="s">
        <v>87</v>
      </c>
    </row>
    <row r="99" spans="2:17" ht="14.25" customHeight="1">
      <c r="B99" s="26"/>
      <c r="C99" s="11"/>
      <c r="D99" s="11"/>
      <c r="E99" s="32"/>
      <c r="F99" s="11"/>
      <c r="G99" s="786"/>
      <c r="H99" s="787"/>
      <c r="I99" s="788"/>
      <c r="J99" s="11"/>
      <c r="K99" s="11"/>
      <c r="L99" s="11"/>
      <c r="M99" s="12"/>
    </row>
    <row r="100" spans="2:17" ht="14.25" customHeight="1">
      <c r="B100" s="26"/>
      <c r="C100" s="56">
        <f>C88+C90+C92+C97</f>
        <v>12</v>
      </c>
      <c r="D100" s="215">
        <f>D88+D90+D92+D97</f>
        <v>20</v>
      </c>
      <c r="E100" s="220" t="s">
        <v>22</v>
      </c>
      <c r="F100" s="11"/>
      <c r="G100" s="11"/>
      <c r="H100" s="11"/>
      <c r="I100" s="11"/>
      <c r="J100" s="11"/>
      <c r="K100" s="11"/>
      <c r="L100" s="11"/>
      <c r="M100" s="12"/>
    </row>
    <row r="101" spans="2:17" ht="6" customHeight="1">
      <c r="B101" s="26"/>
      <c r="C101" s="4"/>
      <c r="D101" s="4"/>
      <c r="E101" s="217"/>
      <c r="F101" s="4"/>
      <c r="G101" s="4"/>
      <c r="H101" s="4"/>
      <c r="I101" s="4"/>
      <c r="J101" s="4"/>
      <c r="K101" s="4"/>
      <c r="L101" s="4"/>
      <c r="M101" s="27"/>
    </row>
    <row r="102" spans="2:17" ht="14.25" customHeight="1">
      <c r="B102" s="692"/>
      <c r="C102" s="693" t="s">
        <v>61</v>
      </c>
      <c r="D102" s="694"/>
      <c r="E102" s="695"/>
      <c r="F102" s="694"/>
      <c r="G102" s="694"/>
      <c r="H102" s="694"/>
      <c r="I102" s="694"/>
      <c r="J102" s="694"/>
      <c r="K102" s="694"/>
      <c r="L102" s="694"/>
      <c r="M102" s="696"/>
      <c r="N102" s="1"/>
    </row>
    <row r="103" spans="2:17" ht="14.25" customHeight="1">
      <c r="B103" s="26"/>
      <c r="C103" s="31" t="s">
        <v>24</v>
      </c>
      <c r="D103" s="10" t="s">
        <v>25</v>
      </c>
      <c r="E103" s="32"/>
      <c r="F103" s="11"/>
      <c r="G103" s="11"/>
      <c r="H103" s="11"/>
      <c r="I103" s="11"/>
      <c r="J103" s="31" t="s">
        <v>26</v>
      </c>
      <c r="K103" s="11"/>
      <c r="L103" s="31" t="s">
        <v>27</v>
      </c>
      <c r="M103" s="12"/>
      <c r="N103" s="1"/>
    </row>
    <row r="104" spans="2:17" ht="14.25" customHeight="1">
      <c r="B104" s="26"/>
      <c r="C104" s="20"/>
      <c r="D104" s="11"/>
      <c r="E104" s="214" t="s">
        <v>28</v>
      </c>
      <c r="F104" s="11"/>
      <c r="G104" s="11" t="s">
        <v>883</v>
      </c>
      <c r="H104" s="11"/>
      <c r="I104" s="11"/>
      <c r="J104" s="11"/>
      <c r="K104" s="11"/>
      <c r="L104" s="11"/>
      <c r="M104" s="12"/>
      <c r="N104" s="1"/>
    </row>
    <row r="105" spans="2:17" ht="14.25" customHeight="1">
      <c r="B105" s="26"/>
      <c r="C105" s="11"/>
      <c r="D105" s="11"/>
      <c r="E105" s="32"/>
      <c r="F105" s="42" t="s">
        <v>30</v>
      </c>
      <c r="G105" s="794"/>
      <c r="H105" s="795"/>
      <c r="I105" s="796"/>
      <c r="J105" s="10" t="s">
        <v>45</v>
      </c>
      <c r="K105" s="11"/>
      <c r="L105" s="11"/>
      <c r="M105" s="12"/>
      <c r="N105" s="1"/>
    </row>
    <row r="106" spans="2:17" ht="14.25" customHeight="1">
      <c r="B106" s="26"/>
      <c r="C106" s="11"/>
      <c r="D106" s="11"/>
      <c r="E106" s="32"/>
      <c r="F106" s="11"/>
      <c r="G106" s="797"/>
      <c r="H106" s="798"/>
      <c r="I106" s="799"/>
      <c r="J106" s="11"/>
      <c r="K106" s="11"/>
      <c r="L106" s="11"/>
      <c r="M106" s="12"/>
      <c r="N106" s="1"/>
    </row>
    <row r="107" spans="2:17" ht="14.25">
      <c r="B107" s="26"/>
      <c r="C107" s="580">
        <f>IF(C108*2/3+C110*1/3&gt;D107,D107,C108*2/3+C110*1/3)</f>
        <v>3</v>
      </c>
      <c r="D107" s="333">
        <v>4</v>
      </c>
      <c r="E107" s="33" t="s">
        <v>62</v>
      </c>
      <c r="F107" s="34" t="s">
        <v>364</v>
      </c>
      <c r="G107" s="11"/>
      <c r="H107" s="11"/>
      <c r="I107" s="32" t="s">
        <v>365</v>
      </c>
      <c r="J107" s="11"/>
      <c r="K107" s="11"/>
      <c r="L107" s="11"/>
      <c r="M107" s="12"/>
      <c r="N107" s="1"/>
    </row>
    <row r="108" spans="2:17" ht="14.25" customHeight="1">
      <c r="B108" s="26"/>
      <c r="C108" s="49">
        <v>3</v>
      </c>
      <c r="D108" s="51"/>
      <c r="E108" s="52" t="s">
        <v>362</v>
      </c>
      <c r="F108" s="53" t="s">
        <v>123</v>
      </c>
      <c r="G108" s="3"/>
      <c r="H108" s="3"/>
      <c r="I108" s="3"/>
      <c r="M108" s="12"/>
      <c r="N108" s="1"/>
    </row>
    <row r="109" spans="2:17" ht="16.5" customHeight="1">
      <c r="B109" s="26"/>
      <c r="C109" s="11"/>
      <c r="D109" s="51"/>
      <c r="E109" s="52"/>
      <c r="F109" s="42" t="s">
        <v>30</v>
      </c>
      <c r="G109" s="820"/>
      <c r="H109" s="781"/>
      <c r="I109" s="782"/>
      <c r="J109" s="10" t="s">
        <v>63</v>
      </c>
      <c r="K109" s="11"/>
      <c r="L109" s="120"/>
      <c r="M109" s="16" t="s">
        <v>64</v>
      </c>
      <c r="N109" s="1"/>
    </row>
    <row r="110" spans="2:17" ht="14.25" customHeight="1">
      <c r="B110" s="26"/>
      <c r="C110" s="49">
        <v>3</v>
      </c>
      <c r="D110" s="51"/>
      <c r="E110" s="52" t="s">
        <v>363</v>
      </c>
      <c r="F110" s="53" t="s">
        <v>119</v>
      </c>
      <c r="G110" s="3"/>
      <c r="H110" s="3"/>
      <c r="I110" s="3"/>
      <c r="M110" s="12"/>
      <c r="N110" s="1"/>
    </row>
    <row r="111" spans="2:17" ht="14.25">
      <c r="B111" s="26"/>
      <c r="D111" s="51"/>
      <c r="E111" s="52"/>
      <c r="F111" s="42" t="s">
        <v>30</v>
      </c>
      <c r="G111" s="820"/>
      <c r="H111" s="781"/>
      <c r="I111" s="782"/>
      <c r="J111" s="10" t="s">
        <v>88</v>
      </c>
      <c r="K111" s="11"/>
      <c r="L111" s="119"/>
      <c r="M111" s="16" t="s">
        <v>87</v>
      </c>
      <c r="N111" s="1"/>
    </row>
    <row r="112" spans="2:17" ht="14.25">
      <c r="B112" s="26"/>
      <c r="C112" s="49">
        <v>3</v>
      </c>
      <c r="D112" s="333">
        <v>4</v>
      </c>
      <c r="E112" s="33" t="s">
        <v>65</v>
      </c>
      <c r="F112" s="34" t="s">
        <v>66</v>
      </c>
      <c r="G112" s="757" t="s">
        <v>946</v>
      </c>
      <c r="H112" s="11"/>
      <c r="I112" s="730"/>
      <c r="J112" s="11"/>
      <c r="K112" s="11"/>
      <c r="L112" s="11"/>
      <c r="M112" s="12"/>
      <c r="N112" s="1"/>
    </row>
    <row r="113" spans="2:14" ht="14.25">
      <c r="B113" s="26"/>
      <c r="C113" s="11"/>
      <c r="D113" s="32"/>
      <c r="E113" s="32"/>
      <c r="F113" s="42" t="s">
        <v>30</v>
      </c>
      <c r="G113" s="820"/>
      <c r="H113" s="781"/>
      <c r="I113" s="782"/>
      <c r="J113" s="10"/>
      <c r="K113" s="11"/>
      <c r="L113" s="222"/>
      <c r="M113" s="16"/>
      <c r="N113" s="1"/>
    </row>
    <row r="114" spans="2:14" ht="14.25">
      <c r="B114" s="26"/>
      <c r="C114" s="49">
        <v>3</v>
      </c>
      <c r="D114" s="19">
        <v>2</v>
      </c>
      <c r="E114" s="33" t="s">
        <v>67</v>
      </c>
      <c r="F114" s="34" t="s">
        <v>300</v>
      </c>
      <c r="G114" s="11"/>
      <c r="H114" s="11"/>
      <c r="I114" s="11"/>
      <c r="J114" s="11"/>
      <c r="K114" s="11"/>
      <c r="L114" s="11"/>
      <c r="M114" s="12"/>
      <c r="N114" s="1"/>
    </row>
    <row r="115" spans="2:14" ht="14.25">
      <c r="B115" s="26"/>
      <c r="C115" s="11"/>
      <c r="D115" s="32"/>
      <c r="E115" s="32"/>
      <c r="F115" s="42" t="s">
        <v>30</v>
      </c>
      <c r="G115" s="821"/>
      <c r="H115" s="781"/>
      <c r="I115" s="782"/>
      <c r="J115" s="10" t="s">
        <v>89</v>
      </c>
      <c r="K115" s="11"/>
      <c r="L115" s="120"/>
      <c r="M115" s="16" t="s">
        <v>90</v>
      </c>
      <c r="N115" s="1"/>
    </row>
    <row r="116" spans="2:14" ht="14.25" hidden="1">
      <c r="B116" s="26"/>
      <c r="F116" s="11"/>
      <c r="G116" s="11"/>
      <c r="H116" s="11"/>
      <c r="I116" s="11"/>
      <c r="J116" s="11"/>
      <c r="K116" s="11"/>
      <c r="L116" s="11"/>
      <c r="M116" s="12"/>
      <c r="N116" s="1"/>
    </row>
    <row r="117" spans="2:14" ht="14.25" hidden="1">
      <c r="B117" s="43"/>
      <c r="C117" s="1"/>
      <c r="D117" s="1"/>
      <c r="E117" s="2"/>
      <c r="F117" s="1"/>
      <c r="G117" s="4"/>
      <c r="H117" s="4"/>
      <c r="I117" s="4"/>
      <c r="J117" s="1"/>
      <c r="K117" s="1"/>
      <c r="L117" s="1"/>
      <c r="M117" s="691"/>
      <c r="N117" s="1"/>
    </row>
    <row r="118" spans="2:14" ht="14.25" hidden="1">
      <c r="B118" s="43"/>
      <c r="G118" s="3"/>
      <c r="H118" s="3"/>
      <c r="I118" s="3"/>
      <c r="M118" s="44"/>
      <c r="N118" s="1"/>
    </row>
    <row r="119" spans="2:14" ht="14.25" hidden="1">
      <c r="B119" s="43"/>
      <c r="G119" s="3"/>
      <c r="H119" s="3"/>
      <c r="I119" s="3"/>
      <c r="M119" s="44"/>
    </row>
    <row r="120" spans="2:14" ht="14.25" hidden="1">
      <c r="B120" s="43"/>
      <c r="G120" s="3"/>
      <c r="H120" s="3"/>
      <c r="I120" s="3"/>
      <c r="M120" s="44"/>
    </row>
    <row r="121" spans="2:14" ht="14.25" hidden="1">
      <c r="B121" s="43"/>
      <c r="G121" s="3"/>
      <c r="H121" s="3"/>
      <c r="I121" s="3"/>
      <c r="M121" s="44"/>
    </row>
    <row r="122" spans="2:14" ht="14.25" hidden="1">
      <c r="B122" s="43"/>
      <c r="G122" s="3"/>
      <c r="H122" s="3"/>
      <c r="I122" s="3"/>
      <c r="M122" s="44"/>
    </row>
    <row r="123" spans="2:14" ht="14.25" hidden="1">
      <c r="B123" s="43"/>
      <c r="G123" s="3"/>
      <c r="H123" s="3"/>
      <c r="I123" s="3"/>
      <c r="M123" s="44"/>
    </row>
    <row r="124" spans="2:14" ht="14.25" hidden="1">
      <c r="B124" s="43"/>
      <c r="G124" s="3"/>
      <c r="H124" s="3"/>
      <c r="I124" s="3"/>
      <c r="M124" s="44"/>
    </row>
    <row r="125" spans="2:14" ht="14.25" hidden="1">
      <c r="B125" s="43"/>
      <c r="G125" s="3"/>
      <c r="H125" s="3"/>
      <c r="I125" s="3"/>
      <c r="M125" s="44"/>
    </row>
    <row r="126" spans="2:14" ht="14.25" hidden="1">
      <c r="B126" s="43"/>
      <c r="G126" s="3"/>
      <c r="H126" s="3"/>
      <c r="I126" s="3"/>
      <c r="M126" s="44"/>
    </row>
    <row r="127" spans="2:14" ht="14.25" hidden="1">
      <c r="B127" s="43"/>
      <c r="G127" s="3"/>
      <c r="H127" s="3"/>
      <c r="I127" s="3"/>
      <c r="M127" s="44"/>
    </row>
    <row r="128" spans="2:14" ht="14.25">
      <c r="B128" s="43"/>
      <c r="C128" s="580">
        <f>C107+C112+C114</f>
        <v>9</v>
      </c>
      <c r="D128" s="215">
        <f>D107+D112+D114</f>
        <v>10</v>
      </c>
      <c r="E128" s="220" t="s">
        <v>22</v>
      </c>
      <c r="G128" s="3"/>
      <c r="H128" s="3"/>
      <c r="I128" s="3"/>
      <c r="M128" s="44"/>
    </row>
    <row r="129" spans="2:17" ht="7.15" customHeight="1">
      <c r="B129" s="698"/>
      <c r="C129" s="699"/>
      <c r="D129" s="699"/>
      <c r="E129" s="699"/>
      <c r="F129" s="699"/>
      <c r="G129" s="728"/>
      <c r="H129" s="728"/>
      <c r="I129" s="728"/>
      <c r="J129" s="699"/>
      <c r="K129" s="699"/>
      <c r="L129" s="699"/>
      <c r="M129" s="701"/>
    </row>
    <row r="130" spans="2:17" ht="15">
      <c r="B130" s="692"/>
      <c r="C130" s="693" t="s">
        <v>892</v>
      </c>
      <c r="D130" s="694"/>
      <c r="E130" s="695"/>
      <c r="F130" s="694"/>
      <c r="G130" s="694"/>
      <c r="H130" s="694"/>
      <c r="I130" s="694"/>
      <c r="J130" s="694"/>
      <c r="K130" s="694"/>
      <c r="L130" s="694"/>
      <c r="M130" s="696"/>
    </row>
    <row r="131" spans="2:17" ht="14.25">
      <c r="B131" s="26"/>
      <c r="C131" s="31" t="s">
        <v>24</v>
      </c>
      <c r="D131" s="10" t="s">
        <v>921</v>
      </c>
      <c r="E131" s="32"/>
      <c r="F131" s="11"/>
      <c r="G131" s="11"/>
      <c r="H131" s="11"/>
      <c r="I131" s="11"/>
      <c r="J131" s="31" t="s">
        <v>26</v>
      </c>
      <c r="K131" s="11"/>
      <c r="L131" s="31" t="s">
        <v>27</v>
      </c>
      <c r="M131" s="12"/>
    </row>
    <row r="132" spans="2:17" ht="14.25">
      <c r="B132" s="26"/>
      <c r="C132" s="368"/>
      <c r="D132" s="19">
        <v>5</v>
      </c>
      <c r="E132" s="214"/>
      <c r="F132" s="42" t="s">
        <v>30</v>
      </c>
      <c r="G132" s="780"/>
      <c r="H132" s="781"/>
      <c r="I132" s="782"/>
      <c r="J132" s="697" t="s">
        <v>864</v>
      </c>
      <c r="K132" s="11" t="s">
        <v>861</v>
      </c>
      <c r="L132" s="119"/>
      <c r="M132" s="16" t="s">
        <v>114</v>
      </c>
    </row>
    <row r="133" spans="2:17">
      <c r="B133" s="43"/>
      <c r="C133" s="186" t="s">
        <v>871</v>
      </c>
      <c r="E133" s="211"/>
      <c r="G133" s="780"/>
      <c r="H133" s="781"/>
      <c r="I133" s="782"/>
      <c r="K133" s="11" t="s">
        <v>924</v>
      </c>
      <c r="L133" s="119"/>
      <c r="M133" s="16" t="s">
        <v>114</v>
      </c>
    </row>
    <row r="134" spans="2:17" ht="13.9" customHeight="1">
      <c r="B134" s="43"/>
      <c r="E134" s="211"/>
      <c r="G134" s="820"/>
      <c r="H134" s="781"/>
      <c r="I134" s="782"/>
      <c r="K134" s="11" t="s">
        <v>867</v>
      </c>
      <c r="L134" s="119"/>
      <c r="M134" s="16" t="s">
        <v>114</v>
      </c>
    </row>
    <row r="135" spans="2:17">
      <c r="B135" s="43"/>
      <c r="E135" s="211"/>
      <c r="G135" s="780"/>
      <c r="H135" s="781"/>
      <c r="I135" s="782"/>
      <c r="K135" s="11" t="s">
        <v>866</v>
      </c>
      <c r="L135" s="119"/>
      <c r="M135" s="16" t="s">
        <v>114</v>
      </c>
    </row>
    <row r="136" spans="2:17" ht="14.25">
      <c r="B136" s="698"/>
      <c r="C136" s="699"/>
      <c r="D136" s="699"/>
      <c r="E136" s="699"/>
      <c r="F136" s="699"/>
      <c r="G136" s="728"/>
      <c r="H136" s="728"/>
      <c r="I136" s="728"/>
      <c r="J136" s="699"/>
      <c r="K136" s="699"/>
      <c r="L136" s="699"/>
      <c r="M136" s="701"/>
    </row>
    <row r="137" spans="2:17">
      <c r="M137" s="173" t="str">
        <f>D7</f>
        <v>○○ショッピングセンター</v>
      </c>
    </row>
    <row r="138" spans="2:17">
      <c r="C138" t="s">
        <v>905</v>
      </c>
      <c r="D138" t="s">
        <v>908</v>
      </c>
      <c r="E138" s="211"/>
      <c r="N138" s="1"/>
      <c r="P138" s="716" t="s">
        <v>94</v>
      </c>
      <c r="Q138" s="717"/>
    </row>
    <row r="139" spans="2:17">
      <c r="C139" t="s">
        <v>903</v>
      </c>
      <c r="E139" s="211"/>
      <c r="N139" s="1"/>
      <c r="P139" s="808"/>
      <c r="Q139" s="809"/>
    </row>
    <row r="140" spans="2:17">
      <c r="D140" s="741">
        <f>ROUNDDOWN(IF(G140&gt;G144,F145,IF(G140&lt;=G143,F143,G140*H143+I143)),1)</f>
        <v>25</v>
      </c>
      <c r="E140" s="211" t="s">
        <v>900</v>
      </c>
      <c r="F140" s="739" t="s">
        <v>899</v>
      </c>
      <c r="G140" s="740"/>
      <c r="H140" t="str">
        <f>"×（"&amp;H143&amp;"）＋"&amp;I143</f>
        <v>×（-33.3333333333333）＋48.3333333333333</v>
      </c>
      <c r="N140" s="1"/>
      <c r="P140" s="716" t="s">
        <v>102</v>
      </c>
      <c r="Q140" s="717"/>
    </row>
    <row r="141" spans="2:17">
      <c r="N141" s="1"/>
      <c r="P141" s="806"/>
      <c r="Q141" s="807"/>
    </row>
    <row r="142" spans="2:17" hidden="1">
      <c r="E142" s="211"/>
      <c r="F142" t="s">
        <v>898</v>
      </c>
      <c r="G142" t="s">
        <v>893</v>
      </c>
      <c r="H142" s="52" t="s">
        <v>894</v>
      </c>
      <c r="I142" s="52" t="s">
        <v>895</v>
      </c>
      <c r="M142" s="1"/>
      <c r="N142" s="1"/>
      <c r="Q142" s="173" t="str">
        <f>D7</f>
        <v>○○ショッピングセンター</v>
      </c>
    </row>
    <row r="143" spans="2:17" hidden="1">
      <c r="E143" t="s">
        <v>896</v>
      </c>
      <c r="F143">
        <v>25</v>
      </c>
      <c r="G143">
        <v>0.7</v>
      </c>
      <c r="H143" s="53">
        <f>(F144-F143)/(G144-G143)</f>
        <v>-33.333333333333329</v>
      </c>
      <c r="I143" s="53">
        <f>F144-H143*G144</f>
        <v>48.333333333333329</v>
      </c>
      <c r="M143" s="1"/>
      <c r="N143" s="1"/>
    </row>
    <row r="144" spans="2:17" hidden="1">
      <c r="E144" s="211"/>
      <c r="F144">
        <v>16</v>
      </c>
      <c r="G144">
        <v>0.97</v>
      </c>
      <c r="N144" s="1"/>
    </row>
    <row r="145" spans="3:14" hidden="1">
      <c r="E145" t="s">
        <v>897</v>
      </c>
      <c r="F145">
        <v>15</v>
      </c>
      <c r="N145" s="1"/>
    </row>
    <row r="146" spans="3:14" hidden="1">
      <c r="E146" s="211"/>
      <c r="N146" s="1"/>
    </row>
    <row r="147" spans="3:14">
      <c r="E147" s="211"/>
      <c r="N147" s="1"/>
    </row>
    <row r="148" spans="3:14" hidden="1">
      <c r="E148" s="211"/>
      <c r="N148" s="1"/>
    </row>
    <row r="149" spans="3:14" hidden="1">
      <c r="E149" s="211"/>
      <c r="N149" s="1"/>
    </row>
    <row r="150" spans="3:14" hidden="1">
      <c r="E150" s="211"/>
      <c r="N150" s="1"/>
    </row>
    <row r="151" spans="3:14" hidden="1">
      <c r="E151" s="211"/>
      <c r="N151" s="1"/>
    </row>
    <row r="152" spans="3:14" hidden="1">
      <c r="E152" s="211"/>
      <c r="N152" s="1"/>
    </row>
    <row r="153" spans="3:14" hidden="1">
      <c r="E153" s="211"/>
      <c r="N153" s="1"/>
    </row>
    <row r="154" spans="3:14" hidden="1">
      <c r="E154" s="211"/>
      <c r="N154" s="1"/>
    </row>
    <row r="155" spans="3:14">
      <c r="E155" s="211"/>
      <c r="N155" s="1"/>
    </row>
    <row r="156" spans="3:14">
      <c r="C156" t="s">
        <v>904</v>
      </c>
      <c r="E156" s="211"/>
      <c r="N156" s="1"/>
    </row>
    <row r="157" spans="3:14">
      <c r="D157" s="741">
        <f>IF(G157&gt;G160,(ROUNDDOWN(IF(G157&gt;G163,F163,G157*H160+I160),1)),IF(OR(J157&gt;0.5,J157=""),24.9,F160))</f>
        <v>24.9</v>
      </c>
      <c r="E157" s="211" t="s">
        <v>900</v>
      </c>
      <c r="F157" s="739" t="s">
        <v>902</v>
      </c>
      <c r="G157" s="740"/>
      <c r="H157" t="str">
        <f>"×（"&amp;H160&amp;"）＋"&amp;I160</f>
        <v>×（-16.5）＋29.125</v>
      </c>
      <c r="I157" s="173" t="s">
        <v>920</v>
      </c>
      <c r="J157" s="740"/>
      <c r="N157" s="1"/>
    </row>
    <row r="158" spans="3:14">
      <c r="E158" s="211"/>
      <c r="N158" s="1"/>
    </row>
    <row r="159" spans="3:14" hidden="1">
      <c r="E159" s="211"/>
      <c r="F159" t="s">
        <v>898</v>
      </c>
      <c r="G159" t="s">
        <v>901</v>
      </c>
      <c r="H159" s="52" t="s">
        <v>894</v>
      </c>
      <c r="I159" s="52" t="s">
        <v>895</v>
      </c>
      <c r="N159" s="1"/>
    </row>
    <row r="160" spans="3:14" hidden="1">
      <c r="F160">
        <v>25</v>
      </c>
      <c r="G160">
        <v>0.25</v>
      </c>
      <c r="H160" s="48">
        <f>IF(G157&lt;=G161,H161,IF(G157&lt;=G162,H162,H163))</f>
        <v>-16.500000000000004</v>
      </c>
      <c r="I160" s="48">
        <f>IF(G157&lt;=G161,I161,IF(G157&lt;=G162,I162,I163))</f>
        <v>29.125</v>
      </c>
      <c r="N160" s="1"/>
    </row>
    <row r="161" spans="5:14" hidden="1">
      <c r="E161" s="211"/>
      <c r="F161">
        <v>21.7</v>
      </c>
      <c r="G161">
        <v>0.45</v>
      </c>
      <c r="H161" s="53">
        <f>(F161-F160)/(G161-G160)</f>
        <v>-16.500000000000004</v>
      </c>
      <c r="I161" s="53">
        <f>F161-H161*G161</f>
        <v>29.125</v>
      </c>
      <c r="N161" s="1"/>
    </row>
    <row r="162" spans="5:14" hidden="1">
      <c r="F162">
        <v>18.3</v>
      </c>
      <c r="G162">
        <v>0.65</v>
      </c>
      <c r="H162" s="53">
        <f>(F162-F161)/(G162-G161)</f>
        <v>-16.999999999999993</v>
      </c>
      <c r="I162" s="53">
        <f>F162-H162*G162</f>
        <v>29.349999999999994</v>
      </c>
      <c r="N162" s="1"/>
    </row>
    <row r="163" spans="5:14" hidden="1">
      <c r="E163" s="211"/>
      <c r="F163">
        <v>15</v>
      </c>
      <c r="G163">
        <v>0.85</v>
      </c>
      <c r="H163" s="53">
        <f>(F163-F162)/(G163-G162)</f>
        <v>-16.500000000000007</v>
      </c>
      <c r="I163" s="53">
        <f>F163-H163*G163</f>
        <v>29.025000000000006</v>
      </c>
      <c r="N163" s="1"/>
    </row>
    <row r="164" spans="5:14" hidden="1">
      <c r="E164" s="211"/>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ht="4.1500000000000004" customHeight="1"/>
    <row r="187"/>
    <row r="188"/>
    <row r="189"/>
    <row r="190"/>
    <row r="191"/>
    <row r="192"/>
    <row r="193"/>
    <row r="194"/>
    <row r="195"/>
    <row r="196"/>
    <row r="197"/>
    <row r="198"/>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sheetData>
  <sheetProtection algorithmName="SHA-512" hashValue="l6PGqejSPwExUf1nVyQU2nVvaNCQil4Wr1/dJZV2gZqCizOk7TqPY4C12wuEuSrI5qJRVvLwaosgX9aoETgDiw==" saltValue="hPlwhK08yibZZyzcj4fgiA==" spinCount="100000" sheet="1" formatCells="0" formatRows="0" insertRows="0"/>
  <mergeCells count="48">
    <mergeCell ref="G81:I81"/>
    <mergeCell ref="G67:I67"/>
    <mergeCell ref="G68:I68"/>
    <mergeCell ref="G72:I72"/>
    <mergeCell ref="G79:I79"/>
    <mergeCell ref="G77:I77"/>
    <mergeCell ref="G70:I70"/>
    <mergeCell ref="G75:I75"/>
    <mergeCell ref="G41:I41"/>
    <mergeCell ref="G47:I47"/>
    <mergeCell ref="G49:I49"/>
    <mergeCell ref="G51:I51"/>
    <mergeCell ref="G64:I64"/>
    <mergeCell ref="G53:I53"/>
    <mergeCell ref="G59:I59"/>
    <mergeCell ref="G62:I62"/>
    <mergeCell ref="F12:G12"/>
    <mergeCell ref="G28:I29"/>
    <mergeCell ref="G31:I33"/>
    <mergeCell ref="G35:I37"/>
    <mergeCell ref="G39:I39"/>
    <mergeCell ref="F13:G13"/>
    <mergeCell ref="I2:I4"/>
    <mergeCell ref="L8:M8"/>
    <mergeCell ref="L11:M11"/>
    <mergeCell ref="D8:G8"/>
    <mergeCell ref="D11:G11"/>
    <mergeCell ref="D7:G7"/>
    <mergeCell ref="D9:G9"/>
    <mergeCell ref="D10:G10"/>
    <mergeCell ref="P139:Q139"/>
    <mergeCell ref="P141:Q141"/>
    <mergeCell ref="G111:I111"/>
    <mergeCell ref="G113:I113"/>
    <mergeCell ref="G115:I115"/>
    <mergeCell ref="G132:I132"/>
    <mergeCell ref="G133:I133"/>
    <mergeCell ref="G134:I134"/>
    <mergeCell ref="G135:I135"/>
    <mergeCell ref="P85:Q97"/>
    <mergeCell ref="G109:I109"/>
    <mergeCell ref="G91:I91"/>
    <mergeCell ref="G96:I96"/>
    <mergeCell ref="G98:I99"/>
    <mergeCell ref="G105:I106"/>
    <mergeCell ref="G89:I89"/>
    <mergeCell ref="G94:I94"/>
    <mergeCell ref="G87:I87"/>
  </mergeCells>
  <phoneticPr fontId="3"/>
  <dataValidations count="1">
    <dataValidation type="list" allowBlank="1" showInputMessage="1" showErrorMessage="1" sqref="C86 C46 C27 C58 C104" xr:uid="{00000000-0002-0000-0200-000000000000}">
      <formula1>$S$19:$S$20</formula1>
    </dataValidation>
  </dataValidations>
  <pageMargins left="0.86614173228346458" right="0.43307086614173229" top="0.55118110236220474" bottom="0.55118110236220474" header="0.43307086614173229" footer="0.31496062992125984"/>
  <pageSetup paperSize="9" scale="49"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AA244"/>
  <sheetViews>
    <sheetView showGridLines="0" zoomScaleNormal="100" zoomScaleSheetLayoutView="100" zoomScalePageLayoutView="40" workbookViewId="0">
      <selection activeCell="H15" sqref="H15"/>
    </sheetView>
  </sheetViews>
  <sheetFormatPr defaultColWidth="0" defaultRowHeight="13.5" customHeight="1" zeroHeight="1"/>
  <cols>
    <col min="1" max="1" width="1.875" customWidth="1"/>
    <col min="2" max="2" width="1.25" customWidth="1"/>
    <col min="3" max="3" width="10.625" customWidth="1"/>
    <col min="4" max="4" width="8.625" customWidth="1"/>
    <col min="5" max="5" width="5.125"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3.5" customWidth="1"/>
    <col min="19" max="23" width="7.375" hidden="1" customWidth="1"/>
    <col min="24" max="24" width="7.25" hidden="1" customWidth="1"/>
    <col min="25" max="26" width="7.375" hidden="1" customWidth="1"/>
    <col min="27" max="27" width="0" hidden="1" customWidth="1"/>
    <col min="28" max="16384" width="9" hidden="1"/>
  </cols>
  <sheetData>
    <row r="1" spans="2:27">
      <c r="W1" s="41"/>
      <c r="X1" s="41" t="s">
        <v>700</v>
      </c>
    </row>
    <row r="2" spans="2:27" ht="13.5" customHeight="1">
      <c r="I2" s="792" t="s">
        <v>372</v>
      </c>
      <c r="J2" s="792"/>
      <c r="W2" s="360" t="s">
        <v>686</v>
      </c>
      <c r="X2" s="171" t="str">
        <f>IF(建築環境SDGsチェックリスト!$D$3="物流施設",建築環境SDGsチェックリスト!H116,"0")</f>
        <v>0</v>
      </c>
    </row>
    <row r="3" spans="2:27" ht="13.5" customHeight="1">
      <c r="I3" s="792"/>
      <c r="J3" s="792"/>
      <c r="W3" s="360" t="s">
        <v>680</v>
      </c>
      <c r="X3" s="171" t="str">
        <f>IF(建築環境SDGsチェックリスト!$D$3="物流施設",建築環境SDGsチェックリスト!H117,"0")</f>
        <v>0</v>
      </c>
    </row>
    <row r="4" spans="2:27" ht="13.5" customHeight="1">
      <c r="I4" s="792"/>
      <c r="J4" s="792"/>
      <c r="W4" s="360" t="s">
        <v>681</v>
      </c>
      <c r="X4" s="171" t="str">
        <f>IF(建築環境SDGsチェックリスト!$D$3="物流施設",建築環境SDGsチェックリスト!H118,"0")</f>
        <v>0</v>
      </c>
    </row>
    <row r="5" spans="2:27" ht="14.25">
      <c r="B5" s="3"/>
      <c r="C5" s="4"/>
      <c r="D5" s="4"/>
      <c r="E5" s="4"/>
      <c r="F5" s="4"/>
      <c r="G5" s="4"/>
      <c r="H5" s="4"/>
      <c r="I5" s="2" t="s">
        <v>1</v>
      </c>
      <c r="J5" s="4" t="str">
        <f>オフィス評価結果!J5</f>
        <v>CASBEE-不動産 2024年版</v>
      </c>
      <c r="K5" s="4"/>
      <c r="L5" s="4"/>
      <c r="M5" s="2" t="str">
        <f>オフィス評価結果!M5</f>
        <v>v1.21</v>
      </c>
      <c r="N5" s="1"/>
      <c r="P5" s="383" t="s">
        <v>722</v>
      </c>
      <c r="Q5" s="383"/>
      <c r="W5" s="360" t="s">
        <v>682</v>
      </c>
      <c r="X5" s="171" t="str">
        <f>IF(建築環境SDGsチェックリスト!$D$3="物流施設",建築環境SDGsチェックリスト!H119,"0")</f>
        <v>0</v>
      </c>
    </row>
    <row r="6" spans="2:27" ht="15">
      <c r="B6" s="760"/>
      <c r="C6" s="761" t="s">
        <v>2</v>
      </c>
      <c r="D6" s="762"/>
      <c r="E6" s="762"/>
      <c r="F6" s="762"/>
      <c r="G6" s="762"/>
      <c r="H6" s="762"/>
      <c r="I6" s="762"/>
      <c r="J6" s="762"/>
      <c r="K6" s="762"/>
      <c r="L6" s="762"/>
      <c r="M6" s="764"/>
      <c r="N6" s="1"/>
      <c r="W6" s="360" t="s">
        <v>683</v>
      </c>
      <c r="X6" s="171" t="str">
        <f>IF(建築環境SDGsチェックリスト!$D$3="物流施設",建築環境SDGsチェックリスト!H120,"0")</f>
        <v>0</v>
      </c>
    </row>
    <row r="7" spans="2:27" ht="14.25">
      <c r="B7" s="9"/>
      <c r="C7" s="10" t="s">
        <v>3</v>
      </c>
      <c r="D7" s="778" t="s">
        <v>337</v>
      </c>
      <c r="E7" s="779"/>
      <c r="F7" s="779"/>
      <c r="G7" s="779"/>
      <c r="H7" s="15" t="s">
        <v>4</v>
      </c>
      <c r="I7" s="765" t="s">
        <v>287</v>
      </c>
      <c r="J7" s="12" t="s">
        <v>76</v>
      </c>
      <c r="K7" s="10" t="s">
        <v>5</v>
      </c>
      <c r="L7" s="21" t="s">
        <v>108</v>
      </c>
      <c r="M7" s="25"/>
      <c r="N7" s="1"/>
      <c r="S7" s="41" t="s">
        <v>83</v>
      </c>
      <c r="T7" s="41" t="s">
        <v>93</v>
      </c>
      <c r="W7" s="360" t="s">
        <v>684</v>
      </c>
      <c r="X7" s="171" t="str">
        <f>IF(建築環境SDGsチェックリスト!$D$3="物流施設",建築環境SDGsチェックリスト!H121,"0")</f>
        <v>0</v>
      </c>
    </row>
    <row r="8" spans="2:27" ht="14.25">
      <c r="B8" s="9"/>
      <c r="C8" s="10" t="s">
        <v>6</v>
      </c>
      <c r="D8" s="778" t="s">
        <v>288</v>
      </c>
      <c r="E8" s="778"/>
      <c r="F8" s="778"/>
      <c r="G8" s="778"/>
      <c r="H8" s="15" t="s">
        <v>7</v>
      </c>
      <c r="I8" s="765" t="s">
        <v>287</v>
      </c>
      <c r="J8" s="12" t="s">
        <v>76</v>
      </c>
      <c r="K8" s="10" t="s">
        <v>8</v>
      </c>
      <c r="L8" s="810" t="s">
        <v>103</v>
      </c>
      <c r="M8" s="811"/>
      <c r="N8" s="1"/>
      <c r="S8" s="41" t="str">
        <f>C25</f>
        <v>１．エネルギー／温暖化ガス</v>
      </c>
      <c r="T8" s="115">
        <f>IF(C42/D42&gt;1,1,C42/D42)</f>
        <v>0.68571428571428572</v>
      </c>
      <c r="U8" s="116"/>
      <c r="W8" s="360" t="s">
        <v>685</v>
      </c>
      <c r="X8" s="171" t="str">
        <f>IF(建築環境SDGsチェックリスト!$D$3="物流施設",建築環境SDGsチェックリスト!H122,"0")</f>
        <v>0</v>
      </c>
    </row>
    <row r="9" spans="2:27" ht="14.25">
      <c r="B9" s="9"/>
      <c r="C9" s="10" t="s">
        <v>9</v>
      </c>
      <c r="D9" s="778" t="s">
        <v>10</v>
      </c>
      <c r="E9" s="779"/>
      <c r="F9" s="779"/>
      <c r="G9" s="779"/>
      <c r="H9" s="15" t="s">
        <v>954</v>
      </c>
      <c r="I9" s="765" t="s">
        <v>287</v>
      </c>
      <c r="J9" s="12" t="s">
        <v>76</v>
      </c>
      <c r="K9" s="10" t="s">
        <v>11</v>
      </c>
      <c r="L9" s="21" t="s">
        <v>287</v>
      </c>
      <c r="M9" s="25"/>
      <c r="N9" s="1"/>
      <c r="S9" s="41" t="str">
        <f>C44</f>
        <v>２．水</v>
      </c>
      <c r="T9" s="115">
        <f>C54/D54</f>
        <v>0.6</v>
      </c>
      <c r="U9" s="116"/>
      <c r="W9" s="360" t="s">
        <v>692</v>
      </c>
      <c r="X9" s="171" t="str">
        <f>IF(建築環境SDGsチェックリスト!$D$3="物流施設",建築環境SDGsチェックリスト!H123,"0")</f>
        <v>0</v>
      </c>
    </row>
    <row r="10" spans="2:27" ht="14.25">
      <c r="B10" s="9"/>
      <c r="C10" s="10" t="s">
        <v>14</v>
      </c>
      <c r="D10" s="778" t="s">
        <v>338</v>
      </c>
      <c r="E10" s="778"/>
      <c r="F10" s="778"/>
      <c r="G10" s="812"/>
      <c r="H10" s="15" t="s">
        <v>12</v>
      </c>
      <c r="I10" s="21" t="s">
        <v>290</v>
      </c>
      <c r="J10" s="12"/>
      <c r="K10" s="10" t="s">
        <v>120</v>
      </c>
      <c r="L10" s="202"/>
      <c r="M10" s="203"/>
      <c r="N10" s="1"/>
      <c r="S10" s="41" t="str">
        <f>C56</f>
        <v>３．資源利用／安全</v>
      </c>
      <c r="T10" s="115">
        <f>C82/D82</f>
        <v>0.53749999999999998</v>
      </c>
      <c r="U10" s="116"/>
      <c r="W10" s="360" t="s">
        <v>693</v>
      </c>
      <c r="X10" s="171" t="str">
        <f>IF(建築環境SDGsチェックリスト!$D$3="物流施設",建築環境SDGsチェックリスト!H124,"0")</f>
        <v>0</v>
      </c>
    </row>
    <row r="11" spans="2:27" ht="14.25">
      <c r="B11" s="9"/>
      <c r="C11" s="10" t="s">
        <v>125</v>
      </c>
      <c r="D11" s="810" t="s">
        <v>291</v>
      </c>
      <c r="E11" s="810"/>
      <c r="F11" s="810"/>
      <c r="G11" s="810"/>
      <c r="H11" s="15" t="s">
        <v>15</v>
      </c>
      <c r="I11" s="22" t="s">
        <v>292</v>
      </c>
      <c r="J11" s="12"/>
      <c r="K11" s="10" t="s">
        <v>13</v>
      </c>
      <c r="L11" s="813" t="s">
        <v>103</v>
      </c>
      <c r="M11" s="814"/>
      <c r="N11" s="1"/>
      <c r="S11" s="41" t="str">
        <f>C84</f>
        <v>４．生物多様性／敷地</v>
      </c>
      <c r="T11" s="115">
        <f>C100/D100</f>
        <v>0.6</v>
      </c>
      <c r="U11" s="116"/>
      <c r="W11" s="360" t="s">
        <v>694</v>
      </c>
      <c r="X11" s="171" t="str">
        <f>IF(建築環境SDGsチェックリスト!$D$3="物流施設",建築環境SDGsチェックリスト!H125,"0")</f>
        <v>0</v>
      </c>
    </row>
    <row r="12" spans="2:27" ht="14.25">
      <c r="B12" s="9"/>
      <c r="C12" s="10" t="s">
        <v>124</v>
      </c>
      <c r="F12" s="800" t="s">
        <v>293</v>
      </c>
      <c r="G12" s="801"/>
      <c r="H12" s="15" t="s">
        <v>17</v>
      </c>
      <c r="I12" s="117" t="s">
        <v>18</v>
      </c>
      <c r="J12" s="16" t="s">
        <v>19</v>
      </c>
      <c r="K12" s="10" t="s">
        <v>16</v>
      </c>
      <c r="L12" s="54" t="s">
        <v>287</v>
      </c>
      <c r="M12" s="55"/>
      <c r="N12" s="1"/>
      <c r="S12" s="41" t="str">
        <f>C102</f>
        <v>５．屋内環境</v>
      </c>
      <c r="T12" s="115">
        <f>C128/D128</f>
        <v>0.6</v>
      </c>
      <c r="U12" s="116"/>
      <c r="W12" s="360" t="s">
        <v>695</v>
      </c>
      <c r="X12" s="171" t="str">
        <f>IF(建築環境SDGsチェックリスト!$D$3="物流施設",建築環境SDGsチェックリスト!H126,"0")</f>
        <v>0</v>
      </c>
    </row>
    <row r="13" spans="2:27" ht="14.25">
      <c r="B13" s="13"/>
      <c r="C13" s="759" t="s">
        <v>952</v>
      </c>
      <c r="D13" s="14"/>
      <c r="E13" s="14"/>
      <c r="F13" s="818" t="s">
        <v>953</v>
      </c>
      <c r="G13" s="819"/>
      <c r="H13" s="17" t="s">
        <v>20</v>
      </c>
      <c r="I13" s="24" t="s">
        <v>18</v>
      </c>
      <c r="J13" s="18" t="s">
        <v>69</v>
      </c>
      <c r="K13" s="17" t="s">
        <v>120</v>
      </c>
      <c r="L13" s="204"/>
      <c r="M13" s="205"/>
      <c r="N13" s="1"/>
      <c r="S13" s="41"/>
      <c r="T13" s="41"/>
      <c r="W13" s="360" t="s">
        <v>696</v>
      </c>
      <c r="X13" s="171" t="str">
        <f>IF(建築環境SDGsチェックリスト!$D$3="物流施設",建築環境SDGsチェックリスト!H127,"0")</f>
        <v>0</v>
      </c>
      <c r="Z13" t="s">
        <v>872</v>
      </c>
    </row>
    <row r="14" spans="2:27" ht="3.95" customHeight="1">
      <c r="B14" s="3"/>
      <c r="C14" s="4"/>
      <c r="D14" s="4"/>
      <c r="E14" s="4"/>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697</v>
      </c>
      <c r="X15" s="385" t="e">
        <f>(AVERAGE(X2:X13)-1)*2+1</f>
        <v>#DIV/0!</v>
      </c>
    </row>
    <row r="16" spans="2:27" ht="3.6" customHeight="1">
      <c r="B16" s="26"/>
      <c r="E16" s="211"/>
      <c r="G16" s="4"/>
      <c r="H16" s="4"/>
      <c r="I16" s="4"/>
      <c r="M16" s="44"/>
      <c r="N16" s="1"/>
      <c r="S16" s="41" t="s">
        <v>91</v>
      </c>
      <c r="T16" s="41" t="s">
        <v>92</v>
      </c>
      <c r="W16" s="41" t="s">
        <v>698</v>
      </c>
      <c r="X16" s="171" t="e">
        <f>IF(X15=1,1,IF(X15&lt;1.5,1,IF(X15&lt;2.5,2,IF(X15&lt;3.5,3,IF(X15&lt;4.5,4,5)))))/5</f>
        <v>#DIV/0!</v>
      </c>
      <c r="Z16" s="41" t="s">
        <v>868</v>
      </c>
      <c r="AA16" s="41" t="s">
        <v>92</v>
      </c>
    </row>
    <row r="17" spans="2:27" ht="14.25">
      <c r="B17" s="26"/>
      <c r="C17" s="746">
        <f>C42+C54+C82+C100+C128</f>
        <v>61.75</v>
      </c>
      <c r="D17" s="50" t="s">
        <v>104</v>
      </c>
      <c r="E17" s="705" t="s">
        <v>22</v>
      </c>
      <c r="H17" s="4"/>
      <c r="I17" s="214" t="s">
        <v>889</v>
      </c>
      <c r="M17" s="706" t="str">
        <f>IF(Z17=0,Z13,"")</f>
        <v>評価しない</v>
      </c>
      <c r="N17" s="1"/>
      <c r="S17" s="41">
        <f>IF(C17&gt;=F19,5,IF(C17&gt;=F20,4,IF(C17&gt;=F21,3,IF(C17&gt;=F22,2,0))))</f>
        <v>3</v>
      </c>
      <c r="T17" s="41">
        <f>5-S17</f>
        <v>2</v>
      </c>
      <c r="W17" s="41" t="s">
        <v>699</v>
      </c>
      <c r="X17" s="171" t="e">
        <f>1-X16</f>
        <v>#DIV/0!</v>
      </c>
      <c r="Z17" s="702">
        <f>C132</f>
        <v>0</v>
      </c>
      <c r="AA17" s="41">
        <f>IF(M17=Z13,0,5-Z17)</f>
        <v>0</v>
      </c>
    </row>
    <row r="18" spans="2:27" ht="14.25">
      <c r="B18" s="26"/>
      <c r="C18" s="707" t="s">
        <v>105</v>
      </c>
      <c r="D18" s="708" t="s">
        <v>106</v>
      </c>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862</v>
      </c>
      <c r="K21" s="703" t="str">
        <f>IF(M17=Z13,"",L132)</f>
        <v/>
      </c>
      <c r="L21" s="32" t="s">
        <v>867</v>
      </c>
      <c r="M21" s="703" t="str">
        <f>IF(M17=Z13,"",L134)</f>
        <v/>
      </c>
      <c r="N21" s="1"/>
    </row>
    <row r="22" spans="2:27" ht="14.25">
      <c r="B22" s="43"/>
      <c r="C22" s="11" t="s">
        <v>326</v>
      </c>
      <c r="E22" s="10" t="s">
        <v>23</v>
      </c>
      <c r="F22" s="709">
        <v>50</v>
      </c>
      <c r="J22" s="32" t="s">
        <v>924</v>
      </c>
      <c r="K22" s="703" t="str">
        <f>IF(M17=Z13,"",L133)</f>
        <v/>
      </c>
      <c r="L22" s="32" t="s">
        <v>865</v>
      </c>
      <c r="M22" s="703" t="str">
        <f>IF(M17=Z13,"",L135)</f>
        <v/>
      </c>
    </row>
    <row r="23" spans="2:27" ht="14.25">
      <c r="B23" s="698"/>
      <c r="C23" s="711" t="s">
        <v>869</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0</v>
      </c>
      <c r="U24" s="41">
        <f t="shared" ref="U24:U51" si="1">IF(AND($L$35&gt;=S24,$L$35&lt;S25),T24,0)</f>
        <v>0</v>
      </c>
      <c r="W24" s="41">
        <v>0</v>
      </c>
      <c r="X24" s="48"/>
      <c r="Y24" s="48"/>
      <c r="Z24" s="48"/>
    </row>
    <row r="25" spans="2:27" ht="15">
      <c r="B25" s="5"/>
      <c r="C25" s="6" t="s">
        <v>312</v>
      </c>
      <c r="D25" s="7"/>
      <c r="E25" s="219"/>
      <c r="F25" s="7"/>
      <c r="G25" s="7"/>
      <c r="H25" s="7"/>
      <c r="I25" s="7"/>
      <c r="J25" s="7"/>
      <c r="K25" s="7"/>
      <c r="L25" s="7"/>
      <c r="M25" s="8"/>
      <c r="S25" s="118">
        <f t="shared" si="0"/>
        <v>200</v>
      </c>
      <c r="T25" s="41">
        <f t="shared" ref="T25:T51" si="2">IF($I$9&gt;=30000,Z25,IF($I$9&gt;=10000,Y25,X25))</f>
        <v>0</v>
      </c>
      <c r="U25" s="41">
        <f t="shared" si="1"/>
        <v>0</v>
      </c>
      <c r="W25" s="41">
        <v>200</v>
      </c>
      <c r="X25" s="48"/>
      <c r="Y25" s="48"/>
      <c r="Z25" s="48"/>
    </row>
    <row r="26" spans="2:27" ht="14.25">
      <c r="B26" s="26"/>
      <c r="C26" s="31" t="s">
        <v>24</v>
      </c>
      <c r="D26" s="10" t="s">
        <v>25</v>
      </c>
      <c r="E26" s="32"/>
      <c r="F26" s="11"/>
      <c r="G26" s="10"/>
      <c r="H26" s="10"/>
      <c r="I26" s="10"/>
      <c r="J26" s="31" t="s">
        <v>26</v>
      </c>
      <c r="K26" s="11" t="s">
        <v>70</v>
      </c>
      <c r="L26" s="31" t="s">
        <v>27</v>
      </c>
      <c r="M26" s="12"/>
      <c r="S26" s="118">
        <f t="shared" si="0"/>
        <v>400</v>
      </c>
      <c r="T26" s="41">
        <f t="shared" si="2"/>
        <v>0</v>
      </c>
      <c r="U26" s="41">
        <f t="shared" si="1"/>
        <v>0</v>
      </c>
      <c r="W26" s="41">
        <v>400</v>
      </c>
      <c r="X26" s="48"/>
      <c r="Y26" s="48"/>
      <c r="Z26" s="48"/>
    </row>
    <row r="27" spans="2:27" ht="14.25">
      <c r="B27" s="26"/>
      <c r="C27" s="367"/>
      <c r="D27" s="11"/>
      <c r="E27" s="214" t="s">
        <v>28</v>
      </c>
      <c r="F27" s="11"/>
      <c r="G27" s="10" t="s">
        <v>29</v>
      </c>
      <c r="H27" s="10"/>
      <c r="I27" s="10"/>
      <c r="J27" s="11"/>
      <c r="K27" s="11"/>
      <c r="L27" s="11"/>
      <c r="M27" s="12"/>
      <c r="S27" s="118">
        <f t="shared" ref="S27:S35" si="3">W27</f>
        <v>600</v>
      </c>
      <c r="T27" s="41">
        <f t="shared" ref="T27:T35" si="4">IF($I$9&gt;=30000,Z27,IF($I$9&gt;=10000,Y27,X27))</f>
        <v>0</v>
      </c>
      <c r="U27" s="41">
        <f t="shared" si="1"/>
        <v>0</v>
      </c>
      <c r="W27" s="41">
        <v>600</v>
      </c>
      <c r="X27" s="48"/>
      <c r="Y27" s="48"/>
      <c r="Z27" s="48"/>
    </row>
    <row r="28" spans="2:27" ht="14.25">
      <c r="B28" s="26"/>
      <c r="C28" s="49"/>
      <c r="D28" s="19" t="s">
        <v>72</v>
      </c>
      <c r="E28" s="32"/>
      <c r="F28" s="42" t="s">
        <v>30</v>
      </c>
      <c r="G28" s="823"/>
      <c r="H28" s="833"/>
      <c r="I28" s="834"/>
      <c r="J28" s="10" t="s">
        <v>71</v>
      </c>
      <c r="K28" s="11"/>
      <c r="L28" s="119"/>
      <c r="M28" s="12" t="s">
        <v>80</v>
      </c>
      <c r="S28" s="118">
        <f t="shared" si="3"/>
        <v>800</v>
      </c>
      <c r="T28" s="41">
        <f t="shared" si="4"/>
        <v>0</v>
      </c>
      <c r="U28" s="41">
        <f t="shared" si="1"/>
        <v>0</v>
      </c>
      <c r="W28" s="41">
        <v>800</v>
      </c>
      <c r="X28" s="48"/>
      <c r="Y28" s="48"/>
      <c r="Z28" s="48"/>
    </row>
    <row r="29" spans="2:27" ht="14.25">
      <c r="B29" s="26"/>
      <c r="E29" s="32"/>
      <c r="F29" s="11"/>
      <c r="G29" s="835"/>
      <c r="H29" s="836"/>
      <c r="I29" s="837"/>
      <c r="J29" s="11"/>
      <c r="K29" s="11"/>
      <c r="L29" s="11"/>
      <c r="M29" s="12"/>
      <c r="S29" s="118">
        <f t="shared" si="3"/>
        <v>1000</v>
      </c>
      <c r="T29" s="41">
        <f t="shared" si="4"/>
        <v>0</v>
      </c>
      <c r="U29" s="41">
        <f t="shared" si="1"/>
        <v>0</v>
      </c>
      <c r="W29" s="41">
        <v>1000</v>
      </c>
      <c r="X29" s="48"/>
      <c r="Y29" s="48"/>
      <c r="Z29" s="48"/>
    </row>
    <row r="30" spans="2:27" ht="14.25">
      <c r="B30" s="26"/>
      <c r="C30" s="49">
        <v>15</v>
      </c>
      <c r="D30" s="19">
        <v>20</v>
      </c>
      <c r="E30" s="33">
        <v>1.1000000000000001</v>
      </c>
      <c r="F30" s="34" t="s">
        <v>31</v>
      </c>
      <c r="G30" s="10"/>
      <c r="H30" s="10"/>
      <c r="I30" s="10"/>
      <c r="J30" s="11"/>
      <c r="K30" s="11"/>
      <c r="L30" s="11"/>
      <c r="M30" s="12"/>
      <c r="S30" s="118">
        <f t="shared" si="3"/>
        <v>1200</v>
      </c>
      <c r="T30" s="41">
        <f t="shared" si="4"/>
        <v>0</v>
      </c>
      <c r="U30" s="41">
        <f t="shared" si="1"/>
        <v>0</v>
      </c>
      <c r="W30" s="41">
        <v>1200</v>
      </c>
      <c r="X30" s="48"/>
      <c r="Y30" s="48"/>
      <c r="Z30" s="48"/>
    </row>
    <row r="31" spans="2:27" ht="14.25">
      <c r="B31" s="26"/>
      <c r="C31" s="11"/>
      <c r="D31" s="32"/>
      <c r="E31" s="32"/>
      <c r="F31" s="42" t="s">
        <v>30</v>
      </c>
      <c r="G31" s="823"/>
      <c r="H31" s="833"/>
      <c r="I31" s="834"/>
      <c r="J31" s="10" t="s">
        <v>73</v>
      </c>
      <c r="K31" s="11"/>
      <c r="L31" s="120"/>
      <c r="M31" s="12" t="s">
        <v>80</v>
      </c>
      <c r="S31" s="118">
        <f t="shared" si="3"/>
        <v>1400</v>
      </c>
      <c r="T31" s="41">
        <f t="shared" si="4"/>
        <v>0</v>
      </c>
      <c r="U31" s="41">
        <f t="shared" si="1"/>
        <v>0</v>
      </c>
      <c r="W31" s="41">
        <v>1400</v>
      </c>
      <c r="X31" s="48"/>
      <c r="Y31" s="48"/>
      <c r="Z31" s="48"/>
    </row>
    <row r="32" spans="2:27" ht="14.25">
      <c r="B32" s="26"/>
      <c r="C32" s="11"/>
      <c r="D32" s="11"/>
      <c r="E32" s="32"/>
      <c r="F32" s="11"/>
      <c r="G32" s="838"/>
      <c r="H32" s="839"/>
      <c r="I32" s="840"/>
      <c r="J32" s="10" t="s">
        <v>74</v>
      </c>
      <c r="K32" s="11"/>
      <c r="L32" s="120"/>
      <c r="M32" s="12" t="s">
        <v>81</v>
      </c>
      <c r="S32" s="118">
        <f t="shared" si="3"/>
        <v>1600</v>
      </c>
      <c r="T32" s="41">
        <f t="shared" si="4"/>
        <v>0</v>
      </c>
      <c r="U32" s="41">
        <f t="shared" si="1"/>
        <v>0</v>
      </c>
      <c r="W32" s="41">
        <v>1600</v>
      </c>
      <c r="X32" s="48"/>
      <c r="Y32" s="48"/>
      <c r="Z32" s="48"/>
    </row>
    <row r="33" spans="2:26" ht="15.75">
      <c r="B33" s="26"/>
      <c r="C33" s="11"/>
      <c r="D33" s="11"/>
      <c r="E33" s="32"/>
      <c r="F33" s="11"/>
      <c r="G33" s="835"/>
      <c r="H33" s="836"/>
      <c r="I33" s="837"/>
      <c r="J33" s="10" t="s">
        <v>890</v>
      </c>
      <c r="K33" s="11"/>
      <c r="L33" s="120"/>
      <c r="M33" s="12" t="s">
        <v>891</v>
      </c>
      <c r="S33" s="118">
        <f t="shared" si="3"/>
        <v>1800</v>
      </c>
      <c r="T33" s="41">
        <f t="shared" si="4"/>
        <v>0</v>
      </c>
      <c r="U33" s="41">
        <f t="shared" si="1"/>
        <v>0</v>
      </c>
      <c r="W33" s="41">
        <v>1800</v>
      </c>
      <c r="X33" s="48"/>
      <c r="Y33" s="48"/>
      <c r="Z33" s="48"/>
    </row>
    <row r="34" spans="2:26" ht="14.25">
      <c r="B34" s="26"/>
      <c r="C34" s="49">
        <v>3</v>
      </c>
      <c r="D34" s="19">
        <v>5</v>
      </c>
      <c r="E34" s="33" t="s">
        <v>32</v>
      </c>
      <c r="F34" s="34" t="s">
        <v>33</v>
      </c>
      <c r="G34" s="10"/>
      <c r="H34" s="10"/>
      <c r="I34" s="10"/>
      <c r="J34" s="11"/>
      <c r="K34" s="11"/>
      <c r="L34" s="11"/>
      <c r="M34" s="12"/>
      <c r="S34" s="118">
        <f t="shared" si="3"/>
        <v>2000</v>
      </c>
      <c r="T34" s="41">
        <f t="shared" si="4"/>
        <v>0</v>
      </c>
      <c r="U34" s="41">
        <f t="shared" si="1"/>
        <v>0</v>
      </c>
      <c r="W34" s="41">
        <v>2000</v>
      </c>
      <c r="X34" s="48"/>
      <c r="Y34" s="48"/>
      <c r="Z34" s="48"/>
    </row>
    <row r="35" spans="2:26" ht="14.25">
      <c r="B35" s="26"/>
      <c r="C35" s="11"/>
      <c r="D35" s="32"/>
      <c r="E35" s="32"/>
      <c r="F35" s="42" t="s">
        <v>30</v>
      </c>
      <c r="G35" s="823"/>
      <c r="H35" s="833"/>
      <c r="I35" s="834"/>
      <c r="J35" s="10" t="s">
        <v>374</v>
      </c>
      <c r="K35" s="11"/>
      <c r="L35" s="120"/>
      <c r="M35" s="12" t="s">
        <v>375</v>
      </c>
      <c r="S35" s="118">
        <f t="shared" si="3"/>
        <v>2200</v>
      </c>
      <c r="T35" s="41">
        <f t="shared" si="4"/>
        <v>0</v>
      </c>
      <c r="U35" s="41">
        <f t="shared" si="1"/>
        <v>0</v>
      </c>
      <c r="W35" s="41">
        <v>2200</v>
      </c>
      <c r="X35" s="48"/>
      <c r="Y35" s="48"/>
      <c r="Z35" s="48"/>
    </row>
    <row r="36" spans="2:26" ht="14.25">
      <c r="B36" s="26"/>
      <c r="C36" s="11"/>
      <c r="D36" s="11"/>
      <c r="E36" s="32"/>
      <c r="F36" s="11"/>
      <c r="G36" s="838"/>
      <c r="H36" s="839"/>
      <c r="I36" s="840"/>
      <c r="J36" s="10"/>
      <c r="K36" s="11"/>
      <c r="M36" s="12"/>
      <c r="S36" s="118">
        <f t="shared" si="0"/>
        <v>2400</v>
      </c>
      <c r="T36" s="41">
        <f t="shared" si="2"/>
        <v>0</v>
      </c>
      <c r="U36" s="41">
        <f t="shared" si="1"/>
        <v>0</v>
      </c>
      <c r="W36" s="41">
        <v>2400</v>
      </c>
      <c r="X36" s="48"/>
      <c r="Y36" s="48"/>
      <c r="Z36" s="48"/>
    </row>
    <row r="37" spans="2:26" ht="14.25">
      <c r="B37" s="26"/>
      <c r="C37" s="11"/>
      <c r="D37" s="11"/>
      <c r="E37" s="32"/>
      <c r="F37" s="11"/>
      <c r="G37" s="835"/>
      <c r="H37" s="836"/>
      <c r="I37" s="837"/>
      <c r="J37" s="10"/>
      <c r="K37" s="11"/>
      <c r="M37" s="12"/>
      <c r="S37" s="118">
        <f t="shared" si="0"/>
        <v>2600</v>
      </c>
      <c r="T37" s="41">
        <f t="shared" si="2"/>
        <v>0</v>
      </c>
      <c r="U37" s="41">
        <f t="shared" si="1"/>
        <v>0</v>
      </c>
      <c r="W37" s="47">
        <v>2600</v>
      </c>
      <c r="X37" s="48"/>
      <c r="Y37" s="48"/>
      <c r="Z37" s="48"/>
    </row>
    <row r="38" spans="2:26" ht="14.25">
      <c r="B38" s="26"/>
      <c r="C38" s="368">
        <v>3</v>
      </c>
      <c r="D38" s="19">
        <v>5</v>
      </c>
      <c r="E38" s="33">
        <v>1.3</v>
      </c>
      <c r="F38" s="34" t="s">
        <v>356</v>
      </c>
      <c r="G38" s="10"/>
      <c r="H38" s="10"/>
      <c r="I38" s="42" t="s">
        <v>370</v>
      </c>
      <c r="J38" s="11"/>
      <c r="K38" s="11"/>
      <c r="L38" s="11"/>
      <c r="M38" s="12"/>
      <c r="S38" s="118">
        <f t="shared" si="0"/>
        <v>2800</v>
      </c>
      <c r="T38" s="41">
        <f t="shared" si="2"/>
        <v>0</v>
      </c>
      <c r="U38" s="41">
        <f t="shared" si="1"/>
        <v>0</v>
      </c>
      <c r="W38" s="41">
        <v>2800</v>
      </c>
      <c r="X38" s="48"/>
      <c r="Y38" s="48"/>
      <c r="Z38" s="48"/>
    </row>
    <row r="39" spans="2:26" ht="14.25">
      <c r="B39" s="26"/>
      <c r="C39" s="11"/>
      <c r="D39" s="32"/>
      <c r="E39" s="32"/>
      <c r="F39" s="42" t="s">
        <v>30</v>
      </c>
      <c r="G39" s="820"/>
      <c r="H39" s="825"/>
      <c r="I39" s="826"/>
      <c r="J39" s="10" t="s">
        <v>339</v>
      </c>
      <c r="K39" s="11"/>
      <c r="L39" s="369"/>
      <c r="M39" s="16" t="s">
        <v>83</v>
      </c>
      <c r="S39" s="118">
        <f t="shared" si="0"/>
        <v>3000</v>
      </c>
      <c r="T39" s="41">
        <f t="shared" si="2"/>
        <v>0</v>
      </c>
      <c r="U39" s="41">
        <f t="shared" si="1"/>
        <v>0</v>
      </c>
      <c r="W39" s="41">
        <v>3000</v>
      </c>
      <c r="X39" s="48"/>
      <c r="Y39" s="48"/>
      <c r="Z39" s="48"/>
    </row>
    <row r="40" spans="2:26" ht="14.25">
      <c r="B40" s="26"/>
      <c r="C40" s="49">
        <v>3</v>
      </c>
      <c r="D40" s="19">
        <v>5</v>
      </c>
      <c r="E40" s="33">
        <v>1.4</v>
      </c>
      <c r="F40" s="34" t="s">
        <v>859</v>
      </c>
      <c r="G40" s="10"/>
      <c r="H40" s="10"/>
      <c r="I40" s="10"/>
      <c r="J40" s="11"/>
      <c r="K40" s="11"/>
      <c r="L40" s="11"/>
      <c r="M40" s="12"/>
      <c r="S40" s="118">
        <f t="shared" si="0"/>
        <v>3200</v>
      </c>
      <c r="T40" s="41">
        <f t="shared" si="2"/>
        <v>0</v>
      </c>
      <c r="U40" s="41">
        <f t="shared" si="1"/>
        <v>0</v>
      </c>
      <c r="W40" s="41">
        <v>3200</v>
      </c>
      <c r="X40" s="48"/>
      <c r="Y40" s="48"/>
      <c r="Z40" s="48"/>
    </row>
    <row r="41" spans="2:26" ht="14.25">
      <c r="B41" s="26"/>
      <c r="C41" s="11"/>
      <c r="D41" s="32"/>
      <c r="E41" s="32"/>
      <c r="F41" s="42" t="s">
        <v>30</v>
      </c>
      <c r="G41" s="820"/>
      <c r="H41" s="825"/>
      <c r="I41" s="826"/>
      <c r="J41" s="10" t="s">
        <v>34</v>
      </c>
      <c r="K41" s="11"/>
      <c r="L41" s="120"/>
      <c r="M41" s="12" t="s">
        <v>35</v>
      </c>
      <c r="S41" s="118">
        <f t="shared" si="0"/>
        <v>3400</v>
      </c>
      <c r="T41" s="41">
        <f t="shared" si="2"/>
        <v>0</v>
      </c>
      <c r="U41" s="41">
        <f t="shared" si="1"/>
        <v>0</v>
      </c>
      <c r="W41" s="41">
        <v>3400</v>
      </c>
      <c r="X41" s="48"/>
      <c r="Y41" s="48"/>
      <c r="Z41" s="48"/>
    </row>
    <row r="42" spans="2:26" ht="14.25">
      <c r="B42" s="26"/>
      <c r="C42" s="56">
        <f>C28+C30+C34+C38+C40</f>
        <v>24</v>
      </c>
      <c r="D42" s="215">
        <f>D30+D34+D38+D40</f>
        <v>35</v>
      </c>
      <c r="E42" s="220" t="s">
        <v>22</v>
      </c>
      <c r="F42" s="11"/>
      <c r="G42" s="10"/>
      <c r="H42" s="10"/>
      <c r="I42" s="10"/>
      <c r="J42" s="11"/>
      <c r="K42" s="11"/>
      <c r="L42" s="11"/>
      <c r="M42" s="12"/>
      <c r="S42" s="118">
        <f t="shared" si="0"/>
        <v>3600</v>
      </c>
      <c r="T42" s="41">
        <f t="shared" si="2"/>
        <v>0</v>
      </c>
      <c r="U42" s="41">
        <f t="shared" si="1"/>
        <v>0</v>
      </c>
      <c r="W42" s="41">
        <v>3600</v>
      </c>
      <c r="X42" s="48"/>
      <c r="Y42" s="48"/>
      <c r="Z42" s="48"/>
    </row>
    <row r="43" spans="2:26" ht="7.15" customHeight="1">
      <c r="B43" s="26"/>
      <c r="C43" s="4"/>
      <c r="D43" s="4"/>
      <c r="E43" s="217"/>
      <c r="F43" s="4"/>
      <c r="G43" s="1"/>
      <c r="H43" s="1"/>
      <c r="I43" s="1"/>
      <c r="J43" s="4"/>
      <c r="K43" s="4"/>
      <c r="L43" s="4"/>
      <c r="M43" s="27"/>
      <c r="S43" s="118">
        <f t="shared" si="0"/>
        <v>3800</v>
      </c>
      <c r="T43" s="41">
        <f t="shared" si="2"/>
        <v>0</v>
      </c>
      <c r="U43" s="41">
        <f t="shared" si="1"/>
        <v>0</v>
      </c>
      <c r="W43" s="41">
        <v>3800</v>
      </c>
      <c r="X43" s="48"/>
      <c r="Y43" s="48"/>
      <c r="Z43" s="48"/>
    </row>
    <row r="44" spans="2:26" ht="15">
      <c r="B44" s="35"/>
      <c r="C44" s="36" t="s">
        <v>36</v>
      </c>
      <c r="D44" s="37"/>
      <c r="E44" s="221"/>
      <c r="F44" s="37"/>
      <c r="G44" s="36"/>
      <c r="H44" s="36"/>
      <c r="I44" s="36"/>
      <c r="J44" s="37"/>
      <c r="K44" s="37"/>
      <c r="L44" s="37"/>
      <c r="M44" s="38"/>
      <c r="S44" s="118">
        <f t="shared" si="0"/>
        <v>4000</v>
      </c>
      <c r="T44" s="41">
        <f t="shared" si="2"/>
        <v>0</v>
      </c>
      <c r="U44" s="41">
        <f t="shared" si="1"/>
        <v>0</v>
      </c>
      <c r="W44" s="41">
        <v>4000</v>
      </c>
      <c r="X44" s="48"/>
      <c r="Y44" s="48"/>
      <c r="Z44" s="48"/>
    </row>
    <row r="45" spans="2:26" ht="14.25">
      <c r="B45" s="26"/>
      <c r="C45" s="31" t="s">
        <v>24</v>
      </c>
      <c r="D45" s="10" t="s">
        <v>25</v>
      </c>
      <c r="E45" s="32"/>
      <c r="F45" s="11"/>
      <c r="G45" s="10"/>
      <c r="H45" s="10"/>
      <c r="I45" s="10"/>
      <c r="J45" s="31" t="s">
        <v>26</v>
      </c>
      <c r="K45" s="11"/>
      <c r="L45" s="31" t="s">
        <v>27</v>
      </c>
      <c r="M45" s="12"/>
      <c r="S45" s="118">
        <f>W45</f>
        <v>4200</v>
      </c>
      <c r="T45" s="41">
        <f>IF($I$9&gt;=30000,Z45,IF($I$9&gt;=10000,Y45,X45))</f>
        <v>0</v>
      </c>
      <c r="U45" s="41">
        <f t="shared" si="1"/>
        <v>0</v>
      </c>
      <c r="W45" s="41">
        <v>4200</v>
      </c>
      <c r="X45" s="48"/>
      <c r="Y45" s="48"/>
      <c r="Z45" s="48"/>
    </row>
    <row r="46" spans="2:26" ht="14.25">
      <c r="B46" s="26"/>
      <c r="C46" s="367"/>
      <c r="D46" s="11"/>
      <c r="E46" s="214" t="s">
        <v>28</v>
      </c>
      <c r="F46" s="11"/>
      <c r="G46" s="10" t="s">
        <v>37</v>
      </c>
      <c r="H46" s="10"/>
      <c r="I46" s="10"/>
      <c r="J46" s="11"/>
      <c r="K46" s="11"/>
      <c r="L46" s="11"/>
      <c r="M46" s="12"/>
      <c r="S46" s="118">
        <f>W46</f>
        <v>4400</v>
      </c>
      <c r="T46" s="41">
        <f>IF($I$9&gt;=30000,Z46,IF($I$9&gt;=10000,Y46,X46))</f>
        <v>0</v>
      </c>
      <c r="U46" s="41">
        <f t="shared" si="1"/>
        <v>0</v>
      </c>
      <c r="W46" s="41">
        <v>4400</v>
      </c>
      <c r="X46" s="48"/>
      <c r="Y46" s="48"/>
      <c r="Z46" s="48"/>
    </row>
    <row r="47" spans="2:26" ht="14.25">
      <c r="B47" s="26"/>
      <c r="C47" s="11"/>
      <c r="D47" s="11"/>
      <c r="E47" s="32"/>
      <c r="F47" s="42" t="s">
        <v>30</v>
      </c>
      <c r="G47" s="820"/>
      <c r="H47" s="825"/>
      <c r="I47" s="826"/>
      <c r="J47" s="10" t="s">
        <v>38</v>
      </c>
      <c r="K47" s="11"/>
      <c r="L47" s="120"/>
      <c r="M47" s="12" t="s">
        <v>82</v>
      </c>
      <c r="S47" s="118">
        <f>W47</f>
        <v>4600</v>
      </c>
      <c r="T47" s="41">
        <f>IF($I$9&gt;=30000,Z47,IF($I$9&gt;=10000,Y47,X47))</f>
        <v>0</v>
      </c>
      <c r="U47" s="41">
        <f t="shared" si="1"/>
        <v>0</v>
      </c>
      <c r="W47" s="41">
        <v>4600</v>
      </c>
      <c r="X47" s="48"/>
      <c r="Y47" s="48"/>
      <c r="Z47" s="48"/>
    </row>
    <row r="48" spans="2:26" ht="14.25">
      <c r="B48" s="26"/>
      <c r="C48" s="11"/>
      <c r="D48" s="19">
        <v>0</v>
      </c>
      <c r="E48" s="33" t="s">
        <v>39</v>
      </c>
      <c r="F48" s="34" t="s">
        <v>40</v>
      </c>
      <c r="G48" s="10"/>
      <c r="H48" s="10"/>
      <c r="I48" s="42" t="s">
        <v>357</v>
      </c>
      <c r="J48" s="11"/>
      <c r="K48" s="11"/>
      <c r="L48" s="11"/>
      <c r="M48" s="12"/>
      <c r="S48" s="118">
        <f>W48</f>
        <v>4800</v>
      </c>
      <c r="T48" s="41">
        <f>IF($I$9&gt;=30000,Z48,IF($I$9&gt;=10000,Y48,X48))</f>
        <v>0</v>
      </c>
      <c r="U48" s="41">
        <f t="shared" si="1"/>
        <v>0</v>
      </c>
      <c r="W48" s="41">
        <v>4800</v>
      </c>
      <c r="X48" s="48"/>
      <c r="Y48" s="48"/>
      <c r="Z48" s="48"/>
    </row>
    <row r="49" spans="2:26" ht="14.25" hidden="1">
      <c r="B49" s="26"/>
      <c r="C49" s="11"/>
      <c r="D49" s="32"/>
      <c r="E49" s="32"/>
      <c r="F49" s="42" t="s">
        <v>30</v>
      </c>
      <c r="G49" s="820"/>
      <c r="H49" s="825"/>
      <c r="I49" s="826"/>
      <c r="J49" s="10" t="s">
        <v>41</v>
      </c>
      <c r="K49" s="11"/>
      <c r="L49" s="120"/>
      <c r="M49" s="12" t="s">
        <v>82</v>
      </c>
      <c r="S49" s="118">
        <f t="shared" si="0"/>
        <v>5000</v>
      </c>
      <c r="T49" s="41">
        <f t="shared" si="2"/>
        <v>0</v>
      </c>
      <c r="U49" s="41">
        <f t="shared" si="1"/>
        <v>0</v>
      </c>
      <c r="W49" s="41">
        <v>5000</v>
      </c>
      <c r="X49" s="48"/>
      <c r="Y49" s="48"/>
      <c r="Z49" s="48"/>
    </row>
    <row r="50" spans="2:26" ht="14.25">
      <c r="B50" s="26"/>
      <c r="C50" s="368">
        <v>6</v>
      </c>
      <c r="D50" s="19">
        <v>10</v>
      </c>
      <c r="E50" s="33">
        <v>2.2000000000000002</v>
      </c>
      <c r="F50" s="34" t="s">
        <v>340</v>
      </c>
      <c r="G50" s="10"/>
      <c r="H50" s="10"/>
      <c r="I50" s="42"/>
      <c r="J50" s="11"/>
      <c r="K50" s="11"/>
      <c r="L50" s="11"/>
      <c r="M50" s="12"/>
      <c r="S50" s="118">
        <f t="shared" si="0"/>
        <v>5200</v>
      </c>
      <c r="T50" s="41">
        <f>IF($I$9&gt;=30000,Z50,IF($I$9&gt;=10000,Y50,X50))</f>
        <v>0</v>
      </c>
      <c r="U50" s="41">
        <f t="shared" si="1"/>
        <v>0</v>
      </c>
      <c r="W50" s="41">
        <v>5200</v>
      </c>
      <c r="X50" s="48"/>
      <c r="Y50" s="48"/>
      <c r="Z50" s="48"/>
    </row>
    <row r="51" spans="2:26" ht="14.25">
      <c r="B51" s="26"/>
      <c r="C51" s="11"/>
      <c r="D51" s="32"/>
      <c r="E51" s="32"/>
      <c r="F51" s="42" t="s">
        <v>30</v>
      </c>
      <c r="G51" s="820" t="s">
        <v>884</v>
      </c>
      <c r="H51" s="825"/>
      <c r="I51" s="826"/>
      <c r="J51" s="10" t="s">
        <v>367</v>
      </c>
      <c r="K51" s="11"/>
      <c r="L51" s="119"/>
      <c r="M51" s="16" t="s">
        <v>83</v>
      </c>
      <c r="S51" s="118">
        <f t="shared" si="0"/>
        <v>5400</v>
      </c>
      <c r="T51" s="41">
        <f t="shared" si="2"/>
        <v>0</v>
      </c>
      <c r="U51" s="41">
        <f t="shared" si="1"/>
        <v>0</v>
      </c>
      <c r="W51" s="41">
        <v>5400</v>
      </c>
      <c r="X51" s="48"/>
      <c r="Y51" s="48"/>
      <c r="Z51" s="48"/>
    </row>
    <row r="52" spans="2:26" ht="14.25">
      <c r="B52" s="26"/>
      <c r="C52" s="11"/>
      <c r="D52" s="19">
        <v>0</v>
      </c>
      <c r="E52" s="33">
        <v>2.2999999999999998</v>
      </c>
      <c r="F52" s="34" t="s">
        <v>42</v>
      </c>
      <c r="G52" s="10"/>
      <c r="H52" s="10"/>
      <c r="I52" s="42" t="s">
        <v>357</v>
      </c>
      <c r="J52" s="11"/>
      <c r="K52" s="11"/>
      <c r="L52" s="11"/>
      <c r="M52" s="12"/>
      <c r="S52" s="121"/>
    </row>
    <row r="53" spans="2:26" ht="14.25" hidden="1">
      <c r="B53" s="26"/>
      <c r="C53" s="11"/>
      <c r="D53" s="32"/>
      <c r="E53" s="32"/>
      <c r="F53" s="42" t="s">
        <v>30</v>
      </c>
      <c r="G53" s="820"/>
      <c r="H53" s="825"/>
      <c r="I53" s="826"/>
      <c r="J53" s="10" t="s">
        <v>43</v>
      </c>
      <c r="K53" s="11"/>
      <c r="L53" s="120"/>
      <c r="M53" s="12" t="s">
        <v>82</v>
      </c>
    </row>
    <row r="54" spans="2:26" ht="14.25">
      <c r="B54" s="26"/>
      <c r="C54" s="56">
        <f>C48+C50+C52</f>
        <v>6</v>
      </c>
      <c r="D54" s="215">
        <f>D48+D50+D52</f>
        <v>10</v>
      </c>
      <c r="E54" s="220" t="s">
        <v>22</v>
      </c>
      <c r="F54" s="11"/>
      <c r="J54" s="11"/>
      <c r="K54" s="11"/>
      <c r="L54" s="11"/>
      <c r="M54" s="12"/>
      <c r="S54" s="41" t="s">
        <v>96</v>
      </c>
      <c r="T54" s="41" t="s">
        <v>101</v>
      </c>
      <c r="U54" s="41" t="s">
        <v>100</v>
      </c>
    </row>
    <row r="55" spans="2:26" ht="7.15" customHeight="1">
      <c r="B55" s="29"/>
      <c r="C55" s="30"/>
      <c r="D55" s="30"/>
      <c r="E55" s="218"/>
      <c r="F55" s="30"/>
      <c r="G55" s="721"/>
      <c r="H55" s="721"/>
      <c r="I55" s="721"/>
      <c r="J55" s="30"/>
      <c r="K55" s="30"/>
      <c r="L55" s="30"/>
      <c r="M55" s="39"/>
      <c r="S55" s="57">
        <v>0</v>
      </c>
      <c r="T55" s="58"/>
      <c r="U55" s="41"/>
    </row>
    <row r="56" spans="2:26" ht="15">
      <c r="B56" s="35"/>
      <c r="C56" s="36" t="s">
        <v>44</v>
      </c>
      <c r="D56" s="37"/>
      <c r="E56" s="221"/>
      <c r="F56" s="37"/>
      <c r="G56" s="36"/>
      <c r="H56" s="36"/>
      <c r="I56" s="36"/>
      <c r="J56" s="37"/>
      <c r="K56" s="37"/>
      <c r="L56" s="37"/>
      <c r="M56" s="38"/>
      <c r="S56" s="57">
        <v>100</v>
      </c>
      <c r="T56" s="58"/>
      <c r="U56" s="41"/>
    </row>
    <row r="57" spans="2:26" ht="14.25">
      <c r="B57" s="26"/>
      <c r="C57" s="31" t="s">
        <v>24</v>
      </c>
      <c r="D57" s="10" t="s">
        <v>25</v>
      </c>
      <c r="E57" s="32"/>
      <c r="F57" s="11"/>
      <c r="G57" s="10"/>
      <c r="H57" s="10"/>
      <c r="I57" s="10"/>
      <c r="J57" s="31" t="s">
        <v>26</v>
      </c>
      <c r="K57" s="11"/>
      <c r="L57" s="31" t="s">
        <v>27</v>
      </c>
      <c r="M57" s="12"/>
      <c r="S57" s="57">
        <v>200</v>
      </c>
      <c r="T57" s="58"/>
      <c r="U57" s="41"/>
    </row>
    <row r="58" spans="2:26" ht="14.25">
      <c r="B58" s="26"/>
      <c r="C58" s="367"/>
      <c r="D58" s="11"/>
      <c r="E58" s="214" t="s">
        <v>28</v>
      </c>
      <c r="F58" s="11"/>
      <c r="G58" s="10" t="s">
        <v>873</v>
      </c>
      <c r="H58" s="10"/>
      <c r="I58" s="10"/>
      <c r="J58" s="11"/>
      <c r="K58" s="11"/>
      <c r="L58" s="11"/>
      <c r="M58" s="12"/>
      <c r="S58" s="57">
        <v>300</v>
      </c>
      <c r="T58" s="58"/>
      <c r="U58" s="41"/>
    </row>
    <row r="59" spans="2:26" ht="13.9" customHeight="1">
      <c r="B59" s="26"/>
      <c r="C59" s="11"/>
      <c r="D59" s="11"/>
      <c r="E59" s="32"/>
      <c r="F59" s="42" t="s">
        <v>30</v>
      </c>
      <c r="G59" s="820"/>
      <c r="H59" s="825"/>
      <c r="I59" s="826"/>
      <c r="J59" s="10" t="s">
        <v>45</v>
      </c>
      <c r="K59" s="11"/>
      <c r="L59" s="11"/>
      <c r="M59" s="12"/>
      <c r="S59" s="57">
        <v>400</v>
      </c>
      <c r="T59" s="58"/>
      <c r="U59" s="41"/>
    </row>
    <row r="60" spans="2:26" ht="14.25">
      <c r="B60" s="26"/>
      <c r="C60" s="56">
        <f>MAX(C61,C63)</f>
        <v>3</v>
      </c>
      <c r="D60" s="19">
        <v>5</v>
      </c>
      <c r="E60" s="33" t="s">
        <v>46</v>
      </c>
      <c r="F60" s="34" t="s">
        <v>358</v>
      </c>
      <c r="G60" s="10"/>
      <c r="H60" s="10"/>
      <c r="I60" s="42" t="s">
        <v>359</v>
      </c>
      <c r="J60" s="11"/>
      <c r="K60" s="11"/>
      <c r="L60" s="11"/>
      <c r="M60" s="12"/>
      <c r="S60" s="57">
        <v>500</v>
      </c>
      <c r="T60" s="58"/>
      <c r="U60" s="41"/>
    </row>
    <row r="61" spans="2:26" ht="14.25">
      <c r="B61" s="26"/>
      <c r="C61" s="49">
        <v>3</v>
      </c>
      <c r="D61" s="51"/>
      <c r="E61" s="52" t="s">
        <v>351</v>
      </c>
      <c r="F61" s="53" t="s">
        <v>111</v>
      </c>
      <c r="J61" s="11"/>
      <c r="K61" s="11"/>
      <c r="L61" s="11"/>
      <c r="M61" s="12"/>
      <c r="S61" s="57">
        <v>600</v>
      </c>
      <c r="T61" s="58"/>
      <c r="U61" s="41"/>
    </row>
    <row r="62" spans="2:26" ht="14.25">
      <c r="B62" s="26"/>
      <c r="D62" s="51"/>
      <c r="E62" s="52"/>
      <c r="F62" s="42" t="s">
        <v>30</v>
      </c>
      <c r="G62" s="820"/>
      <c r="H62" s="825"/>
      <c r="I62" s="826"/>
      <c r="J62" s="11"/>
      <c r="K62" s="11"/>
      <c r="L62" s="11"/>
      <c r="M62" s="12"/>
      <c r="S62" s="57">
        <v>700</v>
      </c>
      <c r="T62" s="58"/>
      <c r="U62" s="41"/>
    </row>
    <row r="63" spans="2:26" ht="14.25">
      <c r="B63" s="26"/>
      <c r="C63" s="49">
        <v>3</v>
      </c>
      <c r="D63" s="51"/>
      <c r="E63" s="216" t="s">
        <v>352</v>
      </c>
      <c r="F63" s="53" t="s">
        <v>373</v>
      </c>
      <c r="J63" s="11"/>
      <c r="K63" s="11"/>
      <c r="L63" s="11"/>
      <c r="M63" s="12"/>
      <c r="S63" s="57">
        <v>800</v>
      </c>
      <c r="T63" s="58"/>
      <c r="U63" s="41"/>
    </row>
    <row r="64" spans="2:26" ht="14.25">
      <c r="B64" s="26"/>
      <c r="D64" s="51"/>
      <c r="E64" s="216"/>
      <c r="F64" s="42" t="s">
        <v>30</v>
      </c>
      <c r="G64" s="820"/>
      <c r="H64" s="825"/>
      <c r="I64" s="826"/>
      <c r="J64" s="11"/>
      <c r="K64" s="11"/>
      <c r="L64" s="11"/>
      <c r="M64" s="12"/>
      <c r="S64" s="57">
        <v>900</v>
      </c>
      <c r="T64" s="58"/>
      <c r="U64" s="41"/>
    </row>
    <row r="65" spans="2:21" ht="14.25">
      <c r="B65" s="26"/>
      <c r="C65" s="56">
        <f>(C67+C68)/2+C69</f>
        <v>2</v>
      </c>
      <c r="D65" s="19">
        <v>5</v>
      </c>
      <c r="E65" s="33" t="s">
        <v>47</v>
      </c>
      <c r="F65" s="34" t="s">
        <v>342</v>
      </c>
      <c r="J65" s="11"/>
      <c r="K65" s="11"/>
      <c r="L65" s="11"/>
      <c r="M65" s="12"/>
      <c r="S65" s="57">
        <v>1000</v>
      </c>
      <c r="T65" s="58"/>
      <c r="U65" s="41"/>
    </row>
    <row r="66" spans="2:21" ht="14.25">
      <c r="B66" s="26"/>
      <c r="E66" s="52" t="s">
        <v>343</v>
      </c>
      <c r="F66" s="53" t="s">
        <v>944</v>
      </c>
      <c r="G66" s="10"/>
      <c r="H66" s="10"/>
      <c r="I66" s="42" t="s">
        <v>360</v>
      </c>
      <c r="J66" s="11"/>
      <c r="K66" s="11"/>
      <c r="L66" s="11"/>
      <c r="M66" s="12"/>
      <c r="S66" s="57">
        <v>1100</v>
      </c>
      <c r="T66" s="58"/>
      <c r="U66" s="41"/>
    </row>
    <row r="67" spans="2:21" ht="14.25">
      <c r="B67" s="26"/>
      <c r="C67" s="49">
        <v>3</v>
      </c>
      <c r="D67" s="51"/>
      <c r="E67" s="52" t="s">
        <v>109</v>
      </c>
      <c r="F67" s="53" t="s">
        <v>121</v>
      </c>
      <c r="G67" s="820"/>
      <c r="H67" s="825"/>
      <c r="I67" s="826"/>
      <c r="J67" s="11"/>
      <c r="K67" s="11"/>
      <c r="L67" s="11"/>
      <c r="M67" s="12"/>
      <c r="S67" s="57">
        <v>1200</v>
      </c>
      <c r="T67" s="58"/>
      <c r="U67" s="41"/>
    </row>
    <row r="68" spans="2:21" ht="14.25">
      <c r="B68" s="26"/>
      <c r="C68" s="49">
        <v>1</v>
      </c>
      <c r="D68" s="51"/>
      <c r="E68" s="52" t="s">
        <v>110</v>
      </c>
      <c r="F68" s="53" t="s">
        <v>122</v>
      </c>
      <c r="G68" s="820"/>
      <c r="H68" s="825"/>
      <c r="I68" s="826"/>
      <c r="J68" s="582" t="s">
        <v>107</v>
      </c>
      <c r="K68" s="11"/>
      <c r="L68" s="119"/>
      <c r="M68" s="16" t="s">
        <v>48</v>
      </c>
      <c r="S68" s="57">
        <v>1300</v>
      </c>
      <c r="T68" s="58"/>
      <c r="U68" s="41"/>
    </row>
    <row r="69" spans="2:21" ht="14.25">
      <c r="B69" s="26"/>
      <c r="C69" s="51"/>
      <c r="E69" s="52" t="s">
        <v>344</v>
      </c>
      <c r="F69" s="123" t="s">
        <v>126</v>
      </c>
      <c r="I69" s="42" t="s">
        <v>357</v>
      </c>
      <c r="M69" s="16"/>
      <c r="S69" s="57">
        <v>1400</v>
      </c>
      <c r="T69" s="58"/>
      <c r="U69" s="41"/>
    </row>
    <row r="70" spans="2:21" ht="14.25" hidden="1">
      <c r="B70" s="26"/>
      <c r="D70" s="51"/>
      <c r="E70" s="52"/>
      <c r="F70" s="42" t="s">
        <v>30</v>
      </c>
      <c r="G70" s="61"/>
      <c r="H70" s="719"/>
      <c r="I70" s="720"/>
      <c r="J70" s="10" t="s">
        <v>367</v>
      </c>
      <c r="K70" s="11"/>
      <c r="L70" s="40"/>
      <c r="M70" s="16" t="s">
        <v>114</v>
      </c>
      <c r="S70" s="57">
        <v>1500</v>
      </c>
      <c r="T70" s="58"/>
      <c r="U70" s="41"/>
    </row>
    <row r="71" spans="2:21" ht="14.25">
      <c r="B71" s="26"/>
      <c r="C71" s="49">
        <v>3</v>
      </c>
      <c r="D71" s="19">
        <v>5</v>
      </c>
      <c r="E71" s="33" t="s">
        <v>49</v>
      </c>
      <c r="F71" s="34" t="s">
        <v>50</v>
      </c>
      <c r="G71" s="10"/>
      <c r="H71" s="10"/>
      <c r="I71" s="10"/>
      <c r="J71" s="11"/>
      <c r="K71" s="11"/>
      <c r="L71" s="11"/>
      <c r="M71" s="12"/>
      <c r="S71" s="57">
        <v>1600</v>
      </c>
      <c r="T71" s="58"/>
      <c r="U71" s="41"/>
    </row>
    <row r="72" spans="2:21" ht="14.25">
      <c r="B72" s="26"/>
      <c r="C72" s="11"/>
      <c r="D72" s="32"/>
      <c r="E72" s="32"/>
      <c r="F72" s="42" t="s">
        <v>30</v>
      </c>
      <c r="G72" s="820"/>
      <c r="H72" s="825"/>
      <c r="I72" s="826"/>
      <c r="J72" s="573" t="s">
        <v>112</v>
      </c>
      <c r="K72" s="11"/>
      <c r="L72" s="119"/>
      <c r="M72" s="16" t="s">
        <v>51</v>
      </c>
      <c r="S72" s="57">
        <v>1700</v>
      </c>
      <c r="T72" s="58"/>
      <c r="U72" s="41"/>
    </row>
    <row r="73" spans="2:21" ht="14.25">
      <c r="B73" s="26"/>
      <c r="C73" s="580">
        <f>AVERAGE(C74:C80)</f>
        <v>2.75</v>
      </c>
      <c r="D73" s="19">
        <v>5</v>
      </c>
      <c r="E73" s="33" t="s">
        <v>52</v>
      </c>
      <c r="F73" s="583" t="s">
        <v>833</v>
      </c>
      <c r="G73" s="724"/>
      <c r="H73" s="724"/>
      <c r="I73" s="576"/>
      <c r="K73" s="584" t="s">
        <v>832</v>
      </c>
      <c r="L73" s="11"/>
      <c r="M73" s="12"/>
      <c r="S73" s="57">
        <v>1800</v>
      </c>
      <c r="T73" s="58"/>
      <c r="U73" s="41"/>
    </row>
    <row r="74" spans="2:21" ht="14.25">
      <c r="B74" s="26"/>
      <c r="C74" s="49">
        <v>3</v>
      </c>
      <c r="D74" s="51"/>
      <c r="E74" s="52" t="s">
        <v>353</v>
      </c>
      <c r="F74" s="53" t="s">
        <v>350</v>
      </c>
      <c r="M74" s="12"/>
      <c r="S74" s="57">
        <v>1900</v>
      </c>
      <c r="T74" s="58"/>
      <c r="U74" s="41"/>
    </row>
    <row r="75" spans="2:21" ht="14.25">
      <c r="B75" s="26"/>
      <c r="D75" s="51"/>
      <c r="E75" s="52"/>
      <c r="F75" s="42" t="s">
        <v>30</v>
      </c>
      <c r="G75" s="820"/>
      <c r="H75" s="825"/>
      <c r="I75" s="826"/>
      <c r="J75" s="10" t="s">
        <v>116</v>
      </c>
      <c r="K75" s="11"/>
      <c r="L75" s="119"/>
      <c r="M75" s="16" t="s">
        <v>115</v>
      </c>
      <c r="S75" s="57">
        <v>2000</v>
      </c>
      <c r="T75" s="58"/>
      <c r="U75" s="41"/>
    </row>
    <row r="76" spans="2:21" ht="14.25">
      <c r="B76" s="26"/>
      <c r="C76" s="49">
        <v>3</v>
      </c>
      <c r="D76" s="51"/>
      <c r="E76" s="52" t="s">
        <v>354</v>
      </c>
      <c r="F76" s="53" t="s">
        <v>349</v>
      </c>
      <c r="J76" s="10"/>
      <c r="K76" s="11"/>
      <c r="M76" s="16"/>
      <c r="S76" s="57">
        <v>2100</v>
      </c>
      <c r="T76" s="58"/>
      <c r="U76" s="41"/>
    </row>
    <row r="77" spans="2:21" ht="14.25">
      <c r="B77" s="26"/>
      <c r="D77" s="51"/>
      <c r="E77" s="52"/>
      <c r="F77" s="42" t="s">
        <v>361</v>
      </c>
      <c r="G77" s="820"/>
      <c r="H77" s="825"/>
      <c r="I77" s="826"/>
      <c r="J77" s="10" t="s">
        <v>84</v>
      </c>
      <c r="K77" s="11"/>
      <c r="L77" s="119"/>
      <c r="M77" s="16" t="s">
        <v>83</v>
      </c>
      <c r="S77" s="57"/>
      <c r="T77" s="58"/>
      <c r="U77" s="41"/>
    </row>
    <row r="78" spans="2:21" ht="14.25">
      <c r="B78" s="26"/>
      <c r="C78" s="368">
        <v>2</v>
      </c>
      <c r="D78" s="51"/>
      <c r="E78" s="52" t="s">
        <v>355</v>
      </c>
      <c r="F78" s="53" t="s">
        <v>113</v>
      </c>
      <c r="J78" s="10"/>
      <c r="K78" s="11"/>
      <c r="M78" s="16"/>
      <c r="S78" s="57"/>
      <c r="T78" s="58"/>
      <c r="U78" s="41"/>
    </row>
    <row r="79" spans="2:21" ht="14.25">
      <c r="B79" s="26"/>
      <c r="D79" s="51"/>
      <c r="E79" s="52"/>
      <c r="F79" s="42" t="s">
        <v>30</v>
      </c>
      <c r="G79" s="820"/>
      <c r="H79" s="825"/>
      <c r="I79" s="826"/>
      <c r="J79" s="10" t="s">
        <v>85</v>
      </c>
      <c r="K79" s="11"/>
      <c r="L79" s="119"/>
      <c r="M79" s="16" t="s">
        <v>114</v>
      </c>
      <c r="S79" s="57">
        <v>2200</v>
      </c>
      <c r="T79" s="58"/>
      <c r="U79" s="41"/>
    </row>
    <row r="80" spans="2:21" ht="14.25">
      <c r="B80" s="26"/>
      <c r="C80" s="368">
        <v>3</v>
      </c>
      <c r="D80" s="51"/>
      <c r="E80" s="52" t="s">
        <v>381</v>
      </c>
      <c r="F80" s="53" t="s">
        <v>943</v>
      </c>
      <c r="M80" s="16"/>
      <c r="S80" s="57">
        <v>2300</v>
      </c>
      <c r="T80" s="58"/>
      <c r="U80" s="41"/>
    </row>
    <row r="81" spans="2:21" ht="16.149999999999999" customHeight="1">
      <c r="B81" s="26"/>
      <c r="D81" s="51"/>
      <c r="E81" s="52"/>
      <c r="F81" s="42" t="s">
        <v>30</v>
      </c>
      <c r="G81" s="820"/>
      <c r="H81" s="825"/>
      <c r="I81" s="826"/>
      <c r="J81" s="10"/>
      <c r="K81" s="11"/>
      <c r="M81" s="16"/>
      <c r="S81" s="57">
        <v>2400</v>
      </c>
      <c r="T81" s="58"/>
      <c r="U81" s="41"/>
    </row>
    <row r="82" spans="2:21" ht="14.25">
      <c r="B82" s="26"/>
      <c r="C82" s="745">
        <f>C60+C65+C71+C73</f>
        <v>10.75</v>
      </c>
      <c r="D82" s="215">
        <f>D60+D65+D71+D73</f>
        <v>20</v>
      </c>
      <c r="E82" s="220" t="s">
        <v>22</v>
      </c>
      <c r="F82" s="11"/>
      <c r="G82" s="10"/>
      <c r="H82" s="10"/>
      <c r="I82" s="10"/>
      <c r="J82" s="11"/>
      <c r="K82" s="11"/>
      <c r="L82" s="11"/>
      <c r="M82" s="12"/>
      <c r="S82" s="57">
        <v>2500</v>
      </c>
      <c r="T82" s="58"/>
      <c r="U82" s="41"/>
    </row>
    <row r="83" spans="2:21" ht="6.6" customHeight="1">
      <c r="B83" s="29"/>
      <c r="C83" s="30"/>
      <c r="D83" s="30"/>
      <c r="E83" s="218"/>
      <c r="F83" s="30"/>
      <c r="G83" s="721"/>
      <c r="H83" s="721"/>
      <c r="I83" s="721"/>
      <c r="J83" s="30"/>
      <c r="K83" s="30"/>
      <c r="L83" s="30"/>
      <c r="M83" s="39"/>
      <c r="S83" s="57">
        <v>2600</v>
      </c>
      <c r="T83" s="58"/>
      <c r="U83" s="41"/>
    </row>
    <row r="84" spans="2:21" ht="17.25">
      <c r="B84" s="5"/>
      <c r="C84" s="6" t="s">
        <v>53</v>
      </c>
      <c r="D84" s="7"/>
      <c r="E84" s="219"/>
      <c r="F84" s="7"/>
      <c r="G84" s="6"/>
      <c r="H84" s="6"/>
      <c r="I84" s="6"/>
      <c r="J84" s="7"/>
      <c r="K84" s="7"/>
      <c r="L84" s="7"/>
      <c r="M84" s="8"/>
      <c r="P84" s="718" t="s">
        <v>95</v>
      </c>
      <c r="Q84" s="332"/>
    </row>
    <row r="85" spans="2:21" ht="14.25">
      <c r="B85" s="26"/>
      <c r="C85" s="31" t="s">
        <v>24</v>
      </c>
      <c r="D85" s="10" t="s">
        <v>25</v>
      </c>
      <c r="E85" s="32"/>
      <c r="F85" s="11"/>
      <c r="G85" s="10"/>
      <c r="H85" s="10"/>
      <c r="I85" s="10"/>
      <c r="J85" s="31" t="s">
        <v>26</v>
      </c>
      <c r="K85" s="11"/>
      <c r="L85" s="31" t="s">
        <v>27</v>
      </c>
      <c r="M85" s="12"/>
      <c r="P85" s="802"/>
      <c r="Q85" s="803"/>
    </row>
    <row r="86" spans="2:21" ht="14.25">
      <c r="B86" s="26"/>
      <c r="C86" s="367"/>
      <c r="D86" s="11"/>
      <c r="E86" s="214" t="s">
        <v>28</v>
      </c>
      <c r="F86" s="11"/>
      <c r="G86" s="10" t="s">
        <v>376</v>
      </c>
      <c r="H86" s="10"/>
      <c r="I86" s="10"/>
      <c r="J86" s="11"/>
      <c r="K86" s="11"/>
      <c r="L86" s="11"/>
      <c r="M86" s="12"/>
      <c r="P86" s="802"/>
      <c r="Q86" s="803"/>
    </row>
    <row r="87" spans="2:21" ht="14.25">
      <c r="B87" s="26"/>
      <c r="C87" s="11"/>
      <c r="D87" s="11"/>
      <c r="E87" s="32"/>
      <c r="F87" s="42" t="s">
        <v>30</v>
      </c>
      <c r="G87" s="820"/>
      <c r="H87" s="825"/>
      <c r="I87" s="826"/>
      <c r="J87" s="10" t="s">
        <v>45</v>
      </c>
      <c r="K87" s="11"/>
      <c r="L87" s="11"/>
      <c r="M87" s="12"/>
      <c r="P87" s="802"/>
      <c r="Q87" s="803"/>
    </row>
    <row r="88" spans="2:21" ht="14.25">
      <c r="B88" s="26"/>
      <c r="C88" s="49">
        <v>3</v>
      </c>
      <c r="D88" s="19">
        <f>IF(AND(C90&lt;&gt;"",C90=0),10,5)</f>
        <v>5</v>
      </c>
      <c r="E88" s="33" t="s">
        <v>54</v>
      </c>
      <c r="F88" s="34" t="s">
        <v>55</v>
      </c>
      <c r="G88" s="10"/>
      <c r="H88" s="10"/>
      <c r="I88" s="10"/>
      <c r="J88" s="11"/>
      <c r="K88" s="11"/>
      <c r="L88" s="11"/>
      <c r="M88" s="12"/>
      <c r="P88" s="802"/>
      <c r="Q88" s="803"/>
    </row>
    <row r="89" spans="2:21" ht="14.25">
      <c r="B89" s="26"/>
      <c r="C89" s="11"/>
      <c r="D89" s="181" t="s">
        <v>319</v>
      </c>
      <c r="E89" s="42"/>
      <c r="F89" s="42" t="s">
        <v>30</v>
      </c>
      <c r="G89" s="820"/>
      <c r="H89" s="825"/>
      <c r="I89" s="826"/>
      <c r="J89" s="573" t="s">
        <v>118</v>
      </c>
      <c r="K89" s="11"/>
      <c r="L89" s="119"/>
      <c r="M89" s="16" t="s">
        <v>114</v>
      </c>
      <c r="P89" s="802"/>
      <c r="Q89" s="803"/>
    </row>
    <row r="90" spans="2:21" ht="14.25" customHeight="1">
      <c r="B90" s="26"/>
      <c r="C90" s="49">
        <v>3</v>
      </c>
      <c r="D90" s="19">
        <f>IF(AND(C90&lt;&gt;"",C90=0),0,5)</f>
        <v>5</v>
      </c>
      <c r="E90" s="33" t="s">
        <v>56</v>
      </c>
      <c r="F90" s="34" t="s">
        <v>57</v>
      </c>
      <c r="G90" s="10"/>
      <c r="H90" s="10"/>
      <c r="I90" s="10"/>
      <c r="J90" s="11"/>
      <c r="K90" s="11"/>
      <c r="L90" s="11"/>
      <c r="M90" s="12"/>
      <c r="P90" s="802"/>
      <c r="Q90" s="803"/>
    </row>
    <row r="91" spans="2:21" ht="14.25" customHeight="1">
      <c r="B91" s="26"/>
      <c r="C91" s="11"/>
      <c r="D91" s="32" t="s">
        <v>117</v>
      </c>
      <c r="E91" s="32"/>
      <c r="F91" s="42" t="s">
        <v>30</v>
      </c>
      <c r="G91" s="820"/>
      <c r="H91" s="825"/>
      <c r="I91" s="826"/>
      <c r="J91" s="10" t="s">
        <v>45</v>
      </c>
      <c r="K91" s="11"/>
      <c r="L91" s="11"/>
      <c r="M91" s="12"/>
      <c r="P91" s="802"/>
      <c r="Q91" s="803"/>
    </row>
    <row r="92" spans="2:21" ht="14.25" customHeight="1">
      <c r="B92" s="26"/>
      <c r="C92" s="56">
        <f>AVERAGE(C93:C95)</f>
        <v>3</v>
      </c>
      <c r="D92" s="19">
        <v>5</v>
      </c>
      <c r="E92" s="33" t="s">
        <v>58</v>
      </c>
      <c r="F92" s="34" t="s">
        <v>345</v>
      </c>
      <c r="G92" s="10"/>
      <c r="H92" s="10"/>
      <c r="I92" s="10"/>
      <c r="J92" s="11"/>
      <c r="K92" s="11"/>
      <c r="L92" s="11"/>
      <c r="M92" s="12"/>
      <c r="P92" s="802"/>
      <c r="Q92" s="803"/>
    </row>
    <row r="93" spans="2:21" ht="14.25" customHeight="1">
      <c r="B93" s="26"/>
      <c r="C93" s="49">
        <v>3</v>
      </c>
      <c r="D93" s="51"/>
      <c r="E93" s="52" t="s">
        <v>346</v>
      </c>
      <c r="F93" s="53" t="s">
        <v>347</v>
      </c>
      <c r="G93" s="10"/>
      <c r="H93" s="10"/>
      <c r="I93" s="10"/>
      <c r="J93" s="11"/>
      <c r="K93" s="11"/>
      <c r="L93" s="11"/>
      <c r="M93" s="12"/>
      <c r="P93" s="802"/>
      <c r="Q93" s="803"/>
    </row>
    <row r="94" spans="2:21" ht="14.25" customHeight="1">
      <c r="B94" s="26"/>
      <c r="D94" s="51"/>
      <c r="E94" s="33"/>
      <c r="F94" s="42" t="s">
        <v>30</v>
      </c>
      <c r="G94" s="820"/>
      <c r="H94" s="825"/>
      <c r="I94" s="826"/>
      <c r="J94" s="573" t="s">
        <v>368</v>
      </c>
      <c r="K94" s="11"/>
      <c r="L94" s="119"/>
      <c r="M94" s="16" t="s">
        <v>369</v>
      </c>
      <c r="P94" s="802"/>
      <c r="Q94" s="803"/>
      <c r="S94" s="59"/>
      <c r="T94" s="122"/>
    </row>
    <row r="95" spans="2:21" ht="14.25" customHeight="1">
      <c r="B95" s="26"/>
      <c r="C95" s="49">
        <v>3</v>
      </c>
      <c r="D95" s="51"/>
      <c r="E95" s="52" t="s">
        <v>348</v>
      </c>
      <c r="F95" s="53" t="s">
        <v>377</v>
      </c>
      <c r="G95" s="10"/>
      <c r="H95" s="10"/>
      <c r="I95" s="42"/>
      <c r="J95" s="11"/>
      <c r="K95" s="11"/>
      <c r="L95" s="11"/>
      <c r="M95" s="12"/>
      <c r="P95" s="802"/>
      <c r="Q95" s="803"/>
      <c r="S95" s="59"/>
      <c r="T95" s="122"/>
    </row>
    <row r="96" spans="2:21" ht="14.25" customHeight="1">
      <c r="B96" s="26"/>
      <c r="C96" s="11"/>
      <c r="D96" s="32"/>
      <c r="E96" s="32"/>
      <c r="F96" s="42" t="s">
        <v>30</v>
      </c>
      <c r="G96" s="820"/>
      <c r="H96" s="825"/>
      <c r="I96" s="826"/>
      <c r="J96" s="10" t="s">
        <v>367</v>
      </c>
      <c r="K96" s="11"/>
      <c r="L96" s="119"/>
      <c r="M96" s="16" t="s">
        <v>83</v>
      </c>
      <c r="P96" s="802"/>
      <c r="Q96" s="803"/>
      <c r="S96" s="59"/>
      <c r="T96" s="122"/>
    </row>
    <row r="97" spans="2:17" ht="14.25" customHeight="1">
      <c r="B97" s="26"/>
      <c r="C97" s="49">
        <v>3</v>
      </c>
      <c r="D97" s="19">
        <v>5</v>
      </c>
      <c r="E97" s="33" t="s">
        <v>59</v>
      </c>
      <c r="F97" s="34" t="s">
        <v>60</v>
      </c>
      <c r="G97" s="10"/>
      <c r="H97" s="10"/>
      <c r="I97" s="10"/>
      <c r="J97" s="11"/>
      <c r="K97" s="11"/>
      <c r="L97" s="11"/>
      <c r="M97" s="12"/>
      <c r="P97" s="804"/>
      <c r="Q97" s="805"/>
    </row>
    <row r="98" spans="2:17" ht="14.25" customHeight="1">
      <c r="B98" s="26"/>
      <c r="C98" s="11"/>
      <c r="D98" s="32"/>
      <c r="E98" s="32"/>
      <c r="F98" s="42" t="s">
        <v>30</v>
      </c>
      <c r="G98" s="823"/>
      <c r="H98" s="833"/>
      <c r="I98" s="834"/>
      <c r="J98" s="10" t="s">
        <v>86</v>
      </c>
      <c r="K98" s="11"/>
      <c r="L98" s="119"/>
      <c r="M98" s="16" t="s">
        <v>87</v>
      </c>
    </row>
    <row r="99" spans="2:17" ht="14.25" customHeight="1">
      <c r="B99" s="26"/>
      <c r="C99" s="11"/>
      <c r="D99" s="11"/>
      <c r="E99" s="32"/>
      <c r="F99" s="11"/>
      <c r="G99" s="835"/>
      <c r="H99" s="836"/>
      <c r="I99" s="837"/>
      <c r="J99" s="11"/>
      <c r="K99" s="11"/>
      <c r="L99" s="11"/>
      <c r="M99" s="12"/>
    </row>
    <row r="100" spans="2:17" ht="14.25" customHeight="1">
      <c r="B100" s="26"/>
      <c r="C100" s="56">
        <f>C88+C90+C92+C97</f>
        <v>12</v>
      </c>
      <c r="D100" s="215">
        <f>D88+D90+D92+D97</f>
        <v>20</v>
      </c>
      <c r="E100" s="220" t="s">
        <v>22</v>
      </c>
      <c r="F100" s="11"/>
      <c r="G100" s="10"/>
      <c r="H100" s="10"/>
      <c r="I100" s="10"/>
      <c r="J100" s="11"/>
      <c r="K100" s="11"/>
      <c r="L100" s="11"/>
      <c r="M100" s="12"/>
    </row>
    <row r="101" spans="2:17" ht="6" customHeight="1">
      <c r="B101" s="26"/>
      <c r="C101" s="4"/>
      <c r="D101" s="4"/>
      <c r="E101" s="217"/>
      <c r="F101" s="4"/>
      <c r="G101" s="1"/>
      <c r="H101" s="1"/>
      <c r="I101" s="1"/>
      <c r="J101" s="4"/>
      <c r="K101" s="4"/>
      <c r="L101" s="4"/>
      <c r="M101" s="27"/>
    </row>
    <row r="102" spans="2:17" ht="14.25" customHeight="1">
      <c r="B102" s="692"/>
      <c r="C102" s="693" t="s">
        <v>61</v>
      </c>
      <c r="D102" s="694"/>
      <c r="E102" s="695"/>
      <c r="F102" s="694"/>
      <c r="G102" s="693"/>
      <c r="H102" s="693"/>
      <c r="I102" s="693"/>
      <c r="J102" s="694"/>
      <c r="K102" s="694"/>
      <c r="L102" s="694"/>
      <c r="M102" s="696"/>
      <c r="N102" s="1"/>
    </row>
    <row r="103" spans="2:17" ht="14.25" customHeight="1">
      <c r="B103" s="26"/>
      <c r="C103" s="31" t="s">
        <v>24</v>
      </c>
      <c r="D103" s="10" t="s">
        <v>25</v>
      </c>
      <c r="E103" s="32"/>
      <c r="F103" s="11"/>
      <c r="G103" s="10"/>
      <c r="H103" s="10"/>
      <c r="I103" s="10"/>
      <c r="J103" s="31" t="s">
        <v>26</v>
      </c>
      <c r="K103" s="11"/>
      <c r="L103" s="31" t="s">
        <v>27</v>
      </c>
      <c r="M103" s="12"/>
      <c r="N103" s="1"/>
    </row>
    <row r="104" spans="2:17" ht="14.25" customHeight="1">
      <c r="B104" s="26"/>
      <c r="C104" s="367"/>
      <c r="D104" s="11"/>
      <c r="E104" s="214" t="s">
        <v>28</v>
      </c>
      <c r="F104" s="11"/>
      <c r="G104" s="10" t="s">
        <v>371</v>
      </c>
      <c r="H104" s="10"/>
      <c r="I104" s="10"/>
      <c r="J104" s="11"/>
      <c r="K104" s="11"/>
      <c r="L104" s="11"/>
      <c r="M104" s="12"/>
      <c r="N104" s="1"/>
    </row>
    <row r="105" spans="2:17" ht="14.25" customHeight="1">
      <c r="B105" s="26"/>
      <c r="C105" s="11"/>
      <c r="D105" s="11"/>
      <c r="E105" s="32"/>
      <c r="F105" s="42" t="s">
        <v>30</v>
      </c>
      <c r="G105" s="827"/>
      <c r="H105" s="828"/>
      <c r="I105" s="829"/>
      <c r="J105" s="10" t="s">
        <v>45</v>
      </c>
      <c r="K105" s="11"/>
      <c r="L105" s="11"/>
      <c r="M105" s="12"/>
      <c r="N105" s="1"/>
    </row>
    <row r="106" spans="2:17" ht="14.25" customHeight="1">
      <c r="B106" s="26"/>
      <c r="C106" s="11"/>
      <c r="D106" s="11"/>
      <c r="E106" s="32"/>
      <c r="F106" s="11"/>
      <c r="G106" s="830"/>
      <c r="H106" s="831"/>
      <c r="I106" s="832"/>
      <c r="J106" s="11"/>
      <c r="K106" s="11"/>
      <c r="L106" s="11"/>
      <c r="M106" s="12"/>
      <c r="N106" s="1"/>
    </row>
    <row r="107" spans="2:17" ht="14.25" customHeight="1">
      <c r="B107" s="26"/>
      <c r="C107" s="580">
        <f>IF(C108*2/3+C110*1/3&gt;D107,D107,C108*2/3+C110*1/3)</f>
        <v>3</v>
      </c>
      <c r="D107" s="333">
        <v>5</v>
      </c>
      <c r="E107" s="33" t="s">
        <v>62</v>
      </c>
      <c r="F107" s="34" t="s">
        <v>364</v>
      </c>
      <c r="G107" s="10"/>
      <c r="H107" s="10"/>
      <c r="I107" s="42" t="s">
        <v>874</v>
      </c>
      <c r="J107" s="11"/>
      <c r="K107" s="11"/>
      <c r="L107" s="11"/>
      <c r="M107" s="12"/>
      <c r="N107" s="1"/>
    </row>
    <row r="108" spans="2:17" ht="14.25" customHeight="1">
      <c r="B108" s="26"/>
      <c r="C108" s="368">
        <v>3</v>
      </c>
      <c r="D108" s="51"/>
      <c r="E108" s="52" t="s">
        <v>362</v>
      </c>
      <c r="F108" s="53" t="s">
        <v>123</v>
      </c>
      <c r="I108" s="42"/>
      <c r="M108" s="12"/>
      <c r="N108" s="1"/>
    </row>
    <row r="109" spans="2:17" ht="14.25" customHeight="1">
      <c r="B109" s="26"/>
      <c r="C109" s="11"/>
      <c r="D109" s="51"/>
      <c r="E109" s="52"/>
      <c r="F109" s="42" t="s">
        <v>30</v>
      </c>
      <c r="G109" s="820"/>
      <c r="H109" s="825"/>
      <c r="I109" s="826"/>
      <c r="J109" s="10" t="s">
        <v>63</v>
      </c>
      <c r="K109" s="11"/>
      <c r="L109" s="120"/>
      <c r="M109" s="16" t="s">
        <v>64</v>
      </c>
      <c r="N109" s="1"/>
    </row>
    <row r="110" spans="2:17" ht="14.25">
      <c r="B110" s="26"/>
      <c r="C110" s="368">
        <v>3</v>
      </c>
      <c r="D110" s="51"/>
      <c r="E110" s="52" t="s">
        <v>363</v>
      </c>
      <c r="F110" s="53" t="s">
        <v>119</v>
      </c>
      <c r="M110" s="12"/>
      <c r="N110" s="1"/>
    </row>
    <row r="111" spans="2:17" ht="14.25" customHeight="1">
      <c r="B111" s="26"/>
      <c r="D111" s="51"/>
      <c r="E111" s="52"/>
      <c r="F111" s="42" t="s">
        <v>30</v>
      </c>
      <c r="G111" s="820"/>
      <c r="H111" s="825"/>
      <c r="I111" s="826"/>
      <c r="J111" s="10" t="s">
        <v>88</v>
      </c>
      <c r="K111" s="11"/>
      <c r="L111" s="119"/>
      <c r="M111" s="16" t="s">
        <v>87</v>
      </c>
      <c r="N111" s="1"/>
    </row>
    <row r="112" spans="2:17" ht="14.25" customHeight="1">
      <c r="B112" s="26"/>
      <c r="C112" s="49">
        <v>3</v>
      </c>
      <c r="D112" s="19">
        <v>5</v>
      </c>
      <c r="E112" s="33" t="s">
        <v>65</v>
      </c>
      <c r="F112" s="34" t="s">
        <v>66</v>
      </c>
      <c r="G112" s="10"/>
      <c r="H112" s="10"/>
      <c r="I112" s="10"/>
      <c r="J112" s="11"/>
      <c r="K112" s="11"/>
      <c r="L112" s="11"/>
      <c r="M112" s="12"/>
      <c r="N112" s="1"/>
    </row>
    <row r="113" spans="2:14" ht="14.25" customHeight="1">
      <c r="B113" s="26"/>
      <c r="C113" s="11"/>
      <c r="D113" s="32"/>
      <c r="E113" s="32"/>
      <c r="F113" s="42" t="s">
        <v>30</v>
      </c>
      <c r="G113" s="820"/>
      <c r="H113" s="825"/>
      <c r="I113" s="826"/>
      <c r="J113" s="10" t="s">
        <v>366</v>
      </c>
      <c r="K113" s="11"/>
      <c r="L113" s="120"/>
      <c r="M113" s="16" t="s">
        <v>949</v>
      </c>
      <c r="N113" s="1"/>
    </row>
    <row r="114" spans="2:14" ht="14.25">
      <c r="B114" s="26"/>
      <c r="C114" s="49">
        <v>3</v>
      </c>
      <c r="D114" s="19">
        <v>5</v>
      </c>
      <c r="E114" s="33" t="s">
        <v>67</v>
      </c>
      <c r="F114" s="34" t="s">
        <v>300</v>
      </c>
      <c r="G114" s="10"/>
      <c r="H114" s="10"/>
      <c r="I114" s="10"/>
      <c r="J114" s="11"/>
      <c r="K114" s="11"/>
      <c r="L114" s="11"/>
      <c r="M114" s="12"/>
      <c r="N114" s="1"/>
    </row>
    <row r="115" spans="2:14" ht="13.9" customHeight="1">
      <c r="B115" s="26"/>
      <c r="C115" s="11"/>
      <c r="D115" s="32"/>
      <c r="E115" s="32"/>
      <c r="F115" s="42" t="s">
        <v>30</v>
      </c>
      <c r="G115" s="821"/>
      <c r="H115" s="781"/>
      <c r="I115" s="782"/>
      <c r="J115" s="10" t="s">
        <v>89</v>
      </c>
      <c r="K115" s="11"/>
      <c r="L115" s="120"/>
      <c r="M115" s="16" t="s">
        <v>90</v>
      </c>
      <c r="N115" s="1"/>
    </row>
    <row r="116" spans="2:14" ht="14.25" hidden="1">
      <c r="B116" s="26"/>
      <c r="F116" s="11"/>
      <c r="G116" s="10"/>
      <c r="H116" s="10"/>
      <c r="I116" s="10"/>
      <c r="J116" s="11"/>
      <c r="K116" s="11"/>
      <c r="L116" s="11"/>
      <c r="M116" s="12"/>
      <c r="N116" s="1"/>
    </row>
    <row r="117" spans="2:14" hidden="1">
      <c r="B117" s="43"/>
      <c r="C117" s="1"/>
      <c r="D117" s="1"/>
      <c r="E117" s="2"/>
      <c r="F117" s="1"/>
      <c r="G117" s="1"/>
      <c r="H117" s="1"/>
      <c r="I117" s="1"/>
      <c r="J117" s="1"/>
      <c r="K117" s="1"/>
      <c r="L117" s="1"/>
      <c r="M117" s="691"/>
      <c r="N117" s="1"/>
    </row>
    <row r="118" spans="2:14" hidden="1">
      <c r="B118" s="43"/>
      <c r="M118" s="44"/>
      <c r="N118" s="1"/>
    </row>
    <row r="119" spans="2:14" hidden="1">
      <c r="B119" s="43"/>
      <c r="M119" s="44"/>
    </row>
    <row r="120" spans="2:14" hidden="1">
      <c r="B120" s="43"/>
      <c r="M120" s="44"/>
    </row>
    <row r="121" spans="2:14" hidden="1">
      <c r="B121" s="43"/>
      <c r="M121" s="44"/>
    </row>
    <row r="122" spans="2:14" hidden="1">
      <c r="B122" s="43"/>
      <c r="M122" s="44"/>
    </row>
    <row r="123" spans="2:14" hidden="1">
      <c r="B123" s="43"/>
      <c r="M123" s="44"/>
    </row>
    <row r="124" spans="2:14" ht="13.5" hidden="1" customHeight="1">
      <c r="B124" s="43"/>
      <c r="M124" s="44"/>
    </row>
    <row r="125" spans="2:14" ht="13.5" hidden="1" customHeight="1">
      <c r="B125" s="43"/>
      <c r="M125" s="44"/>
    </row>
    <row r="126" spans="2:14" ht="13.5" hidden="1" customHeight="1">
      <c r="B126" s="43"/>
      <c r="M126" s="44"/>
    </row>
    <row r="127" spans="2:14" ht="13.5" hidden="1" customHeight="1">
      <c r="B127" s="43"/>
      <c r="M127" s="44"/>
    </row>
    <row r="128" spans="2:14" ht="13.5" customHeight="1">
      <c r="B128" s="43"/>
      <c r="C128" s="580">
        <f>C107+C112+C114</f>
        <v>9</v>
      </c>
      <c r="D128" s="215">
        <f>D107+D112+D114</f>
        <v>15</v>
      </c>
      <c r="E128" s="220" t="s">
        <v>22</v>
      </c>
      <c r="M128" s="44"/>
    </row>
    <row r="129" spans="2:17" ht="6" customHeight="1">
      <c r="B129" s="698"/>
      <c r="C129" s="699"/>
      <c r="D129" s="699"/>
      <c r="E129" s="699"/>
      <c r="F129" s="699"/>
      <c r="G129" s="699"/>
      <c r="H129" s="699"/>
      <c r="I129" s="699"/>
      <c r="J129" s="699"/>
      <c r="K129" s="699"/>
      <c r="L129" s="699"/>
      <c r="M129" s="701"/>
    </row>
    <row r="130" spans="2:17" ht="13.5" customHeight="1">
      <c r="B130" s="692"/>
      <c r="C130" s="693" t="s">
        <v>892</v>
      </c>
      <c r="D130" s="694"/>
      <c r="E130" s="695"/>
      <c r="F130" s="694"/>
      <c r="G130" s="693"/>
      <c r="H130" s="693"/>
      <c r="I130" s="693"/>
      <c r="J130" s="694"/>
      <c r="K130" s="694"/>
      <c r="L130" s="694"/>
      <c r="M130" s="696"/>
    </row>
    <row r="131" spans="2:17" ht="13.5" customHeight="1">
      <c r="B131" s="26"/>
      <c r="C131" s="31" t="s">
        <v>24</v>
      </c>
      <c r="D131" s="10" t="s">
        <v>921</v>
      </c>
      <c r="E131" s="32"/>
      <c r="F131" s="11"/>
      <c r="G131" s="10"/>
      <c r="H131" s="10"/>
      <c r="I131" s="10"/>
      <c r="J131" s="31" t="s">
        <v>26</v>
      </c>
      <c r="K131" s="11"/>
      <c r="L131" s="31" t="s">
        <v>27</v>
      </c>
      <c r="M131" s="12"/>
    </row>
    <row r="132" spans="2:17" ht="13.5" customHeight="1">
      <c r="B132" s="26"/>
      <c r="C132" s="368"/>
      <c r="D132" s="19">
        <v>5</v>
      </c>
      <c r="E132" s="214"/>
      <c r="F132" s="42" t="s">
        <v>30</v>
      </c>
      <c r="G132" s="820"/>
      <c r="H132" s="825"/>
      <c r="I132" s="826"/>
      <c r="J132" s="697" t="s">
        <v>864</v>
      </c>
      <c r="K132" s="11" t="s">
        <v>861</v>
      </c>
      <c r="L132" s="119"/>
      <c r="M132" s="16" t="s">
        <v>114</v>
      </c>
    </row>
    <row r="133" spans="2:17" ht="13.5" customHeight="1">
      <c r="B133" s="43"/>
      <c r="C133" s="186" t="s">
        <v>871</v>
      </c>
      <c r="E133" s="211"/>
      <c r="G133" s="820"/>
      <c r="H133" s="825"/>
      <c r="I133" s="826"/>
      <c r="K133" s="11" t="s">
        <v>924</v>
      </c>
      <c r="L133" s="119"/>
      <c r="M133" s="16" t="s">
        <v>114</v>
      </c>
    </row>
    <row r="134" spans="2:17" ht="13.9" customHeight="1">
      <c r="B134" s="43"/>
      <c r="E134" s="211"/>
      <c r="G134" s="820"/>
      <c r="H134" s="825"/>
      <c r="I134" s="826"/>
      <c r="K134" s="11" t="s">
        <v>867</v>
      </c>
      <c r="L134" s="119"/>
      <c r="M134" s="16" t="s">
        <v>114</v>
      </c>
    </row>
    <row r="135" spans="2:17" ht="13.5" customHeight="1">
      <c r="B135" s="43"/>
      <c r="E135" s="211"/>
      <c r="G135" s="820"/>
      <c r="H135" s="825"/>
      <c r="I135" s="826"/>
      <c r="K135" s="11" t="s">
        <v>866</v>
      </c>
      <c r="L135" s="119"/>
      <c r="M135" s="16" t="s">
        <v>114</v>
      </c>
    </row>
    <row r="136" spans="2:17" ht="13.5" customHeight="1">
      <c r="B136" s="698"/>
      <c r="C136" s="699"/>
      <c r="D136" s="699"/>
      <c r="E136" s="699"/>
      <c r="F136" s="699"/>
      <c r="G136" s="699"/>
      <c r="H136" s="699"/>
      <c r="I136" s="699"/>
      <c r="J136" s="699"/>
      <c r="K136" s="699"/>
      <c r="L136" s="699"/>
      <c r="M136" s="701"/>
    </row>
    <row r="137" spans="2:17" ht="13.5" customHeight="1">
      <c r="M137" s="173" t="str">
        <f>D7</f>
        <v>○○配送センター</v>
      </c>
    </row>
    <row r="138" spans="2:17" ht="13.5" customHeight="1">
      <c r="C138" t="s">
        <v>905</v>
      </c>
      <c r="D138" t="s">
        <v>909</v>
      </c>
      <c r="E138" s="211"/>
      <c r="N138" s="1"/>
      <c r="P138" s="716" t="s">
        <v>94</v>
      </c>
      <c r="Q138" s="717"/>
    </row>
    <row r="139" spans="2:17" ht="13.5" customHeight="1">
      <c r="C139" t="s">
        <v>903</v>
      </c>
      <c r="E139" s="211"/>
      <c r="N139" s="1"/>
      <c r="P139" s="808"/>
      <c r="Q139" s="809"/>
    </row>
    <row r="140" spans="2:17">
      <c r="D140" s="741">
        <f>ROUNDDOWN(IF(G140&gt;G144,F145,IF(G140&lt;=G143,F143,G140*H143+I143)),1)</f>
        <v>20</v>
      </c>
      <c r="E140" s="211" t="s">
        <v>900</v>
      </c>
      <c r="F140" s="739" t="s">
        <v>899</v>
      </c>
      <c r="G140" s="740"/>
      <c r="H140" t="str">
        <f>"×（"&amp;H143&amp;"）＋"&amp;I143</f>
        <v>×（-25）＋35</v>
      </c>
      <c r="N140" s="1"/>
      <c r="P140" s="716" t="s">
        <v>102</v>
      </c>
      <c r="Q140" s="717"/>
    </row>
    <row r="141" spans="2:17">
      <c r="N141" s="1"/>
      <c r="P141" s="806"/>
      <c r="Q141" s="807"/>
    </row>
    <row r="142" spans="2:17" hidden="1">
      <c r="E142" s="211"/>
      <c r="F142" t="s">
        <v>898</v>
      </c>
      <c r="G142" t="s">
        <v>893</v>
      </c>
      <c r="H142" s="52" t="s">
        <v>894</v>
      </c>
      <c r="I142" s="52" t="s">
        <v>895</v>
      </c>
      <c r="M142" s="1"/>
      <c r="N142" s="1"/>
      <c r="Q142" s="173" t="str">
        <f>D7</f>
        <v>○○配送センター</v>
      </c>
    </row>
    <row r="143" spans="2:17" hidden="1">
      <c r="E143" t="s">
        <v>896</v>
      </c>
      <c r="F143">
        <v>20</v>
      </c>
      <c r="G143">
        <v>0.6</v>
      </c>
      <c r="H143" s="53">
        <f>(F144-F143)/(G144-G143)</f>
        <v>-25</v>
      </c>
      <c r="I143" s="53">
        <f>F144-H143*G144</f>
        <v>35</v>
      </c>
      <c r="M143" s="1"/>
      <c r="N143" s="1"/>
    </row>
    <row r="144" spans="2:17" hidden="1">
      <c r="E144" s="211"/>
      <c r="F144">
        <v>11</v>
      </c>
      <c r="G144">
        <v>0.96</v>
      </c>
      <c r="N144" s="1"/>
    </row>
    <row r="145" spans="3:14" hidden="1">
      <c r="E145" t="s">
        <v>897</v>
      </c>
      <c r="F145">
        <v>10</v>
      </c>
      <c r="N145" s="1"/>
    </row>
    <row r="146" spans="3:14" hidden="1">
      <c r="E146" s="211"/>
      <c r="N146" s="1"/>
    </row>
    <row r="147" spans="3:14">
      <c r="E147" s="211"/>
      <c r="N147" s="1"/>
    </row>
    <row r="148" spans="3:14" hidden="1">
      <c r="E148" s="211"/>
      <c r="N148" s="1"/>
    </row>
    <row r="149" spans="3:14" hidden="1">
      <c r="E149" s="211"/>
      <c r="N149" s="1"/>
    </row>
    <row r="150" spans="3:14" hidden="1">
      <c r="E150" s="211"/>
      <c r="N150" s="1"/>
    </row>
    <row r="151" spans="3:14" hidden="1">
      <c r="E151" s="211"/>
      <c r="N151" s="1"/>
    </row>
    <row r="152" spans="3:14" hidden="1">
      <c r="E152" s="211"/>
      <c r="N152" s="1"/>
    </row>
    <row r="153" spans="3:14" hidden="1">
      <c r="E153" s="211"/>
      <c r="N153" s="1"/>
    </row>
    <row r="154" spans="3:14" hidden="1">
      <c r="E154" s="211"/>
      <c r="N154" s="1"/>
    </row>
    <row r="155" spans="3:14">
      <c r="E155" s="211"/>
      <c r="N155" s="1"/>
    </row>
    <row r="156" spans="3:14">
      <c r="C156" t="s">
        <v>904</v>
      </c>
      <c r="E156" s="211"/>
      <c r="N156" s="1"/>
    </row>
    <row r="157" spans="3:14">
      <c r="D157" s="741">
        <f>IF(G157&gt;G160,(ROUNDDOWN(IF(G157&gt;G163,F163,G157*H160+I160),1)),IF(OR(J157&gt;0.5,J157=""),24.9,F160))</f>
        <v>24.9</v>
      </c>
      <c r="E157" s="211" t="s">
        <v>900</v>
      </c>
      <c r="F157" s="739" t="s">
        <v>902</v>
      </c>
      <c r="G157" s="740"/>
      <c r="H157" t="str">
        <f>"×（"&amp;H160&amp;"）＋"&amp;I160</f>
        <v>×（-13.2）＋23.3</v>
      </c>
      <c r="I157" s="173" t="s">
        <v>920</v>
      </c>
      <c r="J157" s="740"/>
      <c r="N157" s="1"/>
    </row>
    <row r="158" spans="3:14">
      <c r="E158" s="211"/>
      <c r="N158" s="1"/>
    </row>
    <row r="159" spans="3:14" hidden="1">
      <c r="E159" s="211"/>
      <c r="F159" t="s">
        <v>898</v>
      </c>
      <c r="G159" t="s">
        <v>901</v>
      </c>
      <c r="H159" s="52" t="s">
        <v>894</v>
      </c>
      <c r="I159" s="52" t="s">
        <v>895</v>
      </c>
      <c r="N159" s="1"/>
    </row>
    <row r="160" spans="3:14" hidden="1">
      <c r="F160">
        <v>20</v>
      </c>
      <c r="G160">
        <v>0.25</v>
      </c>
      <c r="H160" s="48">
        <f>IF(G157&lt;=G161,H161,IF(G157&lt;=G162,H162,H163))</f>
        <v>-13.200000000000003</v>
      </c>
      <c r="I160" s="48">
        <f>IF(G157&lt;=G161,I161,IF(G157&lt;=G162,I162,I163))</f>
        <v>23.3</v>
      </c>
      <c r="N160" s="1"/>
    </row>
    <row r="161" spans="5:14" hidden="1">
      <c r="F161" s="179">
        <v>16.7</v>
      </c>
      <c r="G161">
        <v>0.5</v>
      </c>
      <c r="H161" s="53">
        <f>(F161-F160)/(G161-G160)</f>
        <v>-13.200000000000003</v>
      </c>
      <c r="I161" s="53">
        <f>F161-H161*G161</f>
        <v>23.3</v>
      </c>
      <c r="N161" s="1"/>
    </row>
    <row r="162" spans="5:14" hidden="1">
      <c r="F162" s="179">
        <v>13.3</v>
      </c>
      <c r="G162">
        <v>0.6</v>
      </c>
      <c r="H162" s="53">
        <f>(F162-F161)/(G162-G161)</f>
        <v>-33.999999999999993</v>
      </c>
      <c r="I162" s="53">
        <f>F162-H162*G162</f>
        <v>33.699999999999996</v>
      </c>
      <c r="N162" s="1"/>
    </row>
    <row r="163" spans="5:14" hidden="1">
      <c r="E163" s="211"/>
      <c r="F163">
        <v>10</v>
      </c>
      <c r="G163">
        <v>0.75</v>
      </c>
      <c r="H163" s="53">
        <f>(F163-F162)/(G163-G162)</f>
        <v>-22</v>
      </c>
      <c r="I163" s="53">
        <f>F163-H163*G163</f>
        <v>26.5</v>
      </c>
      <c r="N163" s="1"/>
    </row>
    <row r="164" spans="5:14" hidden="1">
      <c r="E164" s="211"/>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row r="187"/>
    <row r="188"/>
    <row r="189"/>
    <row r="190"/>
    <row r="191"/>
    <row r="192"/>
    <row r="193"/>
    <row r="194"/>
    <row r="195"/>
    <row r="196"/>
    <row r="197"/>
    <row r="198"/>
    <row r="199"/>
    <row r="200"/>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sheetData>
  <sheetProtection algorithmName="SHA-512" hashValue="d0F+d9VPkEulJbzacccI04NR+Hx35NTmx4cxX2WRko3jyoO2yZpx7WqMFu2IW9tbtVn6BvClRG/XZi4hLw8yjA==" saltValue="lxmVj6WQMEG5YHjS1R7eng==" spinCount="100000" sheet="1" formatCells="0" formatRows="0" insertRows="0"/>
  <mergeCells count="47">
    <mergeCell ref="G62:I62"/>
    <mergeCell ref="G75:I75"/>
    <mergeCell ref="G77:I77"/>
    <mergeCell ref="I2:J4"/>
    <mergeCell ref="D7:G7"/>
    <mergeCell ref="D8:G8"/>
    <mergeCell ref="G31:I33"/>
    <mergeCell ref="G35:I37"/>
    <mergeCell ref="G59:I59"/>
    <mergeCell ref="G53:I53"/>
    <mergeCell ref="G39:I39"/>
    <mergeCell ref="G41:I41"/>
    <mergeCell ref="G47:I47"/>
    <mergeCell ref="G49:I49"/>
    <mergeCell ref="G51:I51"/>
    <mergeCell ref="G64:I64"/>
    <mergeCell ref="L8:M8"/>
    <mergeCell ref="D9:G9"/>
    <mergeCell ref="L11:M11"/>
    <mergeCell ref="F12:G12"/>
    <mergeCell ref="G28:I29"/>
    <mergeCell ref="D10:G10"/>
    <mergeCell ref="D11:G11"/>
    <mergeCell ref="F13:G13"/>
    <mergeCell ref="G67:I67"/>
    <mergeCell ref="G68:I68"/>
    <mergeCell ref="G94:I94"/>
    <mergeCell ref="G98:I99"/>
    <mergeCell ref="G72:I72"/>
    <mergeCell ref="G79:I79"/>
    <mergeCell ref="G89:I89"/>
    <mergeCell ref="G91:I91"/>
    <mergeCell ref="G96:I96"/>
    <mergeCell ref="G81:I81"/>
    <mergeCell ref="P85:Q97"/>
    <mergeCell ref="G111:I111"/>
    <mergeCell ref="G113:I113"/>
    <mergeCell ref="G115:I115"/>
    <mergeCell ref="G87:I87"/>
    <mergeCell ref="G105:I106"/>
    <mergeCell ref="G109:I109"/>
    <mergeCell ref="P139:Q139"/>
    <mergeCell ref="P141:Q141"/>
    <mergeCell ref="G132:I132"/>
    <mergeCell ref="G133:I133"/>
    <mergeCell ref="G134:I134"/>
    <mergeCell ref="G135:I135"/>
  </mergeCells>
  <phoneticPr fontId="3"/>
  <dataValidations disablePrompts="1" count="1">
    <dataValidation type="list" allowBlank="1" showInputMessage="1" showErrorMessage="1" sqref="C86 C27 C58 C46 C104" xr:uid="{00000000-0002-0000-0300-000000000000}">
      <formula1>$S$19:$S$20</formula1>
    </dataValidation>
  </dataValidations>
  <pageMargins left="0.86614173228346458" right="0.43307086614173229" top="0.55118110236220474" bottom="0.55118110236220474" header="0.43307086614173229" footer="0.31496062992125984"/>
  <pageSetup paperSize="9" scale="49" fitToWidth="2" orientation="portrait" verticalDpi="300" r:id="rId1"/>
  <headerFooter alignWithMargins="0">
    <oddHeader>&amp;L&amp;F&amp;R&amp;A</oddHeader>
    <oddFooter>&amp;C&amp;P</oddFooter>
  </headerFooter>
  <colBreaks count="2" manualBreakCount="2">
    <brk id="14" min="1" max="136" man="1"/>
    <brk id="18" min="1" max="112" man="1"/>
  </col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6F5AF-0864-4916-8FA0-E1A98A383E22}">
  <sheetPr codeName="Sheet15"/>
  <dimension ref="A1:AA200"/>
  <sheetViews>
    <sheetView showGridLines="0" zoomScaleNormal="100" zoomScaleSheetLayoutView="100" zoomScalePageLayoutView="40" workbookViewId="0">
      <selection activeCell="H15" sqref="H15"/>
    </sheetView>
  </sheetViews>
  <sheetFormatPr defaultColWidth="0" defaultRowHeight="13.5" customHeight="1"/>
  <cols>
    <col min="1" max="1" width="1.875" customWidth="1"/>
    <col min="2" max="2" width="1.25" customWidth="1"/>
    <col min="3" max="3" width="10.625" customWidth="1"/>
    <col min="4" max="4" width="8.625" customWidth="1"/>
    <col min="5" max="5" width="5.125" style="211"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3.5" customWidth="1"/>
    <col min="19" max="26" width="7.375" hidden="1" customWidth="1"/>
    <col min="27" max="27" width="0" hidden="1" customWidth="1"/>
    <col min="28" max="16384" width="9" hidden="1"/>
  </cols>
  <sheetData>
    <row r="1" spans="2:27" ht="13.5" customHeight="1">
      <c r="V1" s="361"/>
      <c r="W1" s="41"/>
      <c r="X1" s="41" t="s">
        <v>700</v>
      </c>
    </row>
    <row r="2" spans="2:27" ht="13.5" customHeight="1">
      <c r="I2" s="792" t="s">
        <v>835</v>
      </c>
      <c r="J2" s="792"/>
      <c r="P2" s="383" t="s">
        <v>722</v>
      </c>
      <c r="Q2" s="383"/>
      <c r="W2" s="360" t="s">
        <v>686</v>
      </c>
      <c r="X2" s="171" t="str">
        <f>IF(建築環境SDGsチェックリスト!$D$3="ホテル",建築環境SDGsチェックリスト!H116,"0")</f>
        <v>0</v>
      </c>
    </row>
    <row r="3" spans="2:27" ht="13.5" customHeight="1">
      <c r="I3" s="792"/>
      <c r="J3" s="792"/>
      <c r="R3" s="179"/>
      <c r="W3" s="360" t="s">
        <v>680</v>
      </c>
      <c r="X3" s="171" t="str">
        <f>IF(建築環境SDGsチェックリスト!$D$3="ホテル",建築環境SDGsチェックリスト!H117,"0")</f>
        <v>0</v>
      </c>
    </row>
    <row r="4" spans="2:27" ht="13.5" customHeight="1">
      <c r="I4" s="792"/>
      <c r="J4" s="792"/>
      <c r="R4" s="179"/>
      <c r="W4" s="360" t="s">
        <v>681</v>
      </c>
      <c r="X4" s="171" t="str">
        <f>IF(建築環境SDGsチェックリスト!$D$3="ホテル",建築環境SDGsチェックリスト!H118,"0")</f>
        <v>0</v>
      </c>
    </row>
    <row r="5" spans="2:27" ht="14.25">
      <c r="B5" s="3"/>
      <c r="C5" s="4"/>
      <c r="D5" s="4"/>
      <c r="E5" s="212"/>
      <c r="F5" s="4"/>
      <c r="G5" s="4"/>
      <c r="H5" s="4"/>
      <c r="I5" s="2" t="s">
        <v>1</v>
      </c>
      <c r="J5" s="4" t="str">
        <f>オフィス評価結果!J5</f>
        <v>CASBEE-不動産 2024年版</v>
      </c>
      <c r="K5" s="4"/>
      <c r="L5" s="4"/>
      <c r="M5" s="2" t="str">
        <f>オフィス評価結果!M5</f>
        <v>v1.21</v>
      </c>
      <c r="N5" s="1"/>
      <c r="W5" s="360" t="s">
        <v>682</v>
      </c>
      <c r="X5" s="171" t="str">
        <f>IF(建築環境SDGsチェックリスト!$D$3="ホテル",建築環境SDGsチェックリスト!H119,"0")</f>
        <v>0</v>
      </c>
    </row>
    <row r="6" spans="2:27" ht="15">
      <c r="B6" s="760"/>
      <c r="C6" s="761" t="s">
        <v>2</v>
      </c>
      <c r="D6" s="762"/>
      <c r="E6" s="763"/>
      <c r="F6" s="762"/>
      <c r="G6" s="762"/>
      <c r="H6" s="762"/>
      <c r="I6" s="762"/>
      <c r="J6" s="762"/>
      <c r="K6" s="762"/>
      <c r="L6" s="762"/>
      <c r="M6" s="764"/>
      <c r="N6" s="1"/>
      <c r="W6" s="360" t="s">
        <v>683</v>
      </c>
      <c r="X6" s="171" t="str">
        <f>IF(建築環境SDGsチェックリスト!$D$3="ホテル",建築環境SDGsチェックリスト!H120,"0")</f>
        <v>0</v>
      </c>
    </row>
    <row r="7" spans="2:27" ht="14.25">
      <c r="B7" s="9"/>
      <c r="C7" s="10" t="s">
        <v>3</v>
      </c>
      <c r="D7" s="778" t="s">
        <v>836</v>
      </c>
      <c r="E7" s="779"/>
      <c r="F7" s="779"/>
      <c r="G7" s="779"/>
      <c r="H7" s="15" t="s">
        <v>4</v>
      </c>
      <c r="I7" s="765" t="s">
        <v>287</v>
      </c>
      <c r="J7" s="12" t="s">
        <v>76</v>
      </c>
      <c r="K7" s="10" t="s">
        <v>5</v>
      </c>
      <c r="L7" s="21" t="s">
        <v>108</v>
      </c>
      <c r="M7" s="25"/>
      <c r="N7" s="1"/>
      <c r="S7" s="41" t="s">
        <v>83</v>
      </c>
      <c r="T7" s="41" t="s">
        <v>93</v>
      </c>
      <c r="W7" s="360" t="s">
        <v>684</v>
      </c>
      <c r="X7" s="171" t="str">
        <f>IF(建築環境SDGsチェックリスト!$D$3="ホテル",建築環境SDGsチェックリスト!H121,"0")</f>
        <v>0</v>
      </c>
    </row>
    <row r="8" spans="2:27" ht="14.25">
      <c r="B8" s="9"/>
      <c r="C8" s="10" t="s">
        <v>6</v>
      </c>
      <c r="D8" s="778" t="s">
        <v>288</v>
      </c>
      <c r="E8" s="778"/>
      <c r="F8" s="778"/>
      <c r="G8" s="778"/>
      <c r="H8" s="15" t="s">
        <v>7</v>
      </c>
      <c r="I8" s="765" t="s">
        <v>287</v>
      </c>
      <c r="J8" s="12" t="s">
        <v>76</v>
      </c>
      <c r="K8" s="10" t="s">
        <v>8</v>
      </c>
      <c r="L8" s="810" t="s">
        <v>103</v>
      </c>
      <c r="M8" s="811"/>
      <c r="N8" s="1"/>
      <c r="S8" s="41" t="str">
        <f>C25</f>
        <v>１．エネルギー／温暖化ガス</v>
      </c>
      <c r="T8" s="115">
        <f>IF(C42/D42&gt;1,1,C42/D42)</f>
        <v>0.74285714285714288</v>
      </c>
      <c r="U8" s="116"/>
      <c r="W8" s="360" t="s">
        <v>685</v>
      </c>
      <c r="X8" s="171" t="str">
        <f>IF(建築環境SDGsチェックリスト!$D$3="ホテル",建築環境SDGsチェックリスト!H122,"0")</f>
        <v>0</v>
      </c>
    </row>
    <row r="9" spans="2:27" ht="14.25">
      <c r="B9" s="9"/>
      <c r="C9" s="10" t="s">
        <v>9</v>
      </c>
      <c r="D9" s="778" t="s">
        <v>10</v>
      </c>
      <c r="E9" s="779"/>
      <c r="F9" s="779"/>
      <c r="G9" s="779"/>
      <c r="H9" s="15" t="s">
        <v>954</v>
      </c>
      <c r="I9" s="765" t="s">
        <v>287</v>
      </c>
      <c r="J9" s="12" t="s">
        <v>76</v>
      </c>
      <c r="K9" s="10" t="s">
        <v>11</v>
      </c>
      <c r="L9" s="21" t="s">
        <v>287</v>
      </c>
      <c r="M9" s="25"/>
      <c r="N9" s="1"/>
      <c r="S9" s="41" t="str">
        <f>C44</f>
        <v>２．水</v>
      </c>
      <c r="T9" s="115">
        <f>C54/D54</f>
        <v>0.6</v>
      </c>
      <c r="U9" s="116"/>
      <c r="W9" s="360" t="s">
        <v>692</v>
      </c>
      <c r="X9" s="171" t="str">
        <f>IF(建築環境SDGsチェックリスト!$D$3="ホテル",建築環境SDGsチェックリスト!H123,"0")</f>
        <v>0</v>
      </c>
    </row>
    <row r="10" spans="2:27" ht="14.25">
      <c r="B10" s="9"/>
      <c r="C10" s="10" t="s">
        <v>14</v>
      </c>
      <c r="D10" s="778" t="s">
        <v>910</v>
      </c>
      <c r="E10" s="778"/>
      <c r="F10" s="778"/>
      <c r="G10" s="812"/>
      <c r="H10" s="15" t="s">
        <v>12</v>
      </c>
      <c r="I10" s="21" t="s">
        <v>290</v>
      </c>
      <c r="J10" s="12"/>
      <c r="K10" s="10" t="s">
        <v>120</v>
      </c>
      <c r="L10" s="202"/>
      <c r="M10" s="203"/>
      <c r="N10" s="1"/>
      <c r="S10" s="41" t="str">
        <f>C56</f>
        <v>３．資源利用／安全</v>
      </c>
      <c r="T10" s="115">
        <f>C82/D82</f>
        <v>0.53749999999999998</v>
      </c>
      <c r="U10" s="116"/>
      <c r="W10" s="360" t="s">
        <v>693</v>
      </c>
      <c r="X10" s="171" t="str">
        <f>IF(建築環境SDGsチェックリスト!$D$3="ホテル",建築環境SDGsチェックリスト!H124,"0")</f>
        <v>0</v>
      </c>
    </row>
    <row r="11" spans="2:27" ht="14.25">
      <c r="B11" s="9"/>
      <c r="C11" s="10" t="s">
        <v>125</v>
      </c>
      <c r="D11" s="810" t="s">
        <v>291</v>
      </c>
      <c r="E11" s="810"/>
      <c r="F11" s="810"/>
      <c r="G11" s="810"/>
      <c r="H11" s="15" t="s">
        <v>15</v>
      </c>
      <c r="I11" s="22" t="s">
        <v>292</v>
      </c>
      <c r="J11" s="12"/>
      <c r="K11" s="10" t="s">
        <v>13</v>
      </c>
      <c r="L11" s="813" t="s">
        <v>103</v>
      </c>
      <c r="M11" s="814"/>
      <c r="N11" s="1"/>
      <c r="S11" s="41" t="str">
        <f>C84</f>
        <v>４．生物多様性／敷地</v>
      </c>
      <c r="T11" s="115">
        <f>C100/D100</f>
        <v>0.6</v>
      </c>
      <c r="U11" s="116"/>
      <c r="W11" s="360" t="s">
        <v>694</v>
      </c>
      <c r="X11" s="171" t="str">
        <f>IF(建築環境SDGsチェックリスト!$D$3="ホテル",建築環境SDGsチェックリスト!H125,"0")</f>
        <v>0</v>
      </c>
    </row>
    <row r="12" spans="2:27" ht="14.25">
      <c r="B12" s="9"/>
      <c r="C12" s="10" t="s">
        <v>124</v>
      </c>
      <c r="F12" s="800" t="s">
        <v>293</v>
      </c>
      <c r="G12" s="801"/>
      <c r="H12" s="15" t="s">
        <v>888</v>
      </c>
      <c r="I12" s="117" t="s">
        <v>299</v>
      </c>
      <c r="J12" s="16" t="s">
        <v>19</v>
      </c>
      <c r="K12" s="10" t="s">
        <v>16</v>
      </c>
      <c r="L12" s="54" t="s">
        <v>287</v>
      </c>
      <c r="M12" s="55"/>
      <c r="N12" s="1"/>
      <c r="S12" s="41" t="str">
        <f>C102</f>
        <v>５．屋内環境</v>
      </c>
      <c r="T12" s="115">
        <f>C128/D128</f>
        <v>0.6</v>
      </c>
      <c r="U12" s="116"/>
      <c r="W12" s="360" t="s">
        <v>695</v>
      </c>
      <c r="X12" s="171" t="str">
        <f>IF(建築環境SDGsチェックリスト!$D$3="ホテル",建築環境SDGsチェックリスト!H126,"0")</f>
        <v>0</v>
      </c>
    </row>
    <row r="13" spans="2:27" ht="14.25">
      <c r="B13" s="13"/>
      <c r="C13" s="759" t="s">
        <v>952</v>
      </c>
      <c r="D13" s="14"/>
      <c r="E13" s="213"/>
      <c r="F13" s="818" t="s">
        <v>953</v>
      </c>
      <c r="G13" s="819"/>
      <c r="H13" s="17" t="s">
        <v>297</v>
      </c>
      <c r="I13" s="24" t="s">
        <v>18</v>
      </c>
      <c r="J13" s="18" t="s">
        <v>298</v>
      </c>
      <c r="K13" s="17" t="s">
        <v>120</v>
      </c>
      <c r="L13" s="204"/>
      <c r="M13" s="205"/>
      <c r="N13" s="1"/>
      <c r="S13" s="41"/>
      <c r="T13" s="41"/>
      <c r="W13" s="360" t="s">
        <v>696</v>
      </c>
      <c r="X13" s="171" t="str">
        <f>IF(建築環境SDGsチェックリスト!$D$3="ホテル",建築環境SDGsチェックリスト!H127,"0")</f>
        <v>0</v>
      </c>
      <c r="Z13" t="s">
        <v>872</v>
      </c>
    </row>
    <row r="14" spans="2:27" ht="3.95" customHeight="1">
      <c r="B14" s="3"/>
      <c r="C14" s="4"/>
      <c r="D14" s="4"/>
      <c r="E14" s="212"/>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697</v>
      </c>
      <c r="X15" s="385" t="e">
        <f>(AVERAGE(X2:X13)-1)*2+1</f>
        <v>#DIV/0!</v>
      </c>
    </row>
    <row r="16" spans="2:27" ht="3.6" customHeight="1">
      <c r="B16" s="26"/>
      <c r="G16" s="4"/>
      <c r="H16" s="4"/>
      <c r="I16" s="4"/>
      <c r="M16" s="44"/>
      <c r="N16" s="1"/>
      <c r="S16" s="41" t="s">
        <v>91</v>
      </c>
      <c r="T16" s="41" t="s">
        <v>92</v>
      </c>
      <c r="W16" s="41" t="s">
        <v>698</v>
      </c>
      <c r="X16" s="171" t="e">
        <f>IF(X15=1,1,IF(X15&lt;1.5,1,IF(X15&lt;2.5,2,IF(X15&lt;3.5,3,IF(X15&lt;4.5,4,5)))))/5</f>
        <v>#DIV/0!</v>
      </c>
      <c r="Z16" s="41" t="s">
        <v>868</v>
      </c>
      <c r="AA16" s="41" t="s">
        <v>92</v>
      </c>
    </row>
    <row r="17" spans="2:27" ht="14.25">
      <c r="B17" s="26"/>
      <c r="C17" s="746">
        <f>C42+C54+C82+C100+C128</f>
        <v>63.75</v>
      </c>
      <c r="D17" s="50" t="s">
        <v>104</v>
      </c>
      <c r="E17" s="705" t="s">
        <v>22</v>
      </c>
      <c r="H17" s="4"/>
      <c r="I17" s="214" t="s">
        <v>889</v>
      </c>
      <c r="M17" s="706" t="str">
        <f>IF(Z17=0,Z13,"")</f>
        <v>評価しない</v>
      </c>
      <c r="N17" s="1"/>
      <c r="S17" s="41">
        <f>IF(C17&gt;=F19,5,IF(C17&gt;=F20,4,IF(C17&gt;=F21,3,IF(C17&gt;=F22,2,0))))</f>
        <v>3</v>
      </c>
      <c r="T17" s="41">
        <f>5-S17</f>
        <v>2</v>
      </c>
      <c r="W17" s="41" t="s">
        <v>699</v>
      </c>
      <c r="X17" s="171" t="e">
        <f>1-X16</f>
        <v>#DIV/0!</v>
      </c>
      <c r="Z17" s="702">
        <f>C132</f>
        <v>0</v>
      </c>
      <c r="AA17" s="41">
        <f>IF(M17=Z13,0,5-Z17)</f>
        <v>0</v>
      </c>
    </row>
    <row r="18" spans="2:27" ht="14.25">
      <c r="B18" s="26"/>
      <c r="C18" s="707" t="s">
        <v>105</v>
      </c>
      <c r="D18" s="708" t="s">
        <v>106</v>
      </c>
      <c r="E18"/>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862</v>
      </c>
      <c r="K21" s="703" t="str">
        <f>IF(M17=Z13,"",L132)</f>
        <v/>
      </c>
      <c r="L21" s="32" t="s">
        <v>867</v>
      </c>
      <c r="M21" s="703" t="str">
        <f>IF(M17=Z13,"",L134)</f>
        <v/>
      </c>
      <c r="N21" s="1"/>
    </row>
    <row r="22" spans="2:27" ht="14.25">
      <c r="B22" s="43"/>
      <c r="C22" s="11" t="s">
        <v>326</v>
      </c>
      <c r="E22" s="10" t="s">
        <v>23</v>
      </c>
      <c r="F22" s="709">
        <v>50</v>
      </c>
      <c r="J22" s="32" t="s">
        <v>924</v>
      </c>
      <c r="K22" s="703" t="str">
        <f>IF(M17=Z13,"",L133)</f>
        <v/>
      </c>
      <c r="L22" s="32" t="s">
        <v>865</v>
      </c>
      <c r="M22" s="703" t="str">
        <f>IF(M17=Z13,"",L135)</f>
        <v/>
      </c>
    </row>
    <row r="23" spans="2:27" ht="14.25">
      <c r="B23" s="698"/>
      <c r="C23" s="711" t="s">
        <v>869</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0</v>
      </c>
      <c r="U24" s="41">
        <f t="shared" ref="U24:U51" si="1">IF(AND($L$35&gt;=S24,$L$35&lt;S25),T24,0)</f>
        <v>0</v>
      </c>
      <c r="W24" s="41">
        <v>0</v>
      </c>
      <c r="X24" s="48"/>
      <c r="Y24" s="48"/>
      <c r="Z24" s="48"/>
    </row>
    <row r="25" spans="2:27" ht="15">
      <c r="B25" s="5"/>
      <c r="C25" s="6" t="s">
        <v>312</v>
      </c>
      <c r="D25" s="7"/>
      <c r="E25" s="219"/>
      <c r="F25" s="7"/>
      <c r="G25" s="7"/>
      <c r="H25" s="7"/>
      <c r="I25" s="7"/>
      <c r="J25" s="7"/>
      <c r="K25" s="7"/>
      <c r="L25" s="7"/>
      <c r="M25" s="8"/>
      <c r="S25" s="118">
        <f t="shared" si="0"/>
        <v>200</v>
      </c>
      <c r="T25" s="41">
        <f t="shared" ref="T25:T51" si="2">IF($I$9&gt;=30000,Z25,IF($I$9&gt;=10000,Y25,X25))</f>
        <v>0</v>
      </c>
      <c r="U25" s="41">
        <f t="shared" si="1"/>
        <v>0</v>
      </c>
      <c r="W25" s="41">
        <v>200</v>
      </c>
      <c r="X25" s="48"/>
      <c r="Y25" s="48"/>
      <c r="Z25" s="48"/>
    </row>
    <row r="26" spans="2:27" ht="14.25">
      <c r="B26" s="26"/>
      <c r="C26" s="31" t="s">
        <v>24</v>
      </c>
      <c r="D26" s="10" t="s">
        <v>25</v>
      </c>
      <c r="E26" s="32"/>
      <c r="F26" s="11"/>
      <c r="G26" s="10"/>
      <c r="H26" s="10"/>
      <c r="I26" s="10"/>
      <c r="J26" s="31" t="s">
        <v>26</v>
      </c>
      <c r="K26" s="11" t="s">
        <v>70</v>
      </c>
      <c r="L26" s="31" t="s">
        <v>27</v>
      </c>
      <c r="M26" s="12"/>
      <c r="S26" s="118">
        <f t="shared" si="0"/>
        <v>400</v>
      </c>
      <c r="T26" s="41">
        <f t="shared" si="2"/>
        <v>0</v>
      </c>
      <c r="U26" s="41">
        <f t="shared" si="1"/>
        <v>0</v>
      </c>
      <c r="W26" s="41">
        <v>400</v>
      </c>
      <c r="X26" s="48"/>
      <c r="Y26" s="48"/>
      <c r="Z26" s="48"/>
    </row>
    <row r="27" spans="2:27" ht="14.25">
      <c r="B27" s="26"/>
      <c r="C27" s="367"/>
      <c r="D27" s="11"/>
      <c r="E27" s="214" t="s">
        <v>28</v>
      </c>
      <c r="F27" s="11"/>
      <c r="G27" s="10" t="s">
        <v>29</v>
      </c>
      <c r="H27" s="10"/>
      <c r="I27" s="10"/>
      <c r="J27" s="11"/>
      <c r="K27" s="11"/>
      <c r="L27" s="11"/>
      <c r="M27" s="12"/>
      <c r="S27" s="118">
        <f t="shared" si="0"/>
        <v>600</v>
      </c>
      <c r="T27" s="41">
        <f t="shared" si="2"/>
        <v>0</v>
      </c>
      <c r="U27" s="41">
        <f t="shared" si="1"/>
        <v>0</v>
      </c>
      <c r="W27" s="41">
        <v>600</v>
      </c>
      <c r="X27" s="48"/>
      <c r="Y27" s="48"/>
      <c r="Z27" s="48"/>
    </row>
    <row r="28" spans="2:27" ht="14.25">
      <c r="B28" s="26"/>
      <c r="C28" s="368"/>
      <c r="D28" s="19" t="s">
        <v>72</v>
      </c>
      <c r="E28" s="32"/>
      <c r="F28" s="42" t="s">
        <v>30</v>
      </c>
      <c r="G28" s="823"/>
      <c r="H28" s="833"/>
      <c r="I28" s="834"/>
      <c r="J28" s="10" t="s">
        <v>71</v>
      </c>
      <c r="K28" s="11"/>
      <c r="L28" s="119"/>
      <c r="M28" s="12" t="s">
        <v>80</v>
      </c>
      <c r="S28" s="118">
        <f t="shared" si="0"/>
        <v>800</v>
      </c>
      <c r="T28" s="41">
        <f t="shared" si="2"/>
        <v>0</v>
      </c>
      <c r="U28" s="41">
        <f t="shared" si="1"/>
        <v>0</v>
      </c>
      <c r="W28" s="41">
        <v>800</v>
      </c>
      <c r="X28" s="48"/>
      <c r="Y28" s="48"/>
      <c r="Z28" s="48"/>
    </row>
    <row r="29" spans="2:27" ht="14.25">
      <c r="B29" s="26"/>
      <c r="E29" s="32"/>
      <c r="F29" s="11"/>
      <c r="G29" s="835"/>
      <c r="H29" s="836"/>
      <c r="I29" s="837"/>
      <c r="J29" s="11"/>
      <c r="K29" s="11"/>
      <c r="L29" s="11"/>
      <c r="M29" s="12"/>
      <c r="S29" s="118">
        <f t="shared" si="0"/>
        <v>1000</v>
      </c>
      <c r="T29" s="41">
        <f t="shared" si="2"/>
        <v>0</v>
      </c>
      <c r="U29" s="41">
        <f t="shared" si="1"/>
        <v>0</v>
      </c>
      <c r="W29" s="41">
        <v>1000</v>
      </c>
      <c r="X29" s="48"/>
      <c r="Y29" s="48"/>
      <c r="Z29" s="48"/>
    </row>
    <row r="30" spans="2:27" ht="14.25">
      <c r="B30" s="26"/>
      <c r="C30" s="368">
        <v>20</v>
      </c>
      <c r="D30" s="19">
        <v>25</v>
      </c>
      <c r="E30" s="33">
        <v>1.1000000000000001</v>
      </c>
      <c r="F30" s="34" t="s">
        <v>31</v>
      </c>
      <c r="G30" s="10"/>
      <c r="H30" s="10"/>
      <c r="I30" s="10"/>
      <c r="J30" s="11"/>
      <c r="K30" s="11"/>
      <c r="L30" s="11"/>
      <c r="M30" s="12"/>
      <c r="S30" s="118">
        <f t="shared" si="0"/>
        <v>1200</v>
      </c>
      <c r="T30" s="41">
        <f t="shared" si="2"/>
        <v>0</v>
      </c>
      <c r="U30" s="41">
        <f t="shared" si="1"/>
        <v>0</v>
      </c>
      <c r="W30" s="41">
        <v>1200</v>
      </c>
      <c r="X30" s="48"/>
      <c r="Y30" s="48"/>
      <c r="Z30" s="48"/>
    </row>
    <row r="31" spans="2:27" ht="14.25">
      <c r="B31" s="26"/>
      <c r="C31" s="11"/>
      <c r="D31" s="32"/>
      <c r="E31" s="32"/>
      <c r="F31" s="42" t="s">
        <v>30</v>
      </c>
      <c r="G31" s="823"/>
      <c r="H31" s="833"/>
      <c r="I31" s="834"/>
      <c r="J31" s="10" t="s">
        <v>73</v>
      </c>
      <c r="K31" s="11"/>
      <c r="L31" s="120"/>
      <c r="M31" s="12" t="s">
        <v>80</v>
      </c>
      <c r="S31" s="118">
        <f t="shared" si="0"/>
        <v>1400</v>
      </c>
      <c r="T31" s="41">
        <f t="shared" si="2"/>
        <v>0</v>
      </c>
      <c r="U31" s="41">
        <f t="shared" si="1"/>
        <v>0</v>
      </c>
      <c r="W31" s="41">
        <v>1400</v>
      </c>
      <c r="X31" s="48"/>
      <c r="Y31" s="48"/>
      <c r="Z31" s="48"/>
    </row>
    <row r="32" spans="2:27" ht="14.25">
      <c r="B32" s="26"/>
      <c r="C32" s="11"/>
      <c r="D32" s="11"/>
      <c r="E32" s="32"/>
      <c r="F32" s="11"/>
      <c r="G32" s="838"/>
      <c r="H32" s="839"/>
      <c r="I32" s="840"/>
      <c r="J32" s="10" t="s">
        <v>74</v>
      </c>
      <c r="K32" s="11"/>
      <c r="L32" s="120"/>
      <c r="M32" s="12" t="s">
        <v>81</v>
      </c>
      <c r="S32" s="118">
        <f t="shared" si="0"/>
        <v>1600</v>
      </c>
      <c r="T32" s="41">
        <f t="shared" si="2"/>
        <v>0</v>
      </c>
      <c r="U32" s="41">
        <f t="shared" si="1"/>
        <v>0</v>
      </c>
      <c r="W32" s="41">
        <v>1600</v>
      </c>
      <c r="X32" s="48"/>
      <c r="Y32" s="48"/>
      <c r="Z32" s="48"/>
    </row>
    <row r="33" spans="2:26" ht="15.75">
      <c r="B33" s="26"/>
      <c r="C33" s="11"/>
      <c r="D33" s="11"/>
      <c r="E33" s="32"/>
      <c r="F33" s="11"/>
      <c r="G33" s="835"/>
      <c r="H33" s="836"/>
      <c r="I33" s="837"/>
      <c r="J33" s="10" t="s">
        <v>890</v>
      </c>
      <c r="K33" s="11"/>
      <c r="L33" s="369"/>
      <c r="M33" s="12" t="s">
        <v>891</v>
      </c>
      <c r="S33" s="118">
        <f t="shared" si="0"/>
        <v>1800</v>
      </c>
      <c r="T33" s="41">
        <f t="shared" si="2"/>
        <v>0</v>
      </c>
      <c r="U33" s="41">
        <f t="shared" si="1"/>
        <v>0</v>
      </c>
      <c r="W33" s="41">
        <v>1800</v>
      </c>
      <c r="X33" s="48"/>
      <c r="Y33" s="48"/>
      <c r="Z33" s="48"/>
    </row>
    <row r="34" spans="2:26" ht="14.25">
      <c r="B34" s="26"/>
      <c r="C34" s="368">
        <v>3</v>
      </c>
      <c r="D34" s="19">
        <v>5</v>
      </c>
      <c r="E34" s="33" t="s">
        <v>32</v>
      </c>
      <c r="F34" s="34" t="s">
        <v>33</v>
      </c>
      <c r="G34" s="10"/>
      <c r="H34" s="10"/>
      <c r="I34" s="10"/>
      <c r="J34" s="11"/>
      <c r="K34" s="11"/>
      <c r="L34" s="11"/>
      <c r="M34" s="12"/>
      <c r="S34" s="118">
        <f t="shared" si="0"/>
        <v>2000</v>
      </c>
      <c r="T34" s="41">
        <f t="shared" si="2"/>
        <v>0</v>
      </c>
      <c r="U34" s="41">
        <f t="shared" si="1"/>
        <v>0</v>
      </c>
      <c r="W34" s="41">
        <v>2000</v>
      </c>
      <c r="X34" s="48"/>
      <c r="Y34" s="48"/>
      <c r="Z34" s="48"/>
    </row>
    <row r="35" spans="2:26" ht="14.25">
      <c r="B35" s="26"/>
      <c r="C35" s="11"/>
      <c r="D35" s="32"/>
      <c r="E35" s="32"/>
      <c r="F35" s="42" t="s">
        <v>30</v>
      </c>
      <c r="G35" s="823"/>
      <c r="H35" s="833"/>
      <c r="I35" s="834"/>
      <c r="J35" s="10" t="s">
        <v>75</v>
      </c>
      <c r="K35" s="11"/>
      <c r="L35" s="120"/>
      <c r="M35" s="12" t="s">
        <v>80</v>
      </c>
      <c r="S35" s="118">
        <f t="shared" si="0"/>
        <v>2200</v>
      </c>
      <c r="T35" s="41">
        <f t="shared" si="2"/>
        <v>0</v>
      </c>
      <c r="U35" s="41">
        <f t="shared" si="1"/>
        <v>0</v>
      </c>
      <c r="W35" s="41">
        <v>2200</v>
      </c>
      <c r="X35" s="48"/>
      <c r="Y35" s="48"/>
      <c r="Z35" s="48"/>
    </row>
    <row r="36" spans="2:26" ht="14.25">
      <c r="B36" s="26"/>
      <c r="C36" s="11"/>
      <c r="D36" s="11"/>
      <c r="E36" s="32"/>
      <c r="F36" s="11"/>
      <c r="G36" s="838"/>
      <c r="H36" s="839"/>
      <c r="I36" s="840"/>
      <c r="J36" s="10" t="s">
        <v>74</v>
      </c>
      <c r="K36" s="11"/>
      <c r="L36" s="120"/>
      <c r="M36" s="12" t="s">
        <v>81</v>
      </c>
      <c r="S36" s="118">
        <f t="shared" si="0"/>
        <v>2400</v>
      </c>
      <c r="T36" s="41">
        <f t="shared" si="2"/>
        <v>0</v>
      </c>
      <c r="U36" s="41">
        <f t="shared" si="1"/>
        <v>0</v>
      </c>
      <c r="W36" s="41">
        <v>2400</v>
      </c>
      <c r="X36" s="48"/>
      <c r="Y36" s="48"/>
      <c r="Z36" s="48"/>
    </row>
    <row r="37" spans="2:26" ht="15.75">
      <c r="B37" s="26"/>
      <c r="C37" s="11"/>
      <c r="D37" s="11"/>
      <c r="E37" s="32"/>
      <c r="F37" s="11"/>
      <c r="G37" s="835"/>
      <c r="H37" s="836"/>
      <c r="I37" s="837"/>
      <c r="J37" s="10" t="s">
        <v>890</v>
      </c>
      <c r="K37" s="11"/>
      <c r="L37" s="369"/>
      <c r="M37" s="12" t="s">
        <v>891</v>
      </c>
      <c r="S37" s="118">
        <f t="shared" si="0"/>
        <v>2600</v>
      </c>
      <c r="T37" s="41">
        <f t="shared" si="2"/>
        <v>0</v>
      </c>
      <c r="U37" s="41">
        <f t="shared" si="1"/>
        <v>0</v>
      </c>
      <c r="W37" s="47">
        <v>2600</v>
      </c>
      <c r="X37" s="48"/>
      <c r="Y37" s="48"/>
      <c r="Z37" s="48"/>
    </row>
    <row r="38" spans="2:26" ht="14.25">
      <c r="B38" s="26"/>
      <c r="C38" s="11"/>
      <c r="D38" s="19">
        <v>0</v>
      </c>
      <c r="E38" s="33">
        <v>1.3</v>
      </c>
      <c r="F38" s="34" t="s">
        <v>356</v>
      </c>
      <c r="G38" s="10"/>
      <c r="H38" s="10"/>
      <c r="I38" s="42" t="s">
        <v>357</v>
      </c>
      <c r="J38" s="11"/>
      <c r="K38" s="11"/>
      <c r="L38" s="11"/>
      <c r="M38" s="12"/>
      <c r="S38" s="118">
        <f t="shared" si="0"/>
        <v>2800</v>
      </c>
      <c r="T38" s="41">
        <f t="shared" si="2"/>
        <v>0</v>
      </c>
      <c r="U38" s="41">
        <f t="shared" si="1"/>
        <v>0</v>
      </c>
      <c r="W38" s="41">
        <v>2800</v>
      </c>
      <c r="X38" s="48"/>
      <c r="Y38" s="48"/>
      <c r="Z38" s="48"/>
    </row>
    <row r="39" spans="2:26" ht="14.25" hidden="1">
      <c r="B39" s="26"/>
      <c r="C39" s="11"/>
      <c r="D39" s="32"/>
      <c r="E39" s="32"/>
      <c r="F39" s="42" t="s">
        <v>30</v>
      </c>
      <c r="G39" s="820"/>
      <c r="H39" s="825"/>
      <c r="I39" s="826"/>
      <c r="J39" s="10" t="s">
        <v>339</v>
      </c>
      <c r="K39" s="11"/>
      <c r="L39" s="120"/>
      <c r="M39" s="16" t="s">
        <v>83</v>
      </c>
      <c r="S39" s="118">
        <f t="shared" si="0"/>
        <v>3000</v>
      </c>
      <c r="T39" s="41">
        <f t="shared" si="2"/>
        <v>0</v>
      </c>
      <c r="U39" s="41">
        <f t="shared" si="1"/>
        <v>0</v>
      </c>
      <c r="W39" s="41">
        <v>3000</v>
      </c>
      <c r="X39" s="48"/>
      <c r="Y39" s="48"/>
      <c r="Z39" s="48"/>
    </row>
    <row r="40" spans="2:26" ht="14.25">
      <c r="B40" s="26"/>
      <c r="C40" s="49">
        <v>3</v>
      </c>
      <c r="D40" s="19">
        <v>5</v>
      </c>
      <c r="E40" s="33">
        <v>1.4</v>
      </c>
      <c r="F40" s="34" t="s">
        <v>859</v>
      </c>
      <c r="G40" s="10"/>
      <c r="H40" s="10"/>
      <c r="I40" s="10"/>
      <c r="J40" s="11"/>
      <c r="K40" s="11"/>
      <c r="L40" s="11"/>
      <c r="M40" s="12"/>
      <c r="S40" s="118">
        <f t="shared" si="0"/>
        <v>3200</v>
      </c>
      <c r="T40" s="41">
        <f t="shared" si="2"/>
        <v>0</v>
      </c>
      <c r="U40" s="41">
        <f t="shared" si="1"/>
        <v>0</v>
      </c>
      <c r="W40" s="41">
        <v>3200</v>
      </c>
      <c r="X40" s="48"/>
      <c r="Y40" s="48"/>
      <c r="Z40" s="48"/>
    </row>
    <row r="41" spans="2:26" ht="14.25">
      <c r="B41" s="26"/>
      <c r="C41" s="11"/>
      <c r="D41" s="32"/>
      <c r="E41" s="32"/>
      <c r="F41" s="42" t="s">
        <v>30</v>
      </c>
      <c r="G41" s="820"/>
      <c r="H41" s="825"/>
      <c r="I41" s="826"/>
      <c r="J41" s="10" t="s">
        <v>34</v>
      </c>
      <c r="K41" s="11"/>
      <c r="L41" s="120"/>
      <c r="M41" s="12" t="s">
        <v>35</v>
      </c>
      <c r="S41" s="118">
        <f t="shared" si="0"/>
        <v>3400</v>
      </c>
      <c r="T41" s="41">
        <f t="shared" si="2"/>
        <v>0</v>
      </c>
      <c r="U41" s="41">
        <f t="shared" si="1"/>
        <v>0</v>
      </c>
      <c r="W41" s="41">
        <v>3400</v>
      </c>
      <c r="X41" s="48"/>
      <c r="Y41" s="48"/>
      <c r="Z41" s="48"/>
    </row>
    <row r="42" spans="2:26" ht="14.25">
      <c r="B42" s="26"/>
      <c r="C42" s="56">
        <f>C28+C30+C34+C38+C40</f>
        <v>26</v>
      </c>
      <c r="D42" s="215">
        <f>D30+D34+D38+D40</f>
        <v>35</v>
      </c>
      <c r="E42" s="220" t="s">
        <v>22</v>
      </c>
      <c r="F42" s="11"/>
      <c r="G42" s="10"/>
      <c r="H42" s="10"/>
      <c r="I42" s="10"/>
      <c r="J42" s="11"/>
      <c r="K42" s="11"/>
      <c r="L42" s="11"/>
      <c r="M42" s="12"/>
      <c r="S42" s="118">
        <f t="shared" si="0"/>
        <v>3600</v>
      </c>
      <c r="T42" s="41">
        <f t="shared" si="2"/>
        <v>0</v>
      </c>
      <c r="U42" s="41">
        <f t="shared" si="1"/>
        <v>0</v>
      </c>
      <c r="W42" s="41">
        <v>3600</v>
      </c>
      <c r="X42" s="48"/>
      <c r="Y42" s="48"/>
      <c r="Z42" s="48"/>
    </row>
    <row r="43" spans="2:26" ht="7.15" customHeight="1">
      <c r="B43" s="26"/>
      <c r="C43" s="4"/>
      <c r="D43" s="4"/>
      <c r="E43" s="217"/>
      <c r="F43" s="4"/>
      <c r="G43" s="1"/>
      <c r="H43" s="1"/>
      <c r="I43" s="1"/>
      <c r="J43" s="4"/>
      <c r="K43" s="4"/>
      <c r="L43" s="4"/>
      <c r="M43" s="27"/>
      <c r="S43" s="118">
        <f t="shared" si="0"/>
        <v>3800</v>
      </c>
      <c r="T43" s="41">
        <f t="shared" si="2"/>
        <v>0</v>
      </c>
      <c r="U43" s="41">
        <f t="shared" si="1"/>
        <v>0</v>
      </c>
      <c r="W43" s="41">
        <v>3800</v>
      </c>
      <c r="X43" s="48"/>
      <c r="Y43" s="48"/>
      <c r="Z43" s="48"/>
    </row>
    <row r="44" spans="2:26" ht="15">
      <c r="B44" s="35"/>
      <c r="C44" s="36" t="s">
        <v>36</v>
      </c>
      <c r="D44" s="37"/>
      <c r="E44" s="221"/>
      <c r="F44" s="37"/>
      <c r="G44" s="36"/>
      <c r="H44" s="36"/>
      <c r="I44" s="36"/>
      <c r="J44" s="37"/>
      <c r="K44" s="37"/>
      <c r="L44" s="37"/>
      <c r="M44" s="38"/>
      <c r="S44" s="118">
        <f t="shared" si="0"/>
        <v>4000</v>
      </c>
      <c r="T44" s="41">
        <f t="shared" si="2"/>
        <v>0</v>
      </c>
      <c r="U44" s="41">
        <f t="shared" si="1"/>
        <v>0</v>
      </c>
      <c r="W44" s="41">
        <v>4000</v>
      </c>
      <c r="X44" s="48"/>
      <c r="Y44" s="48"/>
      <c r="Z44" s="48"/>
    </row>
    <row r="45" spans="2:26" ht="14.25">
      <c r="B45" s="26"/>
      <c r="C45" s="31" t="s">
        <v>24</v>
      </c>
      <c r="D45" s="10" t="s">
        <v>25</v>
      </c>
      <c r="E45" s="32"/>
      <c r="F45" s="11"/>
      <c r="G45" s="10"/>
      <c r="H45" s="10"/>
      <c r="I45" s="10"/>
      <c r="J45" s="31" t="s">
        <v>26</v>
      </c>
      <c r="K45" s="11"/>
      <c r="L45" s="31" t="s">
        <v>27</v>
      </c>
      <c r="M45" s="12"/>
      <c r="S45" s="118">
        <f>W45</f>
        <v>4200</v>
      </c>
      <c r="T45" s="41">
        <f>IF($I$9&gt;=30000,Z45,IF($I$9&gt;=10000,Y45,X45))</f>
        <v>0</v>
      </c>
      <c r="U45" s="41">
        <f t="shared" si="1"/>
        <v>0</v>
      </c>
      <c r="W45" s="41">
        <v>4200</v>
      </c>
      <c r="X45" s="48"/>
      <c r="Y45" s="48"/>
      <c r="Z45" s="48"/>
    </row>
    <row r="46" spans="2:26" ht="14.25">
      <c r="B46" s="26"/>
      <c r="C46" s="20"/>
      <c r="D46" s="11"/>
      <c r="E46" s="214" t="s">
        <v>28</v>
      </c>
      <c r="F46" s="11"/>
      <c r="G46" s="10" t="s">
        <v>37</v>
      </c>
      <c r="H46" s="10"/>
      <c r="I46" s="10"/>
      <c r="J46" s="11"/>
      <c r="K46" s="11"/>
      <c r="L46" s="11"/>
      <c r="M46" s="12"/>
      <c r="S46" s="118">
        <f>W46</f>
        <v>4400</v>
      </c>
      <c r="T46" s="41">
        <f>IF($I$9&gt;=30000,Z46,IF($I$9&gt;=10000,Y46,X46))</f>
        <v>0</v>
      </c>
      <c r="U46" s="41">
        <f t="shared" si="1"/>
        <v>0</v>
      </c>
      <c r="W46" s="41">
        <v>4400</v>
      </c>
      <c r="X46" s="48"/>
      <c r="Y46" s="48"/>
      <c r="Z46" s="48"/>
    </row>
    <row r="47" spans="2:26" ht="14.25">
      <c r="B47" s="26"/>
      <c r="C47" s="11"/>
      <c r="D47" s="11"/>
      <c r="E47" s="32"/>
      <c r="F47" s="42" t="s">
        <v>30</v>
      </c>
      <c r="G47" s="820"/>
      <c r="H47" s="825"/>
      <c r="I47" s="826"/>
      <c r="J47" s="10" t="s">
        <v>38</v>
      </c>
      <c r="K47" s="11"/>
      <c r="L47" s="120"/>
      <c r="M47" s="12" t="s">
        <v>82</v>
      </c>
      <c r="S47" s="118">
        <f>W47</f>
        <v>4600</v>
      </c>
      <c r="T47" s="41">
        <f>IF($I$9&gt;=30000,Z47,IF($I$9&gt;=10000,Y47,X47))</f>
        <v>0</v>
      </c>
      <c r="U47" s="41">
        <f t="shared" si="1"/>
        <v>0</v>
      </c>
      <c r="W47" s="41">
        <v>4600</v>
      </c>
      <c r="X47" s="48"/>
      <c r="Y47" s="48"/>
      <c r="Z47" s="48"/>
    </row>
    <row r="48" spans="2:26" ht="14.25">
      <c r="B48" s="26"/>
      <c r="C48" s="368">
        <v>3</v>
      </c>
      <c r="D48" s="19">
        <v>5</v>
      </c>
      <c r="E48" s="33" t="s">
        <v>39</v>
      </c>
      <c r="F48" s="34" t="s">
        <v>40</v>
      </c>
      <c r="G48" s="10"/>
      <c r="H48" s="10"/>
      <c r="I48" s="10"/>
      <c r="J48" s="11"/>
      <c r="K48" s="11"/>
      <c r="L48" s="11"/>
      <c r="M48" s="12"/>
      <c r="S48" s="118">
        <f>W48</f>
        <v>4800</v>
      </c>
      <c r="T48" s="41">
        <f>IF($I$9&gt;=30000,Z48,IF($I$9&gt;=10000,Y48,X48))</f>
        <v>0</v>
      </c>
      <c r="U48" s="41">
        <f t="shared" si="1"/>
        <v>0</v>
      </c>
      <c r="W48" s="41">
        <v>4800</v>
      </c>
      <c r="X48" s="48"/>
      <c r="Y48" s="48"/>
      <c r="Z48" s="48"/>
    </row>
    <row r="49" spans="2:26" ht="14.25">
      <c r="B49" s="26"/>
      <c r="C49" s="11"/>
      <c r="D49" s="32"/>
      <c r="E49" s="32"/>
      <c r="F49" s="42" t="s">
        <v>30</v>
      </c>
      <c r="G49" s="820"/>
      <c r="H49" s="825"/>
      <c r="I49" s="826"/>
      <c r="J49" s="10" t="s">
        <v>41</v>
      </c>
      <c r="K49" s="11"/>
      <c r="L49" s="120"/>
      <c r="M49" s="12" t="s">
        <v>82</v>
      </c>
      <c r="S49" s="118">
        <f t="shared" si="0"/>
        <v>5000</v>
      </c>
      <c r="T49" s="41">
        <f t="shared" si="2"/>
        <v>0</v>
      </c>
      <c r="U49" s="41">
        <f t="shared" si="1"/>
        <v>0</v>
      </c>
      <c r="W49" s="41">
        <v>5000</v>
      </c>
      <c r="X49" s="48"/>
      <c r="Y49" s="48"/>
      <c r="Z49" s="48"/>
    </row>
    <row r="50" spans="2:26" ht="14.25">
      <c r="B50" s="26"/>
      <c r="C50" s="11"/>
      <c r="D50" s="19">
        <v>0</v>
      </c>
      <c r="E50" s="33">
        <v>2.2000000000000002</v>
      </c>
      <c r="F50" s="34" t="s">
        <v>340</v>
      </c>
      <c r="G50" s="10"/>
      <c r="H50" s="10"/>
      <c r="I50" s="42" t="s">
        <v>357</v>
      </c>
      <c r="J50" s="11"/>
      <c r="K50" s="11"/>
      <c r="L50" s="11"/>
      <c r="M50" s="12"/>
      <c r="S50" s="118">
        <f t="shared" si="0"/>
        <v>5200</v>
      </c>
      <c r="T50" s="41">
        <f>IF($I$9&gt;=30000,Z50,IF($I$9&gt;=10000,Y50,X50))</f>
        <v>0</v>
      </c>
      <c r="U50" s="41">
        <f t="shared" si="1"/>
        <v>0</v>
      </c>
      <c r="W50" s="41">
        <v>5200</v>
      </c>
      <c r="X50" s="48"/>
      <c r="Y50" s="48"/>
      <c r="Z50" s="48"/>
    </row>
    <row r="51" spans="2:26" ht="14.25" hidden="1">
      <c r="B51" s="26"/>
      <c r="C51" s="11"/>
      <c r="D51" s="32"/>
      <c r="E51" s="32"/>
      <c r="F51" s="42" t="s">
        <v>30</v>
      </c>
      <c r="G51" s="820"/>
      <c r="H51" s="825"/>
      <c r="I51" s="826"/>
      <c r="J51" s="10" t="s">
        <v>41</v>
      </c>
      <c r="K51" s="11"/>
      <c r="L51" s="120"/>
      <c r="M51" s="12" t="s">
        <v>82</v>
      </c>
      <c r="S51" s="118">
        <f t="shared" si="0"/>
        <v>5400</v>
      </c>
      <c r="T51" s="41">
        <f t="shared" si="2"/>
        <v>0</v>
      </c>
      <c r="U51" s="41">
        <f t="shared" si="1"/>
        <v>0</v>
      </c>
      <c r="W51" s="41">
        <v>5400</v>
      </c>
      <c r="X51" s="48"/>
      <c r="Y51" s="48"/>
      <c r="Z51" s="48"/>
    </row>
    <row r="52" spans="2:26" ht="14.25">
      <c r="B52" s="26"/>
      <c r="C52" s="368">
        <v>3</v>
      </c>
      <c r="D52" s="19">
        <v>5</v>
      </c>
      <c r="E52" s="33">
        <v>2.2999999999999998</v>
      </c>
      <c r="F52" s="34" t="s">
        <v>42</v>
      </c>
      <c r="G52" s="10"/>
      <c r="H52" s="10"/>
      <c r="I52" s="10"/>
      <c r="J52" s="11"/>
      <c r="K52" s="11"/>
      <c r="L52" s="11"/>
      <c r="M52" s="12"/>
      <c r="S52" s="121"/>
    </row>
    <row r="53" spans="2:26" ht="14.25">
      <c r="B53" s="26"/>
      <c r="C53" s="11"/>
      <c r="D53" s="32"/>
      <c r="E53" s="32"/>
      <c r="F53" s="42" t="s">
        <v>30</v>
      </c>
      <c r="G53" s="820"/>
      <c r="H53" s="825"/>
      <c r="I53" s="826"/>
      <c r="J53" s="10" t="s">
        <v>43</v>
      </c>
      <c r="K53" s="11"/>
      <c r="L53" s="120"/>
      <c r="M53" s="12" t="s">
        <v>82</v>
      </c>
    </row>
    <row r="54" spans="2:26" ht="14.25">
      <c r="B54" s="26"/>
      <c r="C54" s="56">
        <f>C48+C50+C52</f>
        <v>6</v>
      </c>
      <c r="D54" s="215">
        <f>D48+D50+D52</f>
        <v>10</v>
      </c>
      <c r="E54" s="220" t="s">
        <v>22</v>
      </c>
      <c r="F54" s="11"/>
      <c r="J54" s="11"/>
      <c r="K54" s="11"/>
      <c r="L54" s="11"/>
      <c r="M54" s="12"/>
      <c r="S54" s="41" t="s">
        <v>96</v>
      </c>
      <c r="T54" s="41" t="s">
        <v>101</v>
      </c>
      <c r="U54" s="41" t="s">
        <v>100</v>
      </c>
    </row>
    <row r="55" spans="2:26" ht="7.15" customHeight="1">
      <c r="B55" s="29"/>
      <c r="C55" s="30"/>
      <c r="D55" s="30"/>
      <c r="E55" s="218"/>
      <c r="F55" s="30"/>
      <c r="G55" s="721"/>
      <c r="H55" s="721"/>
      <c r="I55" s="721"/>
      <c r="J55" s="30"/>
      <c r="K55" s="30"/>
      <c r="L55" s="30"/>
      <c r="M55" s="39"/>
      <c r="S55" s="57">
        <v>0</v>
      </c>
      <c r="T55" s="58"/>
      <c r="U55" s="41"/>
    </row>
    <row r="56" spans="2:26" ht="15">
      <c r="B56" s="35"/>
      <c r="C56" s="36" t="s">
        <v>44</v>
      </c>
      <c r="D56" s="37"/>
      <c r="E56" s="221"/>
      <c r="F56" s="37"/>
      <c r="G56" s="36"/>
      <c r="H56" s="36"/>
      <c r="I56" s="36"/>
      <c r="J56" s="37"/>
      <c r="K56" s="37"/>
      <c r="L56" s="37"/>
      <c r="M56" s="38"/>
      <c r="S56" s="57">
        <v>100</v>
      </c>
      <c r="T56" s="58"/>
      <c r="U56" s="41"/>
    </row>
    <row r="57" spans="2:26" ht="14.25">
      <c r="B57" s="26"/>
      <c r="C57" s="31" t="s">
        <v>24</v>
      </c>
      <c r="D57" s="10" t="s">
        <v>25</v>
      </c>
      <c r="E57" s="32"/>
      <c r="F57" s="11"/>
      <c r="G57" s="10"/>
      <c r="H57" s="10"/>
      <c r="I57" s="10"/>
      <c r="J57" s="31" t="s">
        <v>26</v>
      </c>
      <c r="K57" s="11"/>
      <c r="L57" s="31" t="s">
        <v>27</v>
      </c>
      <c r="M57" s="12"/>
      <c r="S57" s="57">
        <v>200</v>
      </c>
      <c r="T57" s="58"/>
      <c r="U57" s="41"/>
    </row>
    <row r="58" spans="2:26" ht="14.25">
      <c r="B58" s="26"/>
      <c r="C58" s="20"/>
      <c r="D58" s="11"/>
      <c r="E58" s="214" t="s">
        <v>28</v>
      </c>
      <c r="F58" s="11"/>
      <c r="G58" s="10" t="s">
        <v>873</v>
      </c>
      <c r="H58" s="10"/>
      <c r="I58" s="10"/>
      <c r="J58" s="11"/>
      <c r="K58" s="11"/>
      <c r="L58" s="11"/>
      <c r="M58" s="12"/>
      <c r="S58" s="57">
        <v>300</v>
      </c>
      <c r="T58" s="58"/>
      <c r="U58" s="41"/>
    </row>
    <row r="59" spans="2:26" ht="13.9" customHeight="1">
      <c r="B59" s="26"/>
      <c r="C59" s="11"/>
      <c r="D59" s="11"/>
      <c r="E59" s="32"/>
      <c r="F59" s="42" t="s">
        <v>30</v>
      </c>
      <c r="G59" s="820"/>
      <c r="H59" s="825"/>
      <c r="I59" s="826"/>
      <c r="J59" s="10" t="s">
        <v>45</v>
      </c>
      <c r="K59" s="11"/>
      <c r="L59" s="11"/>
      <c r="M59" s="12"/>
      <c r="S59" s="57">
        <v>400</v>
      </c>
      <c r="T59" s="58"/>
      <c r="U59" s="41"/>
    </row>
    <row r="60" spans="2:26" ht="14.25">
      <c r="B60" s="26"/>
      <c r="C60" s="56">
        <f>MAX(C61,C63)</f>
        <v>3</v>
      </c>
      <c r="D60" s="19">
        <v>5</v>
      </c>
      <c r="E60" s="33" t="s">
        <v>46</v>
      </c>
      <c r="F60" s="34" t="s">
        <v>358</v>
      </c>
      <c r="G60" s="10"/>
      <c r="H60" s="10"/>
      <c r="I60" s="42" t="s">
        <v>359</v>
      </c>
      <c r="J60" s="11"/>
      <c r="K60" s="11"/>
      <c r="L60" s="11"/>
      <c r="M60" s="12"/>
      <c r="S60" s="57">
        <v>500</v>
      </c>
      <c r="T60" s="58"/>
      <c r="U60" s="41"/>
    </row>
    <row r="61" spans="2:26" ht="14.25">
      <c r="B61" s="26"/>
      <c r="C61" s="49">
        <v>3</v>
      </c>
      <c r="D61" s="51"/>
      <c r="E61" s="52" t="s">
        <v>351</v>
      </c>
      <c r="F61" s="53" t="s">
        <v>111</v>
      </c>
      <c r="J61" s="11"/>
      <c r="K61" s="11"/>
      <c r="L61" s="11"/>
      <c r="M61" s="12"/>
      <c r="S61" s="57">
        <v>600</v>
      </c>
      <c r="T61" s="58"/>
      <c r="U61" s="41"/>
    </row>
    <row r="62" spans="2:26" ht="14.25">
      <c r="B62" s="26"/>
      <c r="D62" s="51"/>
      <c r="E62" s="52"/>
      <c r="F62" s="42" t="s">
        <v>30</v>
      </c>
      <c r="G62" s="820"/>
      <c r="H62" s="825"/>
      <c r="I62" s="826"/>
      <c r="J62" s="11"/>
      <c r="K62" s="11"/>
      <c r="L62" s="11"/>
      <c r="M62" s="12"/>
      <c r="S62" s="57">
        <v>700</v>
      </c>
      <c r="T62" s="58"/>
      <c r="U62" s="41"/>
    </row>
    <row r="63" spans="2:26" ht="14.25">
      <c r="B63" s="26"/>
      <c r="C63" s="49">
        <v>3</v>
      </c>
      <c r="D63" s="51"/>
      <c r="E63" s="216" t="s">
        <v>352</v>
      </c>
      <c r="F63" s="53" t="s">
        <v>373</v>
      </c>
      <c r="J63" s="11"/>
      <c r="K63" s="11"/>
      <c r="L63" s="11"/>
      <c r="M63" s="12"/>
      <c r="S63" s="57">
        <v>800</v>
      </c>
      <c r="T63" s="58"/>
      <c r="U63" s="41"/>
    </row>
    <row r="64" spans="2:26" ht="14.25">
      <c r="B64" s="26"/>
      <c r="D64" s="51"/>
      <c r="E64" s="216"/>
      <c r="F64" s="42" t="s">
        <v>30</v>
      </c>
      <c r="G64" s="820"/>
      <c r="H64" s="825"/>
      <c r="I64" s="826"/>
      <c r="J64" s="11"/>
      <c r="K64" s="11"/>
      <c r="L64" s="11"/>
      <c r="M64" s="12"/>
      <c r="S64" s="57">
        <v>900</v>
      </c>
      <c r="T64" s="58"/>
      <c r="U64" s="41"/>
    </row>
    <row r="65" spans="2:21" ht="14.25">
      <c r="B65" s="26"/>
      <c r="C65" s="56">
        <f>(C67+C68)/2+C69</f>
        <v>2</v>
      </c>
      <c r="D65" s="19">
        <v>5</v>
      </c>
      <c r="E65" s="33" t="s">
        <v>47</v>
      </c>
      <c r="F65" s="34" t="s">
        <v>342</v>
      </c>
      <c r="J65" s="11"/>
      <c r="K65" s="11"/>
      <c r="L65" s="11"/>
      <c r="M65" s="12"/>
      <c r="S65" s="57">
        <v>1000</v>
      </c>
      <c r="T65" s="58"/>
      <c r="U65" s="41"/>
    </row>
    <row r="66" spans="2:21" ht="14.25">
      <c r="B66" s="26"/>
      <c r="E66" s="52" t="s">
        <v>343</v>
      </c>
      <c r="F66" s="53" t="s">
        <v>944</v>
      </c>
      <c r="G66" s="10"/>
      <c r="H66" s="10"/>
      <c r="I66" s="42" t="s">
        <v>360</v>
      </c>
      <c r="J66" s="11"/>
      <c r="K66" s="11"/>
      <c r="L66" s="11"/>
      <c r="M66" s="12"/>
      <c r="S66" s="57">
        <v>1100</v>
      </c>
      <c r="T66" s="58"/>
      <c r="U66" s="41"/>
    </row>
    <row r="67" spans="2:21" ht="14.25">
      <c r="B67" s="26"/>
      <c r="C67" s="49">
        <v>3</v>
      </c>
      <c r="D67" s="51"/>
      <c r="E67" s="52" t="s">
        <v>109</v>
      </c>
      <c r="F67" s="53" t="s">
        <v>121</v>
      </c>
      <c r="G67" s="841"/>
      <c r="H67" s="842"/>
      <c r="I67" s="843"/>
      <c r="J67" s="11"/>
      <c r="K67" s="11"/>
      <c r="L67" s="11"/>
      <c r="M67" s="12"/>
      <c r="S67" s="57">
        <v>1200</v>
      </c>
      <c r="T67" s="58"/>
      <c r="U67" s="41"/>
    </row>
    <row r="68" spans="2:21" ht="14.25">
      <c r="B68" s="26"/>
      <c r="C68" s="368">
        <v>1</v>
      </c>
      <c r="D68" s="51"/>
      <c r="E68" s="52" t="s">
        <v>110</v>
      </c>
      <c r="F68" s="53" t="s">
        <v>122</v>
      </c>
      <c r="G68" s="841"/>
      <c r="H68" s="842"/>
      <c r="I68" s="843"/>
      <c r="J68" s="582" t="s">
        <v>107</v>
      </c>
      <c r="K68" s="11"/>
      <c r="L68" s="370"/>
      <c r="M68" s="16" t="s">
        <v>48</v>
      </c>
      <c r="S68" s="57">
        <v>1300</v>
      </c>
      <c r="T68" s="58"/>
      <c r="U68" s="41"/>
    </row>
    <row r="69" spans="2:21" ht="14.25">
      <c r="B69" s="26"/>
      <c r="C69" s="51"/>
      <c r="E69" s="52" t="s">
        <v>344</v>
      </c>
      <c r="F69" s="123" t="s">
        <v>126</v>
      </c>
      <c r="G69" s="576"/>
      <c r="H69" s="576"/>
      <c r="I69" s="577" t="s">
        <v>357</v>
      </c>
      <c r="M69" s="16"/>
      <c r="S69" s="57">
        <v>1400</v>
      </c>
      <c r="T69" s="58"/>
      <c r="U69" s="41"/>
    </row>
    <row r="70" spans="2:21" ht="14.25" hidden="1">
      <c r="B70" s="26"/>
      <c r="D70" s="51"/>
      <c r="E70" s="52"/>
      <c r="F70" s="42" t="s">
        <v>30</v>
      </c>
      <c r="G70" s="578"/>
      <c r="H70" s="722"/>
      <c r="I70" s="723"/>
      <c r="J70" s="10" t="s">
        <v>367</v>
      </c>
      <c r="K70" s="11"/>
      <c r="L70" s="40"/>
      <c r="M70" s="16" t="s">
        <v>114</v>
      </c>
      <c r="S70" s="57">
        <v>1500</v>
      </c>
      <c r="T70" s="58"/>
      <c r="U70" s="41"/>
    </row>
    <row r="71" spans="2:21" ht="14.25">
      <c r="B71" s="26"/>
      <c r="C71" s="368">
        <v>3</v>
      </c>
      <c r="D71" s="19">
        <v>5</v>
      </c>
      <c r="E71" s="33" t="s">
        <v>49</v>
      </c>
      <c r="F71" s="34" t="s">
        <v>50</v>
      </c>
      <c r="G71" s="724"/>
      <c r="H71" s="724"/>
      <c r="I71" s="724"/>
      <c r="J71" s="11"/>
      <c r="K71" s="11"/>
      <c r="L71" s="11"/>
      <c r="M71" s="12"/>
      <c r="S71" s="57">
        <v>1600</v>
      </c>
      <c r="T71" s="58"/>
      <c r="U71" s="41"/>
    </row>
    <row r="72" spans="2:21" ht="14.25">
      <c r="B72" s="26"/>
      <c r="C72" s="11"/>
      <c r="D72" s="32"/>
      <c r="E72" s="32"/>
      <c r="F72" s="42" t="s">
        <v>30</v>
      </c>
      <c r="G72" s="820"/>
      <c r="H72" s="842"/>
      <c r="I72" s="843"/>
      <c r="J72" s="573" t="s">
        <v>112</v>
      </c>
      <c r="K72" s="11"/>
      <c r="L72" s="119"/>
      <c r="M72" s="16" t="s">
        <v>51</v>
      </c>
      <c r="S72" s="57">
        <v>1700</v>
      </c>
      <c r="T72" s="58"/>
      <c r="U72" s="41"/>
    </row>
    <row r="73" spans="2:21" ht="14.25">
      <c r="B73" s="26"/>
      <c r="C73" s="580">
        <f>AVERAGE(C74:C80)</f>
        <v>2.75</v>
      </c>
      <c r="D73" s="19">
        <v>5</v>
      </c>
      <c r="E73" s="33" t="s">
        <v>52</v>
      </c>
      <c r="F73" s="583" t="s">
        <v>833</v>
      </c>
      <c r="G73" s="724"/>
      <c r="H73" s="724"/>
      <c r="I73" s="576"/>
      <c r="K73" s="584" t="s">
        <v>832</v>
      </c>
      <c r="L73" s="11"/>
      <c r="M73" s="12"/>
      <c r="S73" s="57">
        <v>1800</v>
      </c>
      <c r="T73" s="58"/>
      <c r="U73" s="41"/>
    </row>
    <row r="74" spans="2:21" ht="14.25">
      <c r="B74" s="26"/>
      <c r="C74" s="368">
        <v>3</v>
      </c>
      <c r="D74" s="51"/>
      <c r="E74" s="52" t="s">
        <v>353</v>
      </c>
      <c r="F74" s="53" t="s">
        <v>350</v>
      </c>
      <c r="G74" s="576"/>
      <c r="H74" s="576"/>
      <c r="I74" s="576"/>
      <c r="M74" s="12"/>
      <c r="S74" s="57">
        <v>1900</v>
      </c>
      <c r="T74" s="58"/>
      <c r="U74" s="41"/>
    </row>
    <row r="75" spans="2:21" ht="14.25">
      <c r="B75" s="26"/>
      <c r="D75" s="51"/>
      <c r="E75" s="52"/>
      <c r="F75" s="42" t="s">
        <v>30</v>
      </c>
      <c r="G75" s="841"/>
      <c r="H75" s="842"/>
      <c r="I75" s="843"/>
      <c r="J75" s="10" t="s">
        <v>116</v>
      </c>
      <c r="K75" s="11"/>
      <c r="L75" s="119"/>
      <c r="M75" s="16" t="s">
        <v>115</v>
      </c>
      <c r="S75" s="57">
        <v>2000</v>
      </c>
      <c r="T75" s="58"/>
      <c r="U75" s="41"/>
    </row>
    <row r="76" spans="2:21" ht="14.25">
      <c r="B76" s="26"/>
      <c r="C76" s="368">
        <v>3</v>
      </c>
      <c r="D76" s="51"/>
      <c r="E76" s="52" t="s">
        <v>354</v>
      </c>
      <c r="F76" s="53" t="s">
        <v>349</v>
      </c>
      <c r="G76" s="576"/>
      <c r="H76" s="576"/>
      <c r="I76" s="576"/>
      <c r="J76" s="10"/>
      <c r="K76" s="11"/>
      <c r="M76" s="16"/>
      <c r="S76" s="57">
        <v>2100</v>
      </c>
      <c r="T76" s="58"/>
      <c r="U76" s="41"/>
    </row>
    <row r="77" spans="2:21" ht="13.9" customHeight="1">
      <c r="B77" s="26"/>
      <c r="D77" s="51"/>
      <c r="E77" s="52"/>
      <c r="F77" s="42" t="s">
        <v>361</v>
      </c>
      <c r="G77" s="820"/>
      <c r="H77" s="825"/>
      <c r="I77" s="826"/>
      <c r="J77" s="10" t="s">
        <v>84</v>
      </c>
      <c r="K77" s="11"/>
      <c r="L77" s="119"/>
      <c r="M77" s="16" t="s">
        <v>83</v>
      </c>
      <c r="S77" s="57"/>
      <c r="T77" s="58"/>
      <c r="U77" s="41"/>
    </row>
    <row r="78" spans="2:21" ht="14.25">
      <c r="B78" s="26"/>
      <c r="C78" s="368">
        <v>2</v>
      </c>
      <c r="D78" s="51"/>
      <c r="E78" s="52" t="s">
        <v>355</v>
      </c>
      <c r="F78" s="53" t="s">
        <v>113</v>
      </c>
      <c r="G78" s="576"/>
      <c r="H78" s="576"/>
      <c r="I78" s="576"/>
      <c r="M78" s="16"/>
      <c r="S78" s="57"/>
      <c r="T78" s="58"/>
      <c r="U78" s="41"/>
    </row>
    <row r="79" spans="2:21" ht="14.25">
      <c r="B79" s="26"/>
      <c r="D79" s="51"/>
      <c r="E79" s="52"/>
      <c r="F79" s="42" t="s">
        <v>30</v>
      </c>
      <c r="G79" s="841"/>
      <c r="H79" s="842"/>
      <c r="I79" s="843"/>
      <c r="J79" s="10" t="s">
        <v>85</v>
      </c>
      <c r="K79" s="11"/>
      <c r="L79" s="119"/>
      <c r="M79" s="16" t="s">
        <v>114</v>
      </c>
      <c r="S79" s="57">
        <v>2200</v>
      </c>
      <c r="T79" s="58"/>
      <c r="U79" s="41"/>
    </row>
    <row r="80" spans="2:21" ht="14.25">
      <c r="B80" s="26"/>
      <c r="C80" s="368">
        <v>3</v>
      </c>
      <c r="D80" s="51"/>
      <c r="E80" s="52" t="s">
        <v>381</v>
      </c>
      <c r="F80" s="53" t="s">
        <v>943</v>
      </c>
      <c r="G80" s="576"/>
      <c r="H80" s="576"/>
      <c r="I80" s="576"/>
      <c r="M80" s="16"/>
      <c r="S80" s="57">
        <v>2300</v>
      </c>
      <c r="T80" s="58"/>
      <c r="U80" s="41"/>
    </row>
    <row r="81" spans="2:22" ht="16.149999999999999" customHeight="1">
      <c r="B81" s="26"/>
      <c r="D81" s="51"/>
      <c r="E81" s="52"/>
      <c r="F81" s="42" t="s">
        <v>30</v>
      </c>
      <c r="G81" s="841"/>
      <c r="H81" s="842"/>
      <c r="I81" s="843"/>
      <c r="J81" s="10"/>
      <c r="K81" s="11"/>
      <c r="M81" s="16"/>
      <c r="P81" s="330"/>
      <c r="S81" s="57">
        <v>2400</v>
      </c>
      <c r="T81" s="58"/>
      <c r="U81" s="41"/>
    </row>
    <row r="82" spans="2:22" ht="14.25">
      <c r="B82" s="26"/>
      <c r="C82" s="745">
        <f>C60+C65+C71+C73</f>
        <v>10.75</v>
      </c>
      <c r="D82" s="215">
        <f>D60+D65+D71+D73</f>
        <v>20</v>
      </c>
      <c r="E82" s="220" t="s">
        <v>22</v>
      </c>
      <c r="F82" s="11"/>
      <c r="G82" s="10"/>
      <c r="H82" s="10"/>
      <c r="I82" s="10"/>
      <c r="J82" s="11"/>
      <c r="K82" s="11"/>
      <c r="L82" s="11"/>
      <c r="M82" s="12"/>
      <c r="S82" s="57">
        <v>2500</v>
      </c>
      <c r="T82" s="58"/>
      <c r="U82" s="41"/>
    </row>
    <row r="83" spans="2:22" ht="6.6" customHeight="1">
      <c r="B83" s="29"/>
      <c r="C83" s="30"/>
      <c r="D83" s="30"/>
      <c r="E83" s="218"/>
      <c r="F83" s="30"/>
      <c r="G83" s="721"/>
      <c r="H83" s="721"/>
      <c r="I83" s="721"/>
      <c r="J83" s="30"/>
      <c r="K83" s="30"/>
      <c r="L83" s="30"/>
      <c r="M83" s="39"/>
      <c r="P83" s="331"/>
      <c r="Q83" s="331"/>
      <c r="S83" s="57">
        <v>2600</v>
      </c>
      <c r="T83" s="58"/>
      <c r="U83" s="41"/>
    </row>
    <row r="84" spans="2:22" ht="17.25">
      <c r="B84" s="5"/>
      <c r="C84" s="6" t="s">
        <v>53</v>
      </c>
      <c r="D84" s="7"/>
      <c r="E84" s="219"/>
      <c r="F84" s="7"/>
      <c r="G84" s="6"/>
      <c r="H84" s="6"/>
      <c r="I84" s="6"/>
      <c r="J84" s="7"/>
      <c r="K84" s="7"/>
      <c r="L84" s="7"/>
      <c r="M84" s="8"/>
      <c r="P84" s="718" t="s">
        <v>95</v>
      </c>
      <c r="Q84" s="332"/>
    </row>
    <row r="85" spans="2:22" ht="14.25" customHeight="1">
      <c r="B85" s="26"/>
      <c r="C85" s="31" t="s">
        <v>24</v>
      </c>
      <c r="D85" s="10" t="s">
        <v>25</v>
      </c>
      <c r="E85" s="32"/>
      <c r="F85" s="11"/>
      <c r="G85" s="10"/>
      <c r="H85" s="10"/>
      <c r="I85" s="10"/>
      <c r="J85" s="31" t="s">
        <v>26</v>
      </c>
      <c r="K85" s="11"/>
      <c r="L85" s="31" t="s">
        <v>27</v>
      </c>
      <c r="M85" s="12"/>
      <c r="P85" s="802"/>
      <c r="Q85" s="803"/>
    </row>
    <row r="86" spans="2:22" ht="14.25" customHeight="1">
      <c r="B86" s="26"/>
      <c r="C86" s="20"/>
      <c r="D86" s="11"/>
      <c r="E86" s="214" t="s">
        <v>28</v>
      </c>
      <c r="F86" s="11"/>
      <c r="G86" s="10" t="s">
        <v>376</v>
      </c>
      <c r="H86" s="10"/>
      <c r="I86" s="10"/>
      <c r="J86" s="11"/>
      <c r="K86" s="11"/>
      <c r="L86" s="11"/>
      <c r="M86" s="12"/>
      <c r="P86" s="802"/>
      <c r="Q86" s="803"/>
      <c r="S86" s="59"/>
      <c r="T86" s="122"/>
      <c r="V86" s="46"/>
    </row>
    <row r="87" spans="2:22" ht="14.25" customHeight="1">
      <c r="B87" s="26"/>
      <c r="C87" s="11"/>
      <c r="D87" s="11"/>
      <c r="E87" s="32"/>
      <c r="F87" s="42" t="s">
        <v>30</v>
      </c>
      <c r="G87" s="820"/>
      <c r="H87" s="825"/>
      <c r="I87" s="826"/>
      <c r="J87" s="10" t="s">
        <v>45</v>
      </c>
      <c r="K87" s="11"/>
      <c r="L87" s="11"/>
      <c r="M87" s="12"/>
      <c r="P87" s="802"/>
      <c r="Q87" s="803"/>
      <c r="S87" s="59"/>
      <c r="T87" s="122"/>
    </row>
    <row r="88" spans="2:22" ht="14.25" customHeight="1">
      <c r="B88" s="26"/>
      <c r="C88" s="368">
        <v>3</v>
      </c>
      <c r="D88" s="19">
        <f>IF(AND(C90&lt;&gt;"",C90=0),10,5)</f>
        <v>5</v>
      </c>
      <c r="E88" s="33" t="s">
        <v>54</v>
      </c>
      <c r="F88" s="34" t="s">
        <v>55</v>
      </c>
      <c r="G88" s="10"/>
      <c r="H88" s="10"/>
      <c r="I88" s="10"/>
      <c r="J88" s="11"/>
      <c r="K88" s="11"/>
      <c r="L88" s="11"/>
      <c r="M88" s="12"/>
      <c r="P88" s="802"/>
      <c r="Q88" s="803"/>
    </row>
    <row r="89" spans="2:22" ht="14.25" customHeight="1">
      <c r="B89" s="26"/>
      <c r="C89" s="11"/>
      <c r="D89" s="181" t="s">
        <v>319</v>
      </c>
      <c r="E89" s="42"/>
      <c r="F89" s="42" t="s">
        <v>30</v>
      </c>
      <c r="G89" s="820"/>
      <c r="H89" s="825"/>
      <c r="I89" s="826"/>
      <c r="J89" s="573" t="s">
        <v>118</v>
      </c>
      <c r="K89" s="11"/>
      <c r="L89" s="370"/>
      <c r="M89" s="16" t="s">
        <v>114</v>
      </c>
      <c r="P89" s="802"/>
      <c r="Q89" s="803"/>
    </row>
    <row r="90" spans="2:22" ht="14.25" customHeight="1">
      <c r="B90" s="26"/>
      <c r="C90" s="368">
        <v>3</v>
      </c>
      <c r="D90" s="19">
        <f>IF(AND(C90&lt;&gt;"",C90=0),0,5)</f>
        <v>5</v>
      </c>
      <c r="E90" s="33" t="s">
        <v>56</v>
      </c>
      <c r="F90" s="34" t="s">
        <v>57</v>
      </c>
      <c r="G90" s="10"/>
      <c r="H90" s="10"/>
      <c r="I90" s="10"/>
      <c r="J90" s="11"/>
      <c r="K90" s="11"/>
      <c r="L90" s="11"/>
      <c r="M90" s="12"/>
      <c r="P90" s="802"/>
      <c r="Q90" s="803"/>
    </row>
    <row r="91" spans="2:22" ht="14.25" customHeight="1">
      <c r="B91" s="26"/>
      <c r="C91" s="11"/>
      <c r="D91" s="32" t="s">
        <v>117</v>
      </c>
      <c r="E91" s="32"/>
      <c r="F91" s="42" t="s">
        <v>30</v>
      </c>
      <c r="G91" s="820"/>
      <c r="H91" s="825"/>
      <c r="I91" s="826"/>
      <c r="J91" s="10" t="s">
        <v>45</v>
      </c>
      <c r="K91" s="11"/>
      <c r="L91" s="11"/>
      <c r="M91" s="12"/>
      <c r="P91" s="802"/>
      <c r="Q91" s="803"/>
    </row>
    <row r="92" spans="2:22" ht="14.25">
      <c r="B92" s="26"/>
      <c r="C92" s="56">
        <f>AVERAGE(C93:C95)</f>
        <v>3</v>
      </c>
      <c r="D92" s="19">
        <v>5</v>
      </c>
      <c r="E92" s="33" t="s">
        <v>58</v>
      </c>
      <c r="F92" s="34" t="s">
        <v>345</v>
      </c>
      <c r="G92" s="10"/>
      <c r="H92" s="10"/>
      <c r="I92" s="10"/>
      <c r="J92" s="11"/>
      <c r="K92" s="11"/>
      <c r="L92" s="11"/>
      <c r="M92" s="12"/>
      <c r="P92" s="802"/>
      <c r="Q92" s="803"/>
    </row>
    <row r="93" spans="2:22" ht="14.25">
      <c r="B93" s="26"/>
      <c r="C93" s="368">
        <v>3</v>
      </c>
      <c r="D93" s="51"/>
      <c r="E93" s="52" t="s">
        <v>346</v>
      </c>
      <c r="F93" s="53" t="s">
        <v>347</v>
      </c>
      <c r="G93" s="10"/>
      <c r="H93" s="10"/>
      <c r="I93" s="10"/>
      <c r="J93" s="11"/>
      <c r="K93" s="11"/>
      <c r="L93" s="11"/>
      <c r="M93" s="12"/>
      <c r="P93" s="802"/>
      <c r="Q93" s="803"/>
    </row>
    <row r="94" spans="2:22" ht="14.25">
      <c r="B94" s="26"/>
      <c r="D94" s="51"/>
      <c r="E94" s="33"/>
      <c r="F94" s="42" t="s">
        <v>30</v>
      </c>
      <c r="G94" s="820"/>
      <c r="H94" s="825"/>
      <c r="I94" s="826"/>
      <c r="J94" s="573" t="s">
        <v>368</v>
      </c>
      <c r="K94" s="11"/>
      <c r="L94" s="119"/>
      <c r="M94" s="16" t="s">
        <v>369</v>
      </c>
      <c r="P94" s="802"/>
      <c r="Q94" s="803"/>
    </row>
    <row r="95" spans="2:22" ht="14.25" customHeight="1">
      <c r="B95" s="26"/>
      <c r="C95" s="11"/>
      <c r="D95" s="51"/>
      <c r="E95" s="52" t="s">
        <v>348</v>
      </c>
      <c r="F95" s="53" t="s">
        <v>377</v>
      </c>
      <c r="G95" s="10"/>
      <c r="H95" s="10"/>
      <c r="I95" s="42" t="s">
        <v>357</v>
      </c>
      <c r="J95" s="11"/>
      <c r="K95" s="11"/>
      <c r="L95" s="11"/>
      <c r="M95" s="12"/>
      <c r="P95" s="802"/>
      <c r="Q95" s="803"/>
    </row>
    <row r="96" spans="2:22" ht="14.25" hidden="1" customHeight="1">
      <c r="B96" s="26"/>
      <c r="C96" s="11"/>
      <c r="D96" s="32"/>
      <c r="E96" s="32"/>
      <c r="F96" s="42" t="s">
        <v>30</v>
      </c>
      <c r="G96" s="820"/>
      <c r="H96" s="825"/>
      <c r="I96" s="826"/>
      <c r="J96" s="10" t="s">
        <v>367</v>
      </c>
      <c r="K96" s="11"/>
      <c r="L96" s="119"/>
      <c r="M96" s="16" t="s">
        <v>83</v>
      </c>
      <c r="P96" s="802"/>
      <c r="Q96" s="803"/>
    </row>
    <row r="97" spans="2:17" ht="14.25" customHeight="1">
      <c r="B97" s="26"/>
      <c r="C97" s="368">
        <v>3</v>
      </c>
      <c r="D97" s="19">
        <v>5</v>
      </c>
      <c r="E97" s="33" t="s">
        <v>59</v>
      </c>
      <c r="F97" s="34" t="s">
        <v>60</v>
      </c>
      <c r="G97" s="10"/>
      <c r="H97" s="10"/>
      <c r="I97" s="10"/>
      <c r="J97" s="11"/>
      <c r="K97" s="11"/>
      <c r="L97" s="11"/>
      <c r="M97" s="12"/>
      <c r="P97" s="804"/>
      <c r="Q97" s="805"/>
    </row>
    <row r="98" spans="2:17" ht="14.25" customHeight="1">
      <c r="B98" s="26"/>
      <c r="C98" s="11"/>
      <c r="D98" s="32"/>
      <c r="E98" s="32"/>
      <c r="F98" s="42" t="s">
        <v>30</v>
      </c>
      <c r="G98" s="823"/>
      <c r="H98" s="833"/>
      <c r="I98" s="834"/>
      <c r="J98" s="10" t="s">
        <v>86</v>
      </c>
      <c r="K98" s="11"/>
      <c r="L98" s="119"/>
      <c r="M98" s="16" t="s">
        <v>87</v>
      </c>
    </row>
    <row r="99" spans="2:17" ht="13.9" customHeight="1">
      <c r="B99" s="26"/>
      <c r="C99" s="11"/>
      <c r="D99" s="11"/>
      <c r="E99" s="32"/>
      <c r="F99" s="11"/>
      <c r="G99" s="835"/>
      <c r="H99" s="836"/>
      <c r="I99" s="837"/>
      <c r="J99" s="11"/>
      <c r="K99" s="11"/>
      <c r="L99" s="11"/>
      <c r="M99" s="12"/>
    </row>
    <row r="100" spans="2:17" ht="14.25" customHeight="1">
      <c r="B100" s="26"/>
      <c r="C100" s="56">
        <f>C88+C90+C92+C97</f>
        <v>12</v>
      </c>
      <c r="D100" s="215">
        <f>D88+D90+D92+D97</f>
        <v>20</v>
      </c>
      <c r="E100" s="220" t="s">
        <v>22</v>
      </c>
      <c r="F100" s="11"/>
      <c r="G100" s="10"/>
      <c r="H100" s="10"/>
      <c r="I100" s="10"/>
      <c r="J100" s="11"/>
      <c r="K100" s="11"/>
      <c r="L100" s="11"/>
      <c r="M100" s="12"/>
    </row>
    <row r="101" spans="2:17" ht="6" customHeight="1">
      <c r="B101" s="26"/>
      <c r="C101" s="4"/>
      <c r="D101" s="4"/>
      <c r="E101" s="217"/>
      <c r="F101" s="4"/>
      <c r="G101" s="1"/>
      <c r="H101" s="1"/>
      <c r="I101" s="1"/>
      <c r="J101" s="4"/>
      <c r="K101" s="4"/>
      <c r="L101" s="4"/>
      <c r="M101" s="27"/>
    </row>
    <row r="102" spans="2:17" ht="16.899999999999999" customHeight="1">
      <c r="B102" s="692"/>
      <c r="C102" s="693" t="s">
        <v>61</v>
      </c>
      <c r="D102" s="694"/>
      <c r="E102" s="695"/>
      <c r="F102" s="694"/>
      <c r="G102" s="693"/>
      <c r="H102" s="693"/>
      <c r="I102" s="693"/>
      <c r="J102" s="694"/>
      <c r="K102" s="694"/>
      <c r="L102" s="694"/>
      <c r="M102" s="696"/>
      <c r="N102" s="1"/>
    </row>
    <row r="103" spans="2:17" ht="15" customHeight="1">
      <c r="B103" s="26"/>
      <c r="C103" s="31" t="s">
        <v>24</v>
      </c>
      <c r="D103" s="10" t="s">
        <v>25</v>
      </c>
      <c r="E103" s="32"/>
      <c r="F103" s="11"/>
      <c r="G103" s="10"/>
      <c r="H103" s="10"/>
      <c r="I103" s="10"/>
      <c r="J103" s="31" t="s">
        <v>26</v>
      </c>
      <c r="K103" s="11"/>
      <c r="L103" s="31" t="s">
        <v>27</v>
      </c>
      <c r="M103" s="12"/>
      <c r="N103" s="1"/>
    </row>
    <row r="104" spans="2:17" ht="15" customHeight="1">
      <c r="B104" s="26"/>
      <c r="C104" s="367"/>
      <c r="D104" s="11"/>
      <c r="E104" s="214" t="s">
        <v>28</v>
      </c>
      <c r="F104" s="11"/>
      <c r="G104" s="10" t="s">
        <v>371</v>
      </c>
      <c r="H104" s="10"/>
      <c r="I104" s="10"/>
      <c r="J104" s="11"/>
      <c r="K104" s="11"/>
      <c r="L104" s="11"/>
      <c r="M104" s="12"/>
      <c r="N104" s="1"/>
    </row>
    <row r="105" spans="2:17" ht="15" customHeight="1">
      <c r="B105" s="26"/>
      <c r="C105" s="11"/>
      <c r="D105" s="11"/>
      <c r="E105" s="32"/>
      <c r="F105" s="42" t="s">
        <v>30</v>
      </c>
      <c r="G105" s="827"/>
      <c r="H105" s="828"/>
      <c r="I105" s="829"/>
      <c r="J105" s="10" t="s">
        <v>45</v>
      </c>
      <c r="K105" s="11"/>
      <c r="L105" s="11"/>
      <c r="M105" s="12"/>
      <c r="N105" s="1"/>
    </row>
    <row r="106" spans="2:17" ht="15" customHeight="1">
      <c r="B106" s="26"/>
      <c r="C106" s="11"/>
      <c r="D106" s="11"/>
      <c r="E106" s="32"/>
      <c r="F106" s="11"/>
      <c r="G106" s="830"/>
      <c r="H106" s="831"/>
      <c r="I106" s="832"/>
      <c r="J106" s="11"/>
      <c r="K106" s="11"/>
      <c r="L106" s="11"/>
      <c r="M106" s="12"/>
      <c r="N106" s="1"/>
    </row>
    <row r="107" spans="2:17" ht="15" customHeight="1">
      <c r="B107" s="26"/>
      <c r="C107" s="580">
        <f>IF(C108*2/3+C110*1/3&gt;D107,D107,C108*2/3+C110*1/3)</f>
        <v>3</v>
      </c>
      <c r="D107" s="333">
        <v>5</v>
      </c>
      <c r="E107" s="33" t="s">
        <v>62</v>
      </c>
      <c r="F107" s="34" t="s">
        <v>301</v>
      </c>
      <c r="G107" s="10"/>
      <c r="H107" s="10"/>
      <c r="I107" s="42" t="s">
        <v>874</v>
      </c>
      <c r="J107" s="11"/>
      <c r="K107" s="11"/>
      <c r="L107" s="11"/>
      <c r="M107" s="12"/>
      <c r="N107" s="1"/>
    </row>
    <row r="108" spans="2:17" ht="15" customHeight="1">
      <c r="B108" s="26"/>
      <c r="C108" s="368">
        <v>3</v>
      </c>
      <c r="D108" s="51"/>
      <c r="E108" s="52" t="s">
        <v>362</v>
      </c>
      <c r="F108" s="53" t="s">
        <v>123</v>
      </c>
      <c r="M108" s="12"/>
      <c r="N108" s="1"/>
    </row>
    <row r="109" spans="2:17" ht="15" customHeight="1">
      <c r="B109" s="26"/>
      <c r="C109" s="11"/>
      <c r="D109" s="51"/>
      <c r="E109" s="52"/>
      <c r="F109" s="42" t="s">
        <v>30</v>
      </c>
      <c r="G109" s="820"/>
      <c r="H109" s="825"/>
      <c r="I109" s="826"/>
      <c r="J109" s="10" t="s">
        <v>63</v>
      </c>
      <c r="K109" s="11"/>
      <c r="L109" s="120"/>
      <c r="M109" s="16" t="s">
        <v>64</v>
      </c>
      <c r="N109" s="1"/>
    </row>
    <row r="110" spans="2:17" ht="15" customHeight="1">
      <c r="B110" s="26"/>
      <c r="C110" s="368">
        <v>3</v>
      </c>
      <c r="D110" s="51"/>
      <c r="E110" s="52" t="s">
        <v>363</v>
      </c>
      <c r="F110" s="53" t="s">
        <v>119</v>
      </c>
      <c r="M110" s="12"/>
      <c r="N110" s="1"/>
    </row>
    <row r="111" spans="2:17" ht="15" customHeight="1">
      <c r="B111" s="26"/>
      <c r="D111" s="51"/>
      <c r="E111" s="52"/>
      <c r="F111" s="42" t="s">
        <v>30</v>
      </c>
      <c r="G111" s="820"/>
      <c r="H111" s="825"/>
      <c r="I111" s="826"/>
      <c r="J111" s="10" t="s">
        <v>88</v>
      </c>
      <c r="K111" s="11"/>
      <c r="L111" s="119"/>
      <c r="M111" s="16" t="s">
        <v>87</v>
      </c>
      <c r="N111" s="1"/>
    </row>
    <row r="112" spans="2:17" ht="15" customHeight="1">
      <c r="B112" s="26"/>
      <c r="C112" s="368">
        <v>3</v>
      </c>
      <c r="D112" s="19">
        <v>5</v>
      </c>
      <c r="E112" s="33" t="s">
        <v>65</v>
      </c>
      <c r="F112" s="34" t="s">
        <v>66</v>
      </c>
      <c r="G112" s="10"/>
      <c r="H112" s="10"/>
      <c r="I112" s="10"/>
      <c r="J112" s="11"/>
      <c r="K112" s="11"/>
      <c r="L112" s="11"/>
      <c r="M112" s="12"/>
      <c r="N112" s="1"/>
    </row>
    <row r="113" spans="2:14" ht="15" customHeight="1">
      <c r="B113" s="26"/>
      <c r="C113" s="11"/>
      <c r="D113" s="32"/>
      <c r="E113" s="32"/>
      <c r="F113" s="42" t="s">
        <v>30</v>
      </c>
      <c r="G113" s="820"/>
      <c r="H113" s="825"/>
      <c r="I113" s="826"/>
      <c r="J113" s="11"/>
      <c r="K113" s="11"/>
      <c r="L113" s="11"/>
      <c r="M113" s="12"/>
      <c r="N113" s="1"/>
    </row>
    <row r="114" spans="2:14" ht="15" customHeight="1">
      <c r="B114" s="26"/>
      <c r="C114" s="368">
        <v>3</v>
      </c>
      <c r="D114" s="19">
        <v>5</v>
      </c>
      <c r="E114" s="33" t="s">
        <v>67</v>
      </c>
      <c r="F114" s="34" t="s">
        <v>300</v>
      </c>
      <c r="G114" s="10"/>
      <c r="H114" s="10"/>
      <c r="I114" s="10"/>
      <c r="J114" s="11"/>
      <c r="K114" s="11"/>
      <c r="L114" s="11"/>
      <c r="M114" s="12"/>
      <c r="N114" s="1"/>
    </row>
    <row r="115" spans="2:14" ht="13.9" customHeight="1">
      <c r="B115" s="26"/>
      <c r="C115" s="11"/>
      <c r="D115" s="32"/>
      <c r="E115" s="32"/>
      <c r="F115" s="42" t="s">
        <v>30</v>
      </c>
      <c r="G115" s="821"/>
      <c r="H115" s="781"/>
      <c r="I115" s="782"/>
      <c r="J115" s="10" t="s">
        <v>89</v>
      </c>
      <c r="K115" s="11"/>
      <c r="L115" s="120"/>
      <c r="M115" s="16" t="s">
        <v>90</v>
      </c>
      <c r="N115" s="1"/>
    </row>
    <row r="116" spans="2:14" ht="13.5" hidden="1" customHeight="1">
      <c r="B116" s="26"/>
      <c r="F116" s="11"/>
      <c r="G116" s="10"/>
      <c r="H116" s="10"/>
      <c r="I116" s="10"/>
      <c r="J116" s="11"/>
      <c r="K116" s="11"/>
      <c r="L116" s="11"/>
      <c r="M116" s="12"/>
      <c r="N116" s="1"/>
    </row>
    <row r="117" spans="2:14" ht="13.5" hidden="1" customHeight="1">
      <c r="B117" s="43"/>
      <c r="C117" s="1"/>
      <c r="D117" s="1"/>
      <c r="E117" s="2"/>
      <c r="F117" s="1"/>
      <c r="G117" s="1"/>
      <c r="H117" s="1"/>
      <c r="I117" s="1"/>
      <c r="J117" s="1"/>
      <c r="K117" s="1"/>
      <c r="L117" s="1"/>
      <c r="M117" s="691"/>
      <c r="N117" s="1"/>
    </row>
    <row r="118" spans="2:14" ht="13.5" hidden="1" customHeight="1">
      <c r="B118" s="43"/>
      <c r="M118" s="44"/>
    </row>
    <row r="119" spans="2:14" ht="13.5" hidden="1" customHeight="1">
      <c r="B119" s="43"/>
      <c r="M119" s="44"/>
    </row>
    <row r="120" spans="2:14" ht="13.5" hidden="1" customHeight="1">
      <c r="B120" s="43"/>
      <c r="M120" s="44"/>
    </row>
    <row r="121" spans="2:14" ht="13.5" hidden="1" customHeight="1">
      <c r="B121" s="43"/>
      <c r="M121" s="44"/>
    </row>
    <row r="122" spans="2:14" ht="13.5" hidden="1" customHeight="1">
      <c r="B122" s="43"/>
      <c r="M122" s="44"/>
    </row>
    <row r="123" spans="2:14" ht="13.5" hidden="1" customHeight="1">
      <c r="B123" s="43"/>
      <c r="M123" s="44"/>
    </row>
    <row r="124" spans="2:14" ht="13.5" hidden="1" customHeight="1">
      <c r="B124" s="43"/>
      <c r="M124" s="44"/>
    </row>
    <row r="125" spans="2:14" ht="13.5" hidden="1" customHeight="1">
      <c r="B125" s="43"/>
      <c r="M125" s="44"/>
    </row>
    <row r="126" spans="2:14" ht="13.5" hidden="1" customHeight="1">
      <c r="B126" s="43"/>
      <c r="M126" s="44"/>
    </row>
    <row r="127" spans="2:14" ht="13.5" hidden="1" customHeight="1">
      <c r="B127" s="43"/>
      <c r="M127" s="44"/>
    </row>
    <row r="128" spans="2:14" ht="13.15" customHeight="1">
      <c r="B128" s="43"/>
      <c r="C128" s="580">
        <f>C107+C112+C114</f>
        <v>9</v>
      </c>
      <c r="D128" s="215">
        <f>D107+D112+D114</f>
        <v>15</v>
      </c>
      <c r="E128" s="220" t="s">
        <v>22</v>
      </c>
      <c r="M128" s="44"/>
    </row>
    <row r="129" spans="2:17" ht="5.45" customHeight="1">
      <c r="B129" s="698"/>
      <c r="C129" s="699"/>
      <c r="D129" s="699"/>
      <c r="E129" s="700"/>
      <c r="F129" s="699"/>
      <c r="G129" s="699"/>
      <c r="H129" s="699"/>
      <c r="I129" s="699"/>
      <c r="J129" s="699"/>
      <c r="K129" s="699"/>
      <c r="L129" s="699"/>
      <c r="M129" s="701"/>
    </row>
    <row r="130" spans="2:17" ht="13.5" customHeight="1">
      <c r="B130" s="692"/>
      <c r="C130" s="693" t="s">
        <v>892</v>
      </c>
      <c r="D130" s="694"/>
      <c r="E130" s="695"/>
      <c r="F130" s="694"/>
      <c r="G130" s="693"/>
      <c r="H130" s="693"/>
      <c r="I130" s="693"/>
      <c r="J130" s="694"/>
      <c r="K130" s="694"/>
      <c r="L130" s="694"/>
      <c r="M130" s="696"/>
    </row>
    <row r="131" spans="2:17" ht="13.5" customHeight="1">
      <c r="B131" s="26"/>
      <c r="C131" s="31" t="s">
        <v>24</v>
      </c>
      <c r="D131" s="10" t="s">
        <v>921</v>
      </c>
      <c r="E131" s="32"/>
      <c r="F131" s="11"/>
      <c r="G131" s="10"/>
      <c r="H131" s="10"/>
      <c r="I131" s="10"/>
      <c r="J131" s="31" t="s">
        <v>26</v>
      </c>
      <c r="K131" s="11"/>
      <c r="L131" s="31" t="s">
        <v>27</v>
      </c>
      <c r="M131" s="12"/>
    </row>
    <row r="132" spans="2:17" ht="13.5" customHeight="1">
      <c r="B132" s="26"/>
      <c r="C132" s="368"/>
      <c r="D132" s="19">
        <v>5</v>
      </c>
      <c r="E132" s="214"/>
      <c r="F132" s="42" t="s">
        <v>30</v>
      </c>
      <c r="G132" s="820"/>
      <c r="H132" s="825"/>
      <c r="I132" s="826"/>
      <c r="J132" s="697" t="s">
        <v>864</v>
      </c>
      <c r="K132" s="11" t="s">
        <v>861</v>
      </c>
      <c r="L132" s="119"/>
      <c r="M132" s="16" t="s">
        <v>114</v>
      </c>
    </row>
    <row r="133" spans="2:17" ht="13.5" customHeight="1">
      <c r="B133" s="43"/>
      <c r="C133" s="186" t="s">
        <v>871</v>
      </c>
      <c r="G133" s="820"/>
      <c r="H133" s="825"/>
      <c r="I133" s="826"/>
      <c r="K133" s="11" t="s">
        <v>924</v>
      </c>
      <c r="L133" s="119"/>
      <c r="M133" s="16" t="s">
        <v>114</v>
      </c>
    </row>
    <row r="134" spans="2:17" ht="13.9" customHeight="1">
      <c r="B134" s="43"/>
      <c r="G134" s="820"/>
      <c r="H134" s="825"/>
      <c r="I134" s="826"/>
      <c r="K134" s="11" t="s">
        <v>867</v>
      </c>
      <c r="L134" s="119"/>
      <c r="M134" s="16" t="s">
        <v>114</v>
      </c>
    </row>
    <row r="135" spans="2:17" ht="13.5" customHeight="1">
      <c r="B135" s="43"/>
      <c r="G135" s="820"/>
      <c r="H135" s="825"/>
      <c r="I135" s="826"/>
      <c r="K135" s="11" t="s">
        <v>866</v>
      </c>
      <c r="L135" s="119"/>
      <c r="M135" s="16" t="s">
        <v>114</v>
      </c>
    </row>
    <row r="136" spans="2:17" ht="13.5" customHeight="1">
      <c r="B136" s="698"/>
      <c r="C136" s="699"/>
      <c r="D136" s="699"/>
      <c r="E136" s="700"/>
      <c r="F136" s="699"/>
      <c r="G136" s="699"/>
      <c r="H136" s="699"/>
      <c r="I136" s="699"/>
      <c r="J136" s="699"/>
      <c r="K136" s="699"/>
      <c r="L136" s="699"/>
      <c r="M136" s="701"/>
    </row>
    <row r="137" spans="2:17" ht="13.5" customHeight="1">
      <c r="M137" s="173" t="str">
        <f>D7</f>
        <v>○○ホテル</v>
      </c>
    </row>
    <row r="138" spans="2:17" ht="13.5" customHeight="1">
      <c r="C138" t="s">
        <v>905</v>
      </c>
      <c r="D138" t="s">
        <v>910</v>
      </c>
      <c r="N138" s="1"/>
      <c r="P138" s="716" t="s">
        <v>94</v>
      </c>
      <c r="Q138" s="717"/>
    </row>
    <row r="139" spans="2:17" ht="13.5" customHeight="1">
      <c r="C139" t="s">
        <v>903</v>
      </c>
      <c r="N139" s="1"/>
      <c r="P139" s="808"/>
      <c r="Q139" s="809"/>
    </row>
    <row r="140" spans="2:17">
      <c r="D140" s="741">
        <f>ROUNDDOWN(IF(G140&gt;G144,F145,IF(G140&lt;=G143,F143,G140*H143+I143)),1)</f>
        <v>25</v>
      </c>
      <c r="E140" s="211" t="s">
        <v>900</v>
      </c>
      <c r="F140" s="739" t="s">
        <v>899</v>
      </c>
      <c r="G140" s="740"/>
      <c r="H140" t="str">
        <f>"×（"&amp;H143&amp;"）＋"&amp;I143</f>
        <v>×（-33.3333333333333）＋48.3333333333333</v>
      </c>
      <c r="N140" s="1"/>
      <c r="P140" s="716" t="s">
        <v>102</v>
      </c>
      <c r="Q140" s="717"/>
    </row>
    <row r="141" spans="2:17">
      <c r="E141"/>
      <c r="N141" s="1"/>
      <c r="P141" s="806"/>
      <c r="Q141" s="807"/>
    </row>
    <row r="142" spans="2:17" hidden="1">
      <c r="F142" t="s">
        <v>898</v>
      </c>
      <c r="G142" t="s">
        <v>893</v>
      </c>
      <c r="H142" s="52" t="s">
        <v>894</v>
      </c>
      <c r="I142" s="52" t="s">
        <v>895</v>
      </c>
      <c r="M142" s="1"/>
      <c r="N142" s="1"/>
      <c r="Q142" s="173" t="str">
        <f>D7</f>
        <v>○○ホテル</v>
      </c>
    </row>
    <row r="143" spans="2:17" hidden="1">
      <c r="E143" t="s">
        <v>896</v>
      </c>
      <c r="F143">
        <v>25</v>
      </c>
      <c r="G143">
        <v>0.7</v>
      </c>
      <c r="H143" s="53">
        <f>(F144-F143)/(G144-G143)</f>
        <v>-33.333333333333329</v>
      </c>
      <c r="I143" s="53">
        <f>F144-H143*G144</f>
        <v>48.333333333333329</v>
      </c>
      <c r="M143" s="1"/>
      <c r="N143" s="1"/>
    </row>
    <row r="144" spans="2:17" hidden="1">
      <c r="F144">
        <v>16</v>
      </c>
      <c r="G144">
        <v>0.97</v>
      </c>
      <c r="N144" s="1"/>
    </row>
    <row r="145" spans="3:14" hidden="1">
      <c r="E145" t="s">
        <v>897</v>
      </c>
      <c r="F145">
        <v>15</v>
      </c>
      <c r="N145" s="1"/>
    </row>
    <row r="146" spans="3:14" hidden="1">
      <c r="N146" s="1"/>
    </row>
    <row r="147" spans="3:14">
      <c r="N147" s="1"/>
    </row>
    <row r="148" spans="3:14" hidden="1">
      <c r="N148" s="1"/>
    </row>
    <row r="149" spans="3:14" hidden="1">
      <c r="N149" s="1"/>
    </row>
    <row r="150" spans="3:14" hidden="1">
      <c r="N150" s="1"/>
    </row>
    <row r="151" spans="3:14" hidden="1">
      <c r="N151" s="1"/>
    </row>
    <row r="152" spans="3:14" hidden="1">
      <c r="N152" s="1"/>
    </row>
    <row r="153" spans="3:14" hidden="1">
      <c r="N153" s="1"/>
    </row>
    <row r="154" spans="3:14" hidden="1">
      <c r="N154" s="1"/>
    </row>
    <row r="155" spans="3:14">
      <c r="N155" s="1"/>
    </row>
    <row r="156" spans="3:14">
      <c r="C156" t="s">
        <v>904</v>
      </c>
      <c r="N156" s="1"/>
    </row>
    <row r="157" spans="3:14">
      <c r="D157" s="741">
        <f>IF(G157&gt;G160,(ROUNDDOWN(IF(G157&gt;G163,F163,G157*H160+I160),1)),IF(OR(J157&gt;0.5,J157=""),24.9,F160))</f>
        <v>24.9</v>
      </c>
      <c r="E157" s="211" t="s">
        <v>900</v>
      </c>
      <c r="F157" s="739" t="s">
        <v>902</v>
      </c>
      <c r="G157" s="740"/>
      <c r="H157" t="str">
        <f>"×（"&amp;H160&amp;"）＋"&amp;I160</f>
        <v>×（-16.5）＋29.125</v>
      </c>
      <c r="I157" s="173" t="s">
        <v>920</v>
      </c>
      <c r="J157" s="740"/>
      <c r="N157" s="1"/>
    </row>
    <row r="158" spans="3:14">
      <c r="N158" s="1"/>
    </row>
    <row r="159" spans="3:14" hidden="1">
      <c r="F159" t="s">
        <v>898</v>
      </c>
      <c r="G159" t="s">
        <v>901</v>
      </c>
      <c r="H159" s="52" t="s">
        <v>894</v>
      </c>
      <c r="I159" s="52" t="s">
        <v>895</v>
      </c>
      <c r="N159" s="1"/>
    </row>
    <row r="160" spans="3:14" hidden="1">
      <c r="E160"/>
      <c r="F160">
        <v>25</v>
      </c>
      <c r="G160">
        <v>0.25</v>
      </c>
      <c r="H160" s="48">
        <f>IF(G157&lt;=G161,H161,IF(G157&lt;=G162,H162,H163))</f>
        <v>-16.500000000000004</v>
      </c>
      <c r="I160" s="48">
        <f>IF(G157&lt;=G161,I161,IF(G157&lt;=G162,I162,I163))</f>
        <v>29.125</v>
      </c>
      <c r="N160" s="1"/>
    </row>
    <row r="161" spans="5:14" hidden="1">
      <c r="F161">
        <v>21.7</v>
      </c>
      <c r="G161">
        <v>0.45</v>
      </c>
      <c r="H161" s="53">
        <f>(F161-F160)/(G161-G160)</f>
        <v>-16.500000000000004</v>
      </c>
      <c r="I161" s="53">
        <f>F161-H161*G161</f>
        <v>29.125</v>
      </c>
      <c r="N161" s="1"/>
    </row>
    <row r="162" spans="5:14" hidden="1">
      <c r="E162"/>
      <c r="F162">
        <v>18.3</v>
      </c>
      <c r="G162">
        <v>0.65</v>
      </c>
      <c r="H162" s="53">
        <f>(F162-F161)/(G162-G161)</f>
        <v>-16.999999999999993</v>
      </c>
      <c r="I162" s="53">
        <f>F162-H162*G162</f>
        <v>29.349999999999994</v>
      </c>
      <c r="N162" s="1"/>
    </row>
    <row r="163" spans="5:14" hidden="1">
      <c r="F163">
        <v>15</v>
      </c>
      <c r="G163">
        <v>0.85</v>
      </c>
      <c r="H163" s="53">
        <f>(F163-F162)/(G163-G162)</f>
        <v>-16.500000000000007</v>
      </c>
      <c r="I163" s="53">
        <f>F163-H163*G163</f>
        <v>29.025000000000006</v>
      </c>
      <c r="N163" s="1"/>
    </row>
    <row r="164" spans="5:14" hidden="1">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row r="187"/>
    <row r="188"/>
    <row r="189"/>
    <row r="190"/>
    <row r="191"/>
    <row r="192"/>
    <row r="193"/>
    <row r="194"/>
    <row r="195"/>
    <row r="196"/>
    <row r="197"/>
    <row r="198"/>
    <row r="199"/>
    <row r="200"/>
  </sheetData>
  <sheetProtection algorithmName="SHA-512" hashValue="ONh4pc0A8c/ktc6oNJ7hzzFBMQnwul3FinZBLlywxVCW8GkIFMzwNROl3k84JbuQrNKMZPVXhsTGJohm3M5S0Q==" saltValue="JwuKbDYOE5qJIDZk4rKRXQ==" spinCount="100000" sheet="1" formatCells="0" formatRows="0" insertRows="0"/>
  <mergeCells count="47">
    <mergeCell ref="D10:G10"/>
    <mergeCell ref="I2:J4"/>
    <mergeCell ref="D7:G7"/>
    <mergeCell ref="D8:G8"/>
    <mergeCell ref="L8:M8"/>
    <mergeCell ref="D9:G9"/>
    <mergeCell ref="G53:I53"/>
    <mergeCell ref="D11:G11"/>
    <mergeCell ref="L11:M11"/>
    <mergeCell ref="F12:G12"/>
    <mergeCell ref="G28:I29"/>
    <mergeCell ref="G31:I33"/>
    <mergeCell ref="G35:I37"/>
    <mergeCell ref="G39:I39"/>
    <mergeCell ref="G41:I41"/>
    <mergeCell ref="G47:I47"/>
    <mergeCell ref="G49:I49"/>
    <mergeCell ref="G51:I51"/>
    <mergeCell ref="F13:G13"/>
    <mergeCell ref="P85:Q97"/>
    <mergeCell ref="G89:I89"/>
    <mergeCell ref="G59:I59"/>
    <mergeCell ref="G62:I62"/>
    <mergeCell ref="G64:I64"/>
    <mergeCell ref="G67:I67"/>
    <mergeCell ref="G68:I68"/>
    <mergeCell ref="G72:I72"/>
    <mergeCell ref="G75:I75"/>
    <mergeCell ref="G77:I77"/>
    <mergeCell ref="G79:I79"/>
    <mergeCell ref="G81:I81"/>
    <mergeCell ref="G87:I87"/>
    <mergeCell ref="G98:I99"/>
    <mergeCell ref="G105:I106"/>
    <mergeCell ref="G109:I109"/>
    <mergeCell ref="G111:I111"/>
    <mergeCell ref="G91:I91"/>
    <mergeCell ref="G94:I94"/>
    <mergeCell ref="G96:I96"/>
    <mergeCell ref="G113:I113"/>
    <mergeCell ref="G115:I115"/>
    <mergeCell ref="P139:Q139"/>
    <mergeCell ref="P141:Q141"/>
    <mergeCell ref="G132:I132"/>
    <mergeCell ref="G133:I133"/>
    <mergeCell ref="G134:I134"/>
    <mergeCell ref="G135:I135"/>
  </mergeCells>
  <phoneticPr fontId="3"/>
  <dataValidations count="1">
    <dataValidation type="list" allowBlank="1" showInputMessage="1" showErrorMessage="1" sqref="C104 C27 C86 C46 C58" xr:uid="{855C2107-9CC4-4EBF-9DAB-DDBBA25E336A}">
      <formula1>$S$19:$S$20</formula1>
    </dataValidation>
  </dataValidations>
  <pageMargins left="0.86614173228346458" right="0.43307086614173229" top="0.55118110236220474" bottom="0.55118110236220474" header="0.43307086614173229" footer="0.31496062992125984"/>
  <pageSetup paperSize="9" scale="49"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AA200"/>
  <sheetViews>
    <sheetView showGridLines="0" zoomScaleNormal="100" zoomScaleSheetLayoutView="100" zoomScalePageLayoutView="55" workbookViewId="0">
      <selection activeCell="H15" sqref="H15"/>
    </sheetView>
  </sheetViews>
  <sheetFormatPr defaultColWidth="0" defaultRowHeight="13.5" customHeight="1"/>
  <cols>
    <col min="1" max="1" width="1.875" customWidth="1"/>
    <col min="2" max="2" width="1.25" customWidth="1"/>
    <col min="3" max="3" width="10.625" customWidth="1"/>
    <col min="4" max="4" width="8.625" customWidth="1"/>
    <col min="5" max="5" width="5.125" style="211"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3.5" customWidth="1"/>
    <col min="19" max="26" width="7.375" hidden="1" customWidth="1"/>
    <col min="27" max="16384" width="9" hidden="1"/>
  </cols>
  <sheetData>
    <row r="1" spans="2:27" ht="13.5" customHeight="1">
      <c r="W1" s="41"/>
      <c r="X1" s="41" t="s">
        <v>700</v>
      </c>
    </row>
    <row r="2" spans="2:27" ht="13.5" customHeight="1">
      <c r="I2" s="792" t="s">
        <v>556</v>
      </c>
      <c r="J2" s="792"/>
      <c r="K2" s="792"/>
      <c r="W2" s="360" t="s">
        <v>686</v>
      </c>
      <c r="X2" s="171" t="str">
        <f>IF(建築環境SDGsチェックリスト!$D$3="集合住宅",建築環境SDGsチェックリスト!H116,"0")</f>
        <v>0</v>
      </c>
    </row>
    <row r="3" spans="2:27" ht="13.5" customHeight="1">
      <c r="I3" s="792"/>
      <c r="J3" s="792"/>
      <c r="K3" s="792"/>
      <c r="W3" s="360" t="s">
        <v>680</v>
      </c>
      <c r="X3" s="171" t="str">
        <f>IF(建築環境SDGsチェックリスト!$D$3="集合住宅",建築環境SDGsチェックリスト!H117,"0")</f>
        <v>0</v>
      </c>
    </row>
    <row r="4" spans="2:27" ht="13.5" customHeight="1">
      <c r="I4" s="792"/>
      <c r="J4" s="792"/>
      <c r="K4" s="792"/>
      <c r="W4" s="360" t="s">
        <v>681</v>
      </c>
      <c r="X4" s="171" t="str">
        <f>IF(建築環境SDGsチェックリスト!$D$3="集合住宅",建築環境SDGsチェックリスト!H118,"0")</f>
        <v>0</v>
      </c>
    </row>
    <row r="5" spans="2:27" ht="14.25">
      <c r="B5" s="3"/>
      <c r="C5" s="4"/>
      <c r="D5" s="4"/>
      <c r="E5" s="212"/>
      <c r="F5" s="4"/>
      <c r="G5" s="4"/>
      <c r="H5" s="4"/>
      <c r="I5" s="2" t="s">
        <v>1</v>
      </c>
      <c r="J5" s="4" t="str">
        <f>オフィス評価結果!J5</f>
        <v>CASBEE-不動産 2024年版</v>
      </c>
      <c r="K5" s="4"/>
      <c r="L5" s="4"/>
      <c r="M5" s="2" t="str">
        <f>オフィス評価結果!M5</f>
        <v>v1.21</v>
      </c>
      <c r="N5" s="1"/>
      <c r="P5" s="383" t="s">
        <v>722</v>
      </c>
      <c r="Q5" s="383"/>
      <c r="W5" s="360" t="s">
        <v>682</v>
      </c>
      <c r="X5" s="171" t="str">
        <f>IF(建築環境SDGsチェックリスト!$D$3="集合住宅",建築環境SDGsチェックリスト!H119,"0")</f>
        <v>0</v>
      </c>
    </row>
    <row r="6" spans="2:27" ht="15">
      <c r="B6" s="760"/>
      <c r="C6" s="761" t="s">
        <v>2</v>
      </c>
      <c r="D6" s="762"/>
      <c r="E6" s="763"/>
      <c r="F6" s="762"/>
      <c r="G6" s="762"/>
      <c r="H6" s="762"/>
      <c r="I6" s="762"/>
      <c r="J6" s="762"/>
      <c r="K6" s="762"/>
      <c r="L6" s="762"/>
      <c r="M6" s="764"/>
      <c r="N6" s="1"/>
      <c r="W6" s="360" t="s">
        <v>683</v>
      </c>
      <c r="X6" s="171" t="str">
        <f>IF(建築環境SDGsチェックリスト!$D$3="集合住宅",建築環境SDGsチェックリスト!H120,"0")</f>
        <v>0</v>
      </c>
    </row>
    <row r="7" spans="2:27" ht="14.25">
      <c r="B7" s="9"/>
      <c r="C7" s="10" t="s">
        <v>3</v>
      </c>
      <c r="D7" s="778" t="s">
        <v>601</v>
      </c>
      <c r="E7" s="779"/>
      <c r="F7" s="779"/>
      <c r="G7" s="779"/>
      <c r="H7" s="15" t="s">
        <v>4</v>
      </c>
      <c r="I7" s="765" t="s">
        <v>287</v>
      </c>
      <c r="J7" s="12" t="s">
        <v>76</v>
      </c>
      <c r="K7" s="10" t="s">
        <v>5</v>
      </c>
      <c r="L7" s="21" t="s">
        <v>108</v>
      </c>
      <c r="M7" s="25"/>
      <c r="N7" s="1"/>
      <c r="S7" s="41" t="s">
        <v>83</v>
      </c>
      <c r="T7" s="41" t="s">
        <v>93</v>
      </c>
      <c r="W7" s="360" t="s">
        <v>684</v>
      </c>
      <c r="X7" s="171" t="str">
        <f>IF(建築環境SDGsチェックリスト!$D$3="集合住宅",建築環境SDGsチェックリスト!H121,"0")</f>
        <v>0</v>
      </c>
    </row>
    <row r="8" spans="2:27" ht="14.25">
      <c r="B8" s="9"/>
      <c r="C8" s="10" t="s">
        <v>6</v>
      </c>
      <c r="D8" s="778" t="s">
        <v>288</v>
      </c>
      <c r="E8" s="778"/>
      <c r="F8" s="778"/>
      <c r="G8" s="778"/>
      <c r="H8" s="15" t="s">
        <v>7</v>
      </c>
      <c r="I8" s="765" t="s">
        <v>287</v>
      </c>
      <c r="J8" s="12" t="s">
        <v>76</v>
      </c>
      <c r="K8" s="10" t="s">
        <v>8</v>
      </c>
      <c r="L8" s="810" t="s">
        <v>103</v>
      </c>
      <c r="M8" s="811"/>
      <c r="N8" s="1"/>
      <c r="S8" s="41" t="str">
        <f>C25</f>
        <v>１．エネルギー／温暖化ガス</v>
      </c>
      <c r="T8" s="115">
        <f>IF(C42/D42&gt;1,1,C42/D42)</f>
        <v>0.76666666666666672</v>
      </c>
      <c r="U8" s="116"/>
      <c r="W8" s="360" t="s">
        <v>685</v>
      </c>
      <c r="X8" s="171" t="str">
        <f>IF(建築環境SDGsチェックリスト!$D$3="集合住宅",建築環境SDGsチェックリスト!H122,"0")</f>
        <v>0</v>
      </c>
    </row>
    <row r="9" spans="2:27" ht="14.25">
      <c r="B9" s="9"/>
      <c r="C9" s="10" t="s">
        <v>9</v>
      </c>
      <c r="D9" s="778" t="s">
        <v>10</v>
      </c>
      <c r="E9" s="779"/>
      <c r="F9" s="779"/>
      <c r="G9" s="779"/>
      <c r="H9" s="15" t="s">
        <v>954</v>
      </c>
      <c r="I9" s="765" t="s">
        <v>287</v>
      </c>
      <c r="J9" s="12" t="s">
        <v>76</v>
      </c>
      <c r="K9" s="10" t="s">
        <v>11</v>
      </c>
      <c r="L9" s="21" t="s">
        <v>287</v>
      </c>
      <c r="M9" s="25"/>
      <c r="N9" s="1"/>
      <c r="S9" s="41" t="str">
        <f>C44</f>
        <v>２．水</v>
      </c>
      <c r="T9" s="115">
        <f>C54/D54</f>
        <v>0.6</v>
      </c>
      <c r="U9" s="116"/>
      <c r="W9" s="360" t="s">
        <v>692</v>
      </c>
      <c r="X9" s="171" t="str">
        <f>IF(建築環境SDGsチェックリスト!$D$3="集合住宅",建築環境SDGsチェックリスト!H123,"0")</f>
        <v>0</v>
      </c>
    </row>
    <row r="10" spans="2:27" ht="14.25">
      <c r="B10" s="9"/>
      <c r="C10" s="10" t="s">
        <v>14</v>
      </c>
      <c r="D10" s="778" t="s">
        <v>557</v>
      </c>
      <c r="E10" s="778"/>
      <c r="F10" s="778"/>
      <c r="G10" s="812"/>
      <c r="H10" s="15" t="s">
        <v>12</v>
      </c>
      <c r="I10" s="21" t="s">
        <v>290</v>
      </c>
      <c r="J10" s="12"/>
      <c r="K10" s="10" t="s">
        <v>120</v>
      </c>
      <c r="L10" s="202"/>
      <c r="M10" s="203"/>
      <c r="N10" s="1"/>
      <c r="S10" s="41" t="str">
        <f>C56</f>
        <v>３．資源利用／安全</v>
      </c>
      <c r="T10" s="115">
        <f>C82/D82</f>
        <v>0.53749999999999998</v>
      </c>
      <c r="U10" s="116"/>
      <c r="W10" s="360" t="s">
        <v>693</v>
      </c>
      <c r="X10" s="171" t="str">
        <f>IF(建築環境SDGsチェックリスト!$D$3="集合住宅",建築環境SDGsチェックリスト!H124,"0")</f>
        <v>0</v>
      </c>
    </row>
    <row r="11" spans="2:27" ht="14.25">
      <c r="B11" s="9"/>
      <c r="C11" s="10" t="s">
        <v>125</v>
      </c>
      <c r="D11" s="810" t="s">
        <v>291</v>
      </c>
      <c r="E11" s="810"/>
      <c r="F11" s="810"/>
      <c r="G11" s="810"/>
      <c r="H11" s="15" t="s">
        <v>15</v>
      </c>
      <c r="I11" s="22" t="s">
        <v>292</v>
      </c>
      <c r="J11" s="12"/>
      <c r="K11" s="10" t="s">
        <v>13</v>
      </c>
      <c r="L11" s="813" t="s">
        <v>103</v>
      </c>
      <c r="M11" s="814"/>
      <c r="N11" s="1"/>
      <c r="S11" s="41" t="str">
        <f>C84</f>
        <v>４．生物多様性／敷地</v>
      </c>
      <c r="T11" s="115">
        <f>C100/D100</f>
        <v>0.6</v>
      </c>
      <c r="U11" s="116"/>
      <c r="W11" s="360" t="s">
        <v>694</v>
      </c>
      <c r="X11" s="171" t="str">
        <f>IF(建築環境SDGsチェックリスト!$D$3="集合住宅",建築環境SDGsチェックリスト!H125,"0")</f>
        <v>0</v>
      </c>
    </row>
    <row r="12" spans="2:27" ht="14.25">
      <c r="B12" s="9"/>
      <c r="C12" s="10" t="s">
        <v>124</v>
      </c>
      <c r="F12" s="800" t="s">
        <v>293</v>
      </c>
      <c r="G12" s="801"/>
      <c r="H12" s="15" t="s">
        <v>17</v>
      </c>
      <c r="I12" s="117" t="s">
        <v>18</v>
      </c>
      <c r="J12" s="16" t="s">
        <v>19</v>
      </c>
      <c r="K12" s="10" t="s">
        <v>16</v>
      </c>
      <c r="L12" s="54" t="s">
        <v>287</v>
      </c>
      <c r="M12" s="55"/>
      <c r="N12" s="1"/>
      <c r="S12" s="41" t="str">
        <f>C102</f>
        <v>５．屋内環境</v>
      </c>
      <c r="T12" s="115">
        <f>C128/D128</f>
        <v>0.48333333333333328</v>
      </c>
      <c r="U12" s="116"/>
      <c r="W12" s="360" t="s">
        <v>695</v>
      </c>
      <c r="X12" s="171" t="str">
        <f>IF(建築環境SDGsチェックリスト!$D$3="集合住宅",建築環境SDGsチェックリスト!H126,"0")</f>
        <v>0</v>
      </c>
    </row>
    <row r="13" spans="2:27" ht="14.25">
      <c r="B13" s="13"/>
      <c r="C13" s="759" t="s">
        <v>952</v>
      </c>
      <c r="D13" s="14"/>
      <c r="E13" s="213"/>
      <c r="F13" s="818" t="s">
        <v>953</v>
      </c>
      <c r="G13" s="819"/>
      <c r="H13" s="17" t="s">
        <v>20</v>
      </c>
      <c r="I13" s="24" t="s">
        <v>18</v>
      </c>
      <c r="J13" s="18" t="s">
        <v>69</v>
      </c>
      <c r="K13" s="17" t="s">
        <v>120</v>
      </c>
      <c r="L13" s="204"/>
      <c r="M13" s="205"/>
      <c r="N13" s="1"/>
      <c r="S13" s="41"/>
      <c r="T13" s="41"/>
      <c r="W13" s="360" t="s">
        <v>696</v>
      </c>
      <c r="X13" s="171" t="str">
        <f>IF(建築環境SDGsチェックリスト!$D$3="集合住宅",建築環境SDGsチェックリスト!H127,"0")</f>
        <v>0</v>
      </c>
      <c r="Z13" t="s">
        <v>872</v>
      </c>
    </row>
    <row r="14" spans="2:27" ht="3.95" customHeight="1">
      <c r="B14" s="3"/>
      <c r="C14" s="4"/>
      <c r="D14" s="4"/>
      <c r="E14" s="212"/>
      <c r="F14" s="4"/>
      <c r="G14" s="4"/>
      <c r="H14" s="4"/>
      <c r="I14" s="4"/>
      <c r="J14" s="4"/>
      <c r="K14" s="4"/>
      <c r="L14" s="4"/>
      <c r="M14" s="4"/>
      <c r="N14" s="1"/>
      <c r="X14" s="171"/>
    </row>
    <row r="15" spans="2:27" ht="15" customHeight="1">
      <c r="B15" s="692"/>
      <c r="C15" s="693" t="s">
        <v>21</v>
      </c>
      <c r="D15" s="694"/>
      <c r="E15" s="704"/>
      <c r="F15" s="694"/>
      <c r="G15" s="694"/>
      <c r="H15" s="694"/>
      <c r="I15" s="694"/>
      <c r="J15" s="694"/>
      <c r="K15" s="694"/>
      <c r="L15" s="694"/>
      <c r="M15" s="696"/>
      <c r="N15" s="1"/>
      <c r="W15" s="41" t="s">
        <v>697</v>
      </c>
      <c r="X15" s="385" t="e">
        <f>(AVERAGE(X2:X13)-1)*2+1</f>
        <v>#DIV/0!</v>
      </c>
    </row>
    <row r="16" spans="2:27" ht="3" customHeight="1">
      <c r="B16" s="26"/>
      <c r="G16" s="4"/>
      <c r="H16" s="4"/>
      <c r="I16" s="4"/>
      <c r="M16" s="44"/>
      <c r="N16" s="1"/>
      <c r="S16" s="41" t="s">
        <v>91</v>
      </c>
      <c r="T16" s="41" t="s">
        <v>92</v>
      </c>
      <c r="W16" s="41" t="s">
        <v>698</v>
      </c>
      <c r="X16" s="171" t="e">
        <f>IF(X15=1,1,IF(X15&lt;1.5,1,IF(X15&lt;2.5,2,IF(X15&lt;3.5,3,IF(X15&lt;4.5,4,5)))))/5</f>
        <v>#DIV/0!</v>
      </c>
      <c r="Z16" s="41" t="s">
        <v>868</v>
      </c>
      <c r="AA16" s="41" t="s">
        <v>92</v>
      </c>
    </row>
    <row r="17" spans="2:27" ht="14.25" customHeight="1">
      <c r="B17" s="26"/>
      <c r="C17" s="746">
        <f>C42+C54+C82+C100+C128</f>
        <v>61.416666666666664</v>
      </c>
      <c r="D17" s="50" t="s">
        <v>104</v>
      </c>
      <c r="E17" s="705" t="s">
        <v>22</v>
      </c>
      <c r="H17" s="4"/>
      <c r="I17" s="214" t="s">
        <v>889</v>
      </c>
      <c r="M17" s="706" t="str">
        <f>IF(Z17=0,Z13,"")</f>
        <v>評価しない</v>
      </c>
      <c r="N17" s="1"/>
      <c r="S17" s="41">
        <f>IF(C17&gt;=F19,5,IF(C17&gt;=F20,4,IF(C17&gt;=F21,3,IF(C17&gt;=F22,2,0))))</f>
        <v>3</v>
      </c>
      <c r="T17" s="41">
        <f>5-S17</f>
        <v>2</v>
      </c>
      <c r="W17" s="41" t="s">
        <v>699</v>
      </c>
      <c r="X17" s="171" t="e">
        <f>1-X16</f>
        <v>#DIV/0!</v>
      </c>
      <c r="Z17" s="702">
        <f>C132</f>
        <v>0</v>
      </c>
      <c r="AA17" s="41">
        <f>IF(M17=Z13,0,5-Z17)</f>
        <v>0</v>
      </c>
    </row>
    <row r="18" spans="2:27" ht="14.25">
      <c r="B18" s="26"/>
      <c r="C18" s="707" t="s">
        <v>105</v>
      </c>
      <c r="D18" s="708" t="s">
        <v>106</v>
      </c>
      <c r="E18"/>
      <c r="G18" s="217"/>
      <c r="H18" s="4"/>
      <c r="I18" s="4"/>
      <c r="M18" s="44"/>
      <c r="N18" s="1"/>
      <c r="W18" t="s">
        <v>702</v>
      </c>
      <c r="X18" t="str">
        <f>IF(COUNTIF(建築環境SDGsチェックリスト!$D$2, "*実施する*"), "非表示", "表示")</f>
        <v>表示</v>
      </c>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862</v>
      </c>
      <c r="K21" s="703" t="str">
        <f>IF(M17=Z13,"",L132)</f>
        <v/>
      </c>
      <c r="L21" s="32" t="s">
        <v>867</v>
      </c>
      <c r="M21" s="703" t="str">
        <f>IF(M17=Z13,"",L134)</f>
        <v/>
      </c>
      <c r="N21" s="1"/>
    </row>
    <row r="22" spans="2:27" ht="14.25">
      <c r="B22" s="43"/>
      <c r="C22" s="11" t="s">
        <v>326</v>
      </c>
      <c r="E22" s="10" t="s">
        <v>23</v>
      </c>
      <c r="F22" s="709">
        <v>50</v>
      </c>
      <c r="J22" s="32" t="s">
        <v>924</v>
      </c>
      <c r="K22" s="703" t="str">
        <f>IF(M17=Z13,"",L133)</f>
        <v/>
      </c>
      <c r="L22" s="32" t="s">
        <v>865</v>
      </c>
      <c r="M22" s="703" t="str">
        <f>IF(M17=Z13,"",L135)</f>
        <v/>
      </c>
    </row>
    <row r="23" spans="2:27" ht="14.25">
      <c r="B23" s="698"/>
      <c r="C23" s="711" t="s">
        <v>869</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0</v>
      </c>
      <c r="U24" s="41">
        <f t="shared" ref="U24:U51" si="1">IF(AND($L$35&gt;=S24,$L$35&lt;S25),T24,0)</f>
        <v>0</v>
      </c>
      <c r="W24" s="41">
        <v>0</v>
      </c>
      <c r="X24" s="48"/>
      <c r="Y24" s="48"/>
      <c r="Z24" s="48"/>
    </row>
    <row r="25" spans="2:27" ht="15">
      <c r="B25" s="5"/>
      <c r="C25" s="6" t="s">
        <v>312</v>
      </c>
      <c r="D25" s="7"/>
      <c r="E25" s="219"/>
      <c r="F25" s="7"/>
      <c r="G25" s="7"/>
      <c r="H25" s="7"/>
      <c r="I25" s="7"/>
      <c r="J25" s="7"/>
      <c r="K25" s="7"/>
      <c r="L25" s="7"/>
      <c r="M25" s="8"/>
      <c r="S25" s="118">
        <f t="shared" si="0"/>
        <v>200</v>
      </c>
      <c r="T25" s="41">
        <f t="shared" ref="T25:T51" si="2">IF($I$9&gt;=30000,Z25,IF($I$9&gt;=10000,Y25,X25))</f>
        <v>0</v>
      </c>
      <c r="U25" s="41">
        <f t="shared" si="1"/>
        <v>0</v>
      </c>
      <c r="W25" s="41">
        <v>200</v>
      </c>
      <c r="X25" s="48"/>
      <c r="Y25" s="48"/>
      <c r="Z25" s="48"/>
    </row>
    <row r="26" spans="2:27" ht="14.25">
      <c r="B26" s="26"/>
      <c r="C26" s="31" t="s">
        <v>24</v>
      </c>
      <c r="D26" s="10" t="s">
        <v>25</v>
      </c>
      <c r="E26" s="32"/>
      <c r="F26" s="11"/>
      <c r="G26" s="11"/>
      <c r="H26" s="11"/>
      <c r="I26" s="11"/>
      <c r="J26" s="31" t="s">
        <v>26</v>
      </c>
      <c r="K26" s="11" t="s">
        <v>70</v>
      </c>
      <c r="L26" s="31" t="s">
        <v>27</v>
      </c>
      <c r="M26" s="12"/>
      <c r="S26" s="118">
        <f t="shared" si="0"/>
        <v>400</v>
      </c>
      <c r="T26" s="41">
        <f t="shared" si="2"/>
        <v>0</v>
      </c>
      <c r="U26" s="41">
        <f t="shared" si="1"/>
        <v>0</v>
      </c>
      <c r="W26" s="41">
        <v>400</v>
      </c>
      <c r="X26" s="48"/>
      <c r="Y26" s="48"/>
      <c r="Z26" s="48"/>
    </row>
    <row r="27" spans="2:27" ht="14.25">
      <c r="B27" s="26"/>
      <c r="C27" s="20"/>
      <c r="D27" s="11"/>
      <c r="E27" s="214" t="s">
        <v>28</v>
      </c>
      <c r="F27" s="11"/>
      <c r="G27" s="10" t="s">
        <v>29</v>
      </c>
      <c r="H27" s="10"/>
      <c r="I27" s="10"/>
      <c r="J27" s="11"/>
      <c r="K27" s="11"/>
      <c r="L27" s="11"/>
      <c r="M27" s="12"/>
      <c r="S27" s="118">
        <f t="shared" si="0"/>
        <v>600</v>
      </c>
      <c r="T27" s="41">
        <f t="shared" si="2"/>
        <v>0</v>
      </c>
      <c r="U27" s="41">
        <f t="shared" si="1"/>
        <v>0</v>
      </c>
      <c r="W27" s="41">
        <v>600</v>
      </c>
      <c r="X27" s="48"/>
      <c r="Y27" s="48"/>
      <c r="Z27" s="48"/>
    </row>
    <row r="28" spans="2:27" ht="14.25">
      <c r="B28" s="26"/>
      <c r="C28" s="49"/>
      <c r="D28" s="19" t="s">
        <v>72</v>
      </c>
      <c r="E28" s="32"/>
      <c r="F28" s="42" t="s">
        <v>30</v>
      </c>
      <c r="G28" s="823"/>
      <c r="H28" s="833"/>
      <c r="I28" s="834"/>
      <c r="J28" s="10" t="s">
        <v>71</v>
      </c>
      <c r="K28" s="11"/>
      <c r="L28" s="119"/>
      <c r="M28" s="12" t="s">
        <v>80</v>
      </c>
      <c r="S28" s="118">
        <f t="shared" si="0"/>
        <v>800</v>
      </c>
      <c r="T28" s="41">
        <f t="shared" si="2"/>
        <v>0</v>
      </c>
      <c r="U28" s="41">
        <f t="shared" si="1"/>
        <v>0</v>
      </c>
      <c r="W28" s="41">
        <v>800</v>
      </c>
      <c r="X28" s="48"/>
      <c r="Y28" s="48"/>
      <c r="Z28" s="48"/>
    </row>
    <row r="29" spans="2:27" ht="14.25">
      <c r="B29" s="26"/>
      <c r="E29" s="32"/>
      <c r="F29" s="11"/>
      <c r="G29" s="845"/>
      <c r="H29" s="846"/>
      <c r="I29" s="847"/>
      <c r="J29" s="11"/>
      <c r="K29" s="11"/>
      <c r="L29" s="11"/>
      <c r="M29" s="12"/>
      <c r="S29" s="118">
        <f t="shared" si="0"/>
        <v>1000</v>
      </c>
      <c r="T29" s="41">
        <f t="shared" si="2"/>
        <v>0</v>
      </c>
      <c r="U29" s="41">
        <f t="shared" si="1"/>
        <v>0</v>
      </c>
      <c r="W29" s="41">
        <v>1000</v>
      </c>
      <c r="X29" s="48"/>
      <c r="Y29" s="48"/>
      <c r="Z29" s="48"/>
    </row>
    <row r="30" spans="2:27" ht="14.25">
      <c r="B30" s="26"/>
      <c r="C30" s="49">
        <v>15</v>
      </c>
      <c r="D30" s="19" t="s">
        <v>917</v>
      </c>
      <c r="E30" s="33">
        <v>1.1000000000000001</v>
      </c>
      <c r="F30" s="34" t="s">
        <v>31</v>
      </c>
      <c r="G30" s="10"/>
      <c r="H30" s="10"/>
      <c r="I30" s="10"/>
      <c r="J30" s="11"/>
      <c r="K30" s="11"/>
      <c r="L30" s="11"/>
      <c r="M30" s="12"/>
      <c r="S30" s="118">
        <f t="shared" si="0"/>
        <v>1200</v>
      </c>
      <c r="T30" s="41">
        <f t="shared" si="2"/>
        <v>0</v>
      </c>
      <c r="U30" s="41">
        <f t="shared" si="1"/>
        <v>0</v>
      </c>
      <c r="W30" s="41">
        <v>1200</v>
      </c>
      <c r="X30" s="48"/>
      <c r="Y30" s="48"/>
      <c r="Z30" s="48"/>
    </row>
    <row r="31" spans="2:27" ht="14.25">
      <c r="B31" s="26"/>
      <c r="C31" s="11"/>
      <c r="D31" s="32"/>
      <c r="E31" s="32"/>
      <c r="F31" s="42" t="s">
        <v>30</v>
      </c>
      <c r="G31" s="823"/>
      <c r="H31" s="833"/>
      <c r="I31" s="834"/>
      <c r="J31" s="10" t="s">
        <v>73</v>
      </c>
      <c r="K31" s="11"/>
      <c r="L31" s="120"/>
      <c r="M31" s="12" t="s">
        <v>80</v>
      </c>
      <c r="S31" s="118">
        <f t="shared" si="0"/>
        <v>1400</v>
      </c>
      <c r="T31" s="41">
        <f t="shared" si="2"/>
        <v>0</v>
      </c>
      <c r="U31" s="41">
        <f t="shared" si="1"/>
        <v>0</v>
      </c>
      <c r="W31" s="41">
        <v>1400</v>
      </c>
      <c r="X31" s="48"/>
      <c r="Y31" s="48"/>
      <c r="Z31" s="48"/>
    </row>
    <row r="32" spans="2:27" ht="14.25">
      <c r="B32" s="26"/>
      <c r="C32" s="11"/>
      <c r="D32" s="11"/>
      <c r="E32" s="32"/>
      <c r="F32" s="11"/>
      <c r="G32" s="851"/>
      <c r="H32" s="852"/>
      <c r="I32" s="853"/>
      <c r="J32" s="10" t="s">
        <v>74</v>
      </c>
      <c r="K32" s="11"/>
      <c r="L32" s="120"/>
      <c r="M32" s="12" t="s">
        <v>81</v>
      </c>
      <c r="S32" s="118">
        <f t="shared" si="0"/>
        <v>1600</v>
      </c>
      <c r="T32" s="41">
        <f t="shared" si="2"/>
        <v>0</v>
      </c>
      <c r="U32" s="41">
        <f t="shared" si="1"/>
        <v>0</v>
      </c>
      <c r="W32" s="41">
        <v>1600</v>
      </c>
      <c r="X32" s="48"/>
      <c r="Y32" s="48"/>
      <c r="Z32" s="48"/>
    </row>
    <row r="33" spans="2:26" ht="15.75">
      <c r="B33" s="26"/>
      <c r="C33" s="11"/>
      <c r="D33" s="11"/>
      <c r="E33" s="32"/>
      <c r="F33" s="11"/>
      <c r="G33" s="845"/>
      <c r="H33" s="846"/>
      <c r="I33" s="847"/>
      <c r="J33" s="10" t="s">
        <v>890</v>
      </c>
      <c r="K33" s="11"/>
      <c r="L33" s="120"/>
      <c r="M33" s="12" t="s">
        <v>891</v>
      </c>
      <c r="S33" s="118">
        <f t="shared" si="0"/>
        <v>1800</v>
      </c>
      <c r="T33" s="41">
        <f t="shared" si="2"/>
        <v>0</v>
      </c>
      <c r="U33" s="41">
        <f t="shared" si="1"/>
        <v>0</v>
      </c>
      <c r="W33" s="41">
        <v>1800</v>
      </c>
      <c r="X33" s="48"/>
      <c r="Y33" s="48"/>
      <c r="Z33" s="48"/>
    </row>
    <row r="34" spans="2:26" ht="14.25">
      <c r="B34" s="26"/>
      <c r="C34" s="49">
        <v>5</v>
      </c>
      <c r="D34" s="737" t="s">
        <v>919</v>
      </c>
      <c r="E34" s="33" t="s">
        <v>32</v>
      </c>
      <c r="F34" s="34" t="s">
        <v>33</v>
      </c>
      <c r="G34" s="10"/>
      <c r="H34" s="10"/>
      <c r="I34" s="42" t="s">
        <v>562</v>
      </c>
      <c r="J34" s="11"/>
      <c r="K34" s="11"/>
      <c r="L34" s="11"/>
      <c r="M34" s="12"/>
      <c r="S34" s="118">
        <f t="shared" si="0"/>
        <v>2000</v>
      </c>
      <c r="T34" s="41">
        <f t="shared" si="2"/>
        <v>0</v>
      </c>
      <c r="U34" s="41">
        <f t="shared" si="1"/>
        <v>0</v>
      </c>
      <c r="W34" s="41">
        <v>2000</v>
      </c>
      <c r="X34" s="48"/>
      <c r="Y34" s="48"/>
      <c r="Z34" s="48"/>
    </row>
    <row r="35" spans="2:26" ht="14.25">
      <c r="B35" s="26"/>
      <c r="C35" s="11"/>
      <c r="D35" s="32"/>
      <c r="E35" s="32"/>
      <c r="F35" s="42" t="s">
        <v>30</v>
      </c>
      <c r="G35" s="823"/>
      <c r="H35" s="833"/>
      <c r="I35" s="834"/>
      <c r="J35" s="10" t="s">
        <v>75</v>
      </c>
      <c r="K35" s="11"/>
      <c r="L35" s="120"/>
      <c r="M35" s="12" t="s">
        <v>80</v>
      </c>
      <c r="S35" s="118">
        <f t="shared" si="0"/>
        <v>2200</v>
      </c>
      <c r="T35" s="41">
        <f t="shared" si="2"/>
        <v>0</v>
      </c>
      <c r="U35" s="41">
        <f t="shared" si="1"/>
        <v>0</v>
      </c>
      <c r="W35" s="41">
        <v>2200</v>
      </c>
      <c r="X35" s="48"/>
      <c r="Y35" s="48"/>
      <c r="Z35" s="48"/>
    </row>
    <row r="36" spans="2:26" ht="14.25">
      <c r="B36" s="26"/>
      <c r="C36" s="11"/>
      <c r="D36" s="11"/>
      <c r="E36" s="32"/>
      <c r="F36" s="11"/>
      <c r="G36" s="851"/>
      <c r="H36" s="852"/>
      <c r="I36" s="853"/>
      <c r="J36" s="10" t="s">
        <v>74</v>
      </c>
      <c r="K36" s="11"/>
      <c r="L36" s="120"/>
      <c r="M36" s="12" t="s">
        <v>81</v>
      </c>
      <c r="S36" s="118">
        <f t="shared" si="0"/>
        <v>2400</v>
      </c>
      <c r="T36" s="41">
        <f t="shared" si="2"/>
        <v>0</v>
      </c>
      <c r="U36" s="41">
        <f t="shared" si="1"/>
        <v>0</v>
      </c>
      <c r="W36" s="41">
        <v>2400</v>
      </c>
      <c r="X36" s="48"/>
      <c r="Y36" s="48"/>
      <c r="Z36" s="48"/>
    </row>
    <row r="37" spans="2:26" ht="15.75">
      <c r="B37" s="26"/>
      <c r="C37" s="11"/>
      <c r="D37" s="11"/>
      <c r="E37" s="32"/>
      <c r="F37" s="11"/>
      <c r="G37" s="845"/>
      <c r="H37" s="846"/>
      <c r="I37" s="847"/>
      <c r="J37" s="10" t="s">
        <v>890</v>
      </c>
      <c r="K37" s="11"/>
      <c r="L37" s="120"/>
      <c r="M37" s="12" t="s">
        <v>891</v>
      </c>
      <c r="S37" s="118">
        <f t="shared" si="0"/>
        <v>2600</v>
      </c>
      <c r="T37" s="41">
        <f t="shared" si="2"/>
        <v>0</v>
      </c>
      <c r="U37" s="41">
        <f t="shared" si="1"/>
        <v>0</v>
      </c>
      <c r="W37" s="47">
        <v>2600</v>
      </c>
      <c r="X37" s="48"/>
      <c r="Y37" s="48"/>
      <c r="Z37" s="48"/>
    </row>
    <row r="38" spans="2:26" ht="14.25">
      <c r="B38" s="26"/>
      <c r="C38" s="368"/>
      <c r="D38" s="738" t="s">
        <v>918</v>
      </c>
      <c r="E38" s="33">
        <v>1.3</v>
      </c>
      <c r="F38" s="34" t="s">
        <v>356</v>
      </c>
      <c r="G38" s="10"/>
      <c r="H38" s="10"/>
      <c r="I38" s="42" t="s">
        <v>561</v>
      </c>
      <c r="J38" s="11"/>
      <c r="K38" s="11"/>
      <c r="L38" s="11"/>
      <c r="M38" s="12"/>
      <c r="S38" s="118">
        <f t="shared" si="0"/>
        <v>2800</v>
      </c>
      <c r="T38" s="41">
        <f t="shared" si="2"/>
        <v>0</v>
      </c>
      <c r="U38" s="41">
        <f t="shared" si="1"/>
        <v>0</v>
      </c>
      <c r="W38" s="41">
        <v>2800</v>
      </c>
      <c r="X38" s="48"/>
      <c r="Y38" s="48"/>
      <c r="Z38" s="48"/>
    </row>
    <row r="39" spans="2:26" ht="22.15" customHeight="1">
      <c r="B39" s="26"/>
      <c r="C39" s="11"/>
      <c r="D39" s="32"/>
      <c r="E39" s="32"/>
      <c r="F39" s="42" t="s">
        <v>30</v>
      </c>
      <c r="G39" s="820"/>
      <c r="H39" s="825"/>
      <c r="I39" s="826"/>
      <c r="J39" s="10" t="s">
        <v>339</v>
      </c>
      <c r="K39" s="11"/>
      <c r="L39" s="120"/>
      <c r="M39" s="16" t="s">
        <v>83</v>
      </c>
      <c r="S39" s="118">
        <f t="shared" si="0"/>
        <v>3000</v>
      </c>
      <c r="T39" s="41">
        <f t="shared" si="2"/>
        <v>0</v>
      </c>
      <c r="U39" s="41">
        <f t="shared" si="1"/>
        <v>0</v>
      </c>
      <c r="W39" s="41">
        <v>3000</v>
      </c>
      <c r="X39" s="48"/>
      <c r="Y39" s="48"/>
      <c r="Z39" s="48"/>
    </row>
    <row r="40" spans="2:26" ht="14.25">
      <c r="B40" s="26"/>
      <c r="C40" s="49">
        <v>3</v>
      </c>
      <c r="D40" s="19">
        <v>5</v>
      </c>
      <c r="E40" s="33">
        <v>1.4</v>
      </c>
      <c r="F40" s="34" t="s">
        <v>859</v>
      </c>
      <c r="G40" s="10"/>
      <c r="H40" s="10"/>
      <c r="I40" s="10"/>
      <c r="J40" s="11"/>
      <c r="K40" s="11"/>
      <c r="L40" s="11"/>
      <c r="M40" s="12"/>
      <c r="S40" s="118">
        <f t="shared" si="0"/>
        <v>3200</v>
      </c>
      <c r="T40" s="41">
        <f t="shared" si="2"/>
        <v>0</v>
      </c>
      <c r="U40" s="41">
        <f t="shared" si="1"/>
        <v>0</v>
      </c>
      <c r="W40" s="41">
        <v>3200</v>
      </c>
      <c r="X40" s="48"/>
      <c r="Y40" s="48"/>
      <c r="Z40" s="48"/>
    </row>
    <row r="41" spans="2:26" ht="14.25">
      <c r="B41" s="26"/>
      <c r="C41" s="11"/>
      <c r="D41" s="32"/>
      <c r="E41" s="32"/>
      <c r="F41" s="42" t="s">
        <v>30</v>
      </c>
      <c r="G41" s="820"/>
      <c r="H41" s="825"/>
      <c r="I41" s="826"/>
      <c r="J41" s="10" t="s">
        <v>34</v>
      </c>
      <c r="K41" s="11"/>
      <c r="L41" s="120"/>
      <c r="M41" s="12" t="s">
        <v>35</v>
      </c>
      <c r="S41" s="118">
        <f t="shared" si="0"/>
        <v>3400</v>
      </c>
      <c r="T41" s="41">
        <f t="shared" si="2"/>
        <v>0</v>
      </c>
      <c r="U41" s="41">
        <f t="shared" si="1"/>
        <v>0</v>
      </c>
      <c r="W41" s="41">
        <v>3400</v>
      </c>
      <c r="X41" s="48"/>
      <c r="Y41" s="48"/>
      <c r="Z41" s="48"/>
    </row>
    <row r="42" spans="2:26" ht="14.25">
      <c r="B42" s="26"/>
      <c r="C42" s="56">
        <f>C28+C30+C34+C38+C40</f>
        <v>23</v>
      </c>
      <c r="D42" s="56">
        <v>30</v>
      </c>
      <c r="E42" s="220" t="s">
        <v>22</v>
      </c>
      <c r="F42" s="11"/>
      <c r="G42" s="10"/>
      <c r="H42" s="10"/>
      <c r="I42" s="10"/>
      <c r="J42" s="11"/>
      <c r="K42" s="11"/>
      <c r="L42" s="11"/>
      <c r="M42" s="12"/>
      <c r="S42" s="118">
        <f t="shared" si="0"/>
        <v>3600</v>
      </c>
      <c r="T42" s="41">
        <f t="shared" si="2"/>
        <v>0</v>
      </c>
      <c r="U42" s="41">
        <f t="shared" si="1"/>
        <v>0</v>
      </c>
      <c r="W42" s="41">
        <v>3600</v>
      </c>
      <c r="X42" s="48"/>
      <c r="Y42" s="48"/>
      <c r="Z42" s="48"/>
    </row>
    <row r="43" spans="2:26" ht="7.15" customHeight="1">
      <c r="B43" s="26"/>
      <c r="C43" s="4"/>
      <c r="D43" s="4"/>
      <c r="E43" s="217"/>
      <c r="F43" s="4"/>
      <c r="G43" s="1"/>
      <c r="H43" s="1"/>
      <c r="I43" s="1"/>
      <c r="J43" s="4"/>
      <c r="K43" s="4"/>
      <c r="L43" s="4"/>
      <c r="M43" s="27"/>
      <c r="S43" s="118">
        <f t="shared" si="0"/>
        <v>3800</v>
      </c>
      <c r="T43" s="41">
        <f t="shared" si="2"/>
        <v>0</v>
      </c>
      <c r="U43" s="41">
        <f t="shared" si="1"/>
        <v>0</v>
      </c>
      <c r="W43" s="41">
        <v>3800</v>
      </c>
      <c r="X43" s="48"/>
      <c r="Y43" s="48"/>
      <c r="Z43" s="48"/>
    </row>
    <row r="44" spans="2:26" ht="15">
      <c r="B44" s="35"/>
      <c r="C44" s="36" t="s">
        <v>36</v>
      </c>
      <c r="D44" s="37"/>
      <c r="E44" s="221"/>
      <c r="F44" s="37"/>
      <c r="G44" s="731"/>
      <c r="H44" s="731"/>
      <c r="I44" s="731"/>
      <c r="J44" s="37"/>
      <c r="K44" s="37"/>
      <c r="L44" s="37"/>
      <c r="M44" s="38"/>
      <c r="S44" s="118">
        <f t="shared" si="0"/>
        <v>4000</v>
      </c>
      <c r="T44" s="41">
        <f t="shared" si="2"/>
        <v>0</v>
      </c>
      <c r="U44" s="41">
        <f t="shared" si="1"/>
        <v>0</v>
      </c>
      <c r="W44" s="41">
        <v>4000</v>
      </c>
      <c r="X44" s="48"/>
      <c r="Y44" s="48"/>
      <c r="Z44" s="48"/>
    </row>
    <row r="45" spans="2:26" ht="14.25">
      <c r="B45" s="26"/>
      <c r="C45" s="31" t="s">
        <v>24</v>
      </c>
      <c r="D45" s="10" t="s">
        <v>25</v>
      </c>
      <c r="E45" s="32"/>
      <c r="F45" s="11"/>
      <c r="G45" s="10"/>
      <c r="H45" s="10"/>
      <c r="I45" s="10"/>
      <c r="J45" s="31" t="s">
        <v>26</v>
      </c>
      <c r="K45" s="11"/>
      <c r="L45" s="31" t="s">
        <v>27</v>
      </c>
      <c r="M45" s="12"/>
      <c r="S45" s="118">
        <f>W45</f>
        <v>4200</v>
      </c>
      <c r="T45" s="41">
        <f>IF($I$9&gt;=30000,Z45,IF($I$9&gt;=10000,Y45,X45))</f>
        <v>0</v>
      </c>
      <c r="U45" s="41">
        <f t="shared" si="1"/>
        <v>0</v>
      </c>
      <c r="W45" s="41">
        <v>4200</v>
      </c>
      <c r="X45" s="48"/>
      <c r="Y45" s="48"/>
      <c r="Z45" s="48"/>
    </row>
    <row r="46" spans="2:26" ht="14.25">
      <c r="B46" s="26"/>
      <c r="C46" s="20"/>
      <c r="D46" s="11"/>
      <c r="E46" s="214" t="s">
        <v>28</v>
      </c>
      <c r="F46" s="11"/>
      <c r="G46" s="10" t="s">
        <v>37</v>
      </c>
      <c r="H46" s="10"/>
      <c r="I46" s="10"/>
      <c r="J46" s="11"/>
      <c r="K46" s="11"/>
      <c r="L46" s="11"/>
      <c r="M46" s="12"/>
      <c r="S46" s="118">
        <f>W46</f>
        <v>4400</v>
      </c>
      <c r="T46" s="41">
        <f>IF($I$9&gt;=30000,Z46,IF($I$9&gt;=10000,Y46,X46))</f>
        <v>0</v>
      </c>
      <c r="U46" s="41">
        <f t="shared" si="1"/>
        <v>0</v>
      </c>
      <c r="W46" s="41">
        <v>4400</v>
      </c>
      <c r="X46" s="48"/>
      <c r="Y46" s="48"/>
      <c r="Z46" s="48"/>
    </row>
    <row r="47" spans="2:26" ht="14.25">
      <c r="B47" s="26"/>
      <c r="C47" s="11"/>
      <c r="D47" s="11"/>
      <c r="E47" s="32"/>
      <c r="F47" s="42" t="s">
        <v>30</v>
      </c>
      <c r="G47" s="820"/>
      <c r="H47" s="825"/>
      <c r="I47" s="826"/>
      <c r="J47" s="10" t="s">
        <v>38</v>
      </c>
      <c r="K47" s="11"/>
      <c r="L47" s="120"/>
      <c r="M47" s="12" t="s">
        <v>82</v>
      </c>
      <c r="S47" s="118">
        <f>W47</f>
        <v>4600</v>
      </c>
      <c r="T47" s="41">
        <f>IF($I$9&gt;=30000,Z47,IF($I$9&gt;=10000,Y47,X47))</f>
        <v>0</v>
      </c>
      <c r="U47" s="41">
        <f t="shared" si="1"/>
        <v>0</v>
      </c>
      <c r="W47" s="41">
        <v>4600</v>
      </c>
      <c r="X47" s="48"/>
      <c r="Y47" s="48"/>
      <c r="Z47" s="48"/>
    </row>
    <row r="48" spans="2:26" ht="14.25">
      <c r="B48" s="26"/>
      <c r="C48" s="316"/>
      <c r="D48" s="19">
        <v>0</v>
      </c>
      <c r="E48" s="33" t="s">
        <v>39</v>
      </c>
      <c r="F48" s="34" t="s">
        <v>40</v>
      </c>
      <c r="G48" s="10"/>
      <c r="H48" s="10"/>
      <c r="I48" s="42" t="s">
        <v>357</v>
      </c>
      <c r="J48" s="11"/>
      <c r="K48" s="11"/>
      <c r="L48" s="11"/>
      <c r="M48" s="12"/>
      <c r="S48" s="118">
        <f>W48</f>
        <v>4800</v>
      </c>
      <c r="T48" s="41">
        <f>IF($I$9&gt;=30000,Z48,IF($I$9&gt;=10000,Y48,X48))</f>
        <v>0</v>
      </c>
      <c r="U48" s="41">
        <f t="shared" si="1"/>
        <v>0</v>
      </c>
      <c r="W48" s="41">
        <v>4800</v>
      </c>
      <c r="X48" s="48"/>
      <c r="Y48" s="48"/>
      <c r="Z48" s="48"/>
    </row>
    <row r="49" spans="2:26" ht="14.25" hidden="1">
      <c r="B49" s="26"/>
      <c r="C49" s="11"/>
      <c r="D49" s="32"/>
      <c r="E49" s="32"/>
      <c r="F49" s="42" t="s">
        <v>30</v>
      </c>
      <c r="G49" s="820"/>
      <c r="H49" s="825"/>
      <c r="I49" s="826"/>
      <c r="J49" s="10" t="s">
        <v>41</v>
      </c>
      <c r="K49" s="11"/>
      <c r="L49" s="120"/>
      <c r="M49" s="12" t="s">
        <v>82</v>
      </c>
      <c r="S49" s="118">
        <f t="shared" si="0"/>
        <v>5000</v>
      </c>
      <c r="T49" s="41">
        <f t="shared" si="2"/>
        <v>0</v>
      </c>
      <c r="U49" s="41">
        <f t="shared" si="1"/>
        <v>0</v>
      </c>
      <c r="W49" s="41">
        <v>5000</v>
      </c>
      <c r="X49" s="48"/>
      <c r="Y49" s="48"/>
      <c r="Z49" s="48"/>
    </row>
    <row r="50" spans="2:26" ht="14.25">
      <c r="B50" s="26"/>
      <c r="C50" s="368">
        <v>3</v>
      </c>
      <c r="D50" s="19">
        <v>5</v>
      </c>
      <c r="E50" s="33">
        <v>2.2000000000000002</v>
      </c>
      <c r="F50" s="34" t="s">
        <v>340</v>
      </c>
      <c r="G50" s="10"/>
      <c r="H50" s="10"/>
      <c r="I50" s="42"/>
      <c r="J50" s="11"/>
      <c r="K50" s="11"/>
      <c r="L50" s="11"/>
      <c r="M50" s="12"/>
      <c r="S50" s="118">
        <f t="shared" si="0"/>
        <v>5200</v>
      </c>
      <c r="T50" s="41">
        <f>IF($I$9&gt;=30000,Z50,IF($I$9&gt;=10000,Y50,X50))</f>
        <v>0</v>
      </c>
      <c r="U50" s="41">
        <f t="shared" si="1"/>
        <v>0</v>
      </c>
      <c r="W50" s="41">
        <v>5200</v>
      </c>
      <c r="X50" s="48"/>
      <c r="Y50" s="48"/>
      <c r="Z50" s="48"/>
    </row>
    <row r="51" spans="2:26" ht="14.25">
      <c r="B51" s="26"/>
      <c r="C51" s="11"/>
      <c r="D51" s="32"/>
      <c r="E51" s="32"/>
      <c r="F51" s="42" t="s">
        <v>30</v>
      </c>
      <c r="G51" s="820"/>
      <c r="H51" s="825"/>
      <c r="I51" s="826"/>
      <c r="J51" s="10" t="s">
        <v>367</v>
      </c>
      <c r="K51" s="11"/>
      <c r="L51" s="119"/>
      <c r="M51" s="16" t="s">
        <v>83</v>
      </c>
      <c r="S51" s="118">
        <f t="shared" si="0"/>
        <v>5400</v>
      </c>
      <c r="T51" s="41">
        <f t="shared" si="2"/>
        <v>0</v>
      </c>
      <c r="U51" s="41">
        <f t="shared" si="1"/>
        <v>0</v>
      </c>
      <c r="W51" s="41">
        <v>5400</v>
      </c>
      <c r="X51" s="48"/>
      <c r="Y51" s="48"/>
      <c r="Z51" s="48"/>
    </row>
    <row r="52" spans="2:26" ht="14.25">
      <c r="B52" s="26"/>
      <c r="C52" s="49">
        <v>3</v>
      </c>
      <c r="D52" s="19">
        <v>5</v>
      </c>
      <c r="E52" s="33">
        <v>2.2999999999999998</v>
      </c>
      <c r="F52" s="34" t="s">
        <v>42</v>
      </c>
      <c r="G52" s="10"/>
      <c r="H52" s="10"/>
      <c r="I52" s="10"/>
      <c r="J52" s="11"/>
      <c r="K52" s="11"/>
      <c r="L52" s="11"/>
      <c r="M52" s="12"/>
      <c r="S52" s="121"/>
    </row>
    <row r="53" spans="2:26" ht="14.25">
      <c r="B53" s="26"/>
      <c r="C53" s="11"/>
      <c r="D53" s="32"/>
      <c r="E53" s="32"/>
      <c r="F53" s="42" t="s">
        <v>30</v>
      </c>
      <c r="G53" s="820"/>
      <c r="H53" s="825"/>
      <c r="I53" s="826"/>
      <c r="J53" s="10" t="s">
        <v>43</v>
      </c>
      <c r="K53" s="11"/>
      <c r="L53" s="120"/>
      <c r="M53" s="12" t="s">
        <v>82</v>
      </c>
    </row>
    <row r="54" spans="2:26" ht="14.25">
      <c r="B54" s="26"/>
      <c r="C54" s="56">
        <f>C48+C50+C52</f>
        <v>6</v>
      </c>
      <c r="D54" s="215">
        <f>D48+D50+D52</f>
        <v>10</v>
      </c>
      <c r="E54" s="220" t="s">
        <v>22</v>
      </c>
      <c r="F54" s="11"/>
      <c r="G54" s="1"/>
      <c r="H54" s="1"/>
      <c r="I54" s="1"/>
      <c r="J54" s="11"/>
      <c r="K54" s="11"/>
      <c r="L54" s="11"/>
      <c r="M54" s="12"/>
      <c r="S54" s="41" t="s">
        <v>96</v>
      </c>
      <c r="T54" s="41" t="s">
        <v>101</v>
      </c>
      <c r="U54" s="41" t="s">
        <v>100</v>
      </c>
    </row>
    <row r="55" spans="2:26" ht="7.15" customHeight="1">
      <c r="B55" s="29"/>
      <c r="C55" s="30"/>
      <c r="D55" s="30"/>
      <c r="E55" s="218"/>
      <c r="F55" s="30"/>
      <c r="G55" s="721"/>
      <c r="H55" s="721"/>
      <c r="I55" s="721"/>
      <c r="J55" s="30"/>
      <c r="K55" s="30"/>
      <c r="L55" s="30"/>
      <c r="M55" s="39"/>
      <c r="S55" s="57">
        <v>0</v>
      </c>
      <c r="T55" s="58"/>
      <c r="U55" s="41"/>
    </row>
    <row r="56" spans="2:26" ht="15">
      <c r="B56" s="35"/>
      <c r="C56" s="36" t="s">
        <v>44</v>
      </c>
      <c r="D56" s="37"/>
      <c r="E56" s="221"/>
      <c r="F56" s="37"/>
      <c r="G56" s="731"/>
      <c r="H56" s="731"/>
      <c r="I56" s="731"/>
      <c r="J56" s="37"/>
      <c r="K56" s="37"/>
      <c r="L56" s="37"/>
      <c r="M56" s="38"/>
      <c r="S56" s="57">
        <v>100</v>
      </c>
      <c r="T56" s="58"/>
      <c r="U56" s="41"/>
    </row>
    <row r="57" spans="2:26" ht="14.25">
      <c r="B57" s="26"/>
      <c r="C57" s="31" t="s">
        <v>24</v>
      </c>
      <c r="D57" s="10" t="s">
        <v>25</v>
      </c>
      <c r="E57" s="32"/>
      <c r="F57" s="11"/>
      <c r="G57" s="10"/>
      <c r="H57" s="10"/>
      <c r="I57" s="10"/>
      <c r="J57" s="31" t="s">
        <v>26</v>
      </c>
      <c r="K57" s="11"/>
      <c r="L57" s="31" t="s">
        <v>27</v>
      </c>
      <c r="M57" s="12"/>
      <c r="S57" s="57">
        <v>200</v>
      </c>
      <c r="T57" s="58"/>
      <c r="U57" s="41"/>
    </row>
    <row r="58" spans="2:26" ht="14.25">
      <c r="B58" s="26"/>
      <c r="C58" s="20"/>
      <c r="D58" s="11"/>
      <c r="E58" s="214" t="s">
        <v>28</v>
      </c>
      <c r="F58" s="11"/>
      <c r="G58" s="10" t="s">
        <v>873</v>
      </c>
      <c r="H58" s="10"/>
      <c r="I58" s="10"/>
      <c r="J58" s="11"/>
      <c r="K58" s="11"/>
      <c r="L58" s="11"/>
      <c r="M58" s="12"/>
      <c r="S58" s="57">
        <v>300</v>
      </c>
      <c r="T58" s="58"/>
      <c r="U58" s="41"/>
    </row>
    <row r="59" spans="2:26" ht="13.9" customHeight="1">
      <c r="B59" s="26"/>
      <c r="C59" s="11"/>
      <c r="D59" s="11"/>
      <c r="E59" s="32"/>
      <c r="F59" s="42" t="s">
        <v>30</v>
      </c>
      <c r="G59" s="820"/>
      <c r="H59" s="825"/>
      <c r="I59" s="826"/>
      <c r="J59" s="10" t="s">
        <v>45</v>
      </c>
      <c r="K59" s="11"/>
      <c r="L59" s="11"/>
      <c r="M59" s="12"/>
      <c r="S59" s="57">
        <v>400</v>
      </c>
      <c r="T59" s="58"/>
      <c r="U59" s="41"/>
    </row>
    <row r="60" spans="2:26" ht="14.25">
      <c r="B60" s="26"/>
      <c r="C60" s="56">
        <f>MAX(C61,C63)</f>
        <v>3</v>
      </c>
      <c r="D60" s="19">
        <v>5</v>
      </c>
      <c r="E60" s="33" t="s">
        <v>46</v>
      </c>
      <c r="F60" s="34" t="s">
        <v>358</v>
      </c>
      <c r="G60" s="10"/>
      <c r="H60" s="10"/>
      <c r="I60" s="42" t="s">
        <v>359</v>
      </c>
      <c r="J60" s="11"/>
      <c r="K60" s="11"/>
      <c r="L60" s="11"/>
      <c r="M60" s="12"/>
      <c r="S60" s="57">
        <v>500</v>
      </c>
      <c r="T60" s="58"/>
      <c r="U60" s="41"/>
    </row>
    <row r="61" spans="2:26" ht="14.25">
      <c r="B61" s="26"/>
      <c r="C61" s="49">
        <v>3</v>
      </c>
      <c r="D61" s="51"/>
      <c r="E61" s="52" t="s">
        <v>351</v>
      </c>
      <c r="F61" s="53" t="s">
        <v>111</v>
      </c>
      <c r="G61" s="1"/>
      <c r="H61" s="1"/>
      <c r="I61" s="1"/>
      <c r="J61" s="11"/>
      <c r="K61" s="11"/>
      <c r="L61" s="11"/>
      <c r="M61" s="12"/>
      <c r="S61" s="57">
        <v>600</v>
      </c>
      <c r="T61" s="58"/>
      <c r="U61" s="41"/>
    </row>
    <row r="62" spans="2:26" ht="14.25">
      <c r="B62" s="26"/>
      <c r="D62" s="51"/>
      <c r="E62" s="52"/>
      <c r="F62" s="42" t="s">
        <v>30</v>
      </c>
      <c r="G62" s="820"/>
      <c r="H62" s="825"/>
      <c r="I62" s="826"/>
      <c r="J62" s="11"/>
      <c r="K62" s="11"/>
      <c r="L62" s="11"/>
      <c r="M62" s="12"/>
      <c r="S62" s="57">
        <v>700</v>
      </c>
      <c r="T62" s="58"/>
      <c r="U62" s="41"/>
    </row>
    <row r="63" spans="2:26" ht="14.25">
      <c r="B63" s="26"/>
      <c r="C63" s="49">
        <v>3</v>
      </c>
      <c r="D63" s="51"/>
      <c r="E63" s="216" t="s">
        <v>352</v>
      </c>
      <c r="F63" s="53" t="s">
        <v>373</v>
      </c>
      <c r="G63" s="1"/>
      <c r="H63" s="1"/>
      <c r="I63" s="1"/>
      <c r="J63" s="11"/>
      <c r="K63" s="11"/>
      <c r="L63" s="11"/>
      <c r="M63" s="12"/>
      <c r="S63" s="57">
        <v>800</v>
      </c>
      <c r="T63" s="58"/>
      <c r="U63" s="41"/>
    </row>
    <row r="64" spans="2:26" ht="14.25">
      <c r="B64" s="26"/>
      <c r="D64" s="51"/>
      <c r="E64" s="216"/>
      <c r="F64" s="42" t="s">
        <v>30</v>
      </c>
      <c r="G64" s="820"/>
      <c r="H64" s="825"/>
      <c r="I64" s="826"/>
      <c r="J64" s="11"/>
      <c r="K64" s="11"/>
      <c r="L64" s="11"/>
      <c r="M64" s="12"/>
      <c r="S64" s="57">
        <v>900</v>
      </c>
      <c r="T64" s="58"/>
      <c r="U64" s="41"/>
    </row>
    <row r="65" spans="2:21" ht="14.25">
      <c r="B65" s="26"/>
      <c r="C65" s="581">
        <f>(((C67+C68)/2)+C69)/2+C70</f>
        <v>2.5</v>
      </c>
      <c r="D65" s="19">
        <v>5</v>
      </c>
      <c r="E65" s="33" t="s">
        <v>47</v>
      </c>
      <c r="F65" s="34" t="s">
        <v>342</v>
      </c>
      <c r="G65" s="1"/>
      <c r="H65" s="1"/>
      <c r="I65" s="2" t="s">
        <v>831</v>
      </c>
      <c r="J65" s="11"/>
      <c r="K65" s="11"/>
      <c r="L65" s="11"/>
      <c r="M65" s="12"/>
      <c r="S65" s="57">
        <v>1000</v>
      </c>
      <c r="T65" s="58"/>
      <c r="U65" s="41"/>
    </row>
    <row r="66" spans="2:21" ht="14.25">
      <c r="B66" s="26"/>
      <c r="E66" s="52" t="s">
        <v>343</v>
      </c>
      <c r="F66" s="53" t="s">
        <v>944</v>
      </c>
      <c r="G66" s="10"/>
      <c r="H66" s="10"/>
      <c r="I66" s="42" t="s">
        <v>360</v>
      </c>
      <c r="J66" s="11"/>
      <c r="K66" s="11"/>
      <c r="L66" s="11"/>
      <c r="M66" s="12"/>
      <c r="S66" s="57">
        <v>1100</v>
      </c>
      <c r="T66" s="58"/>
      <c r="U66" s="41"/>
    </row>
    <row r="67" spans="2:21" ht="14.25">
      <c r="B67" s="26"/>
      <c r="C67" s="49">
        <v>3</v>
      </c>
      <c r="D67" s="51"/>
      <c r="E67" s="52" t="s">
        <v>109</v>
      </c>
      <c r="F67" s="53" t="s">
        <v>121</v>
      </c>
      <c r="G67" s="820"/>
      <c r="H67" s="825"/>
      <c r="I67" s="826"/>
      <c r="J67" s="11"/>
      <c r="K67" s="11"/>
      <c r="L67" s="11"/>
      <c r="M67" s="12"/>
      <c r="S67" s="57">
        <v>1200</v>
      </c>
      <c r="T67" s="58"/>
      <c r="U67" s="41"/>
    </row>
    <row r="68" spans="2:21" ht="14.25">
      <c r="B68" s="26"/>
      <c r="C68" s="49">
        <v>1</v>
      </c>
      <c r="D68" s="51"/>
      <c r="E68" s="52" t="s">
        <v>110</v>
      </c>
      <c r="F68" s="53" t="s">
        <v>122</v>
      </c>
      <c r="G68" s="820"/>
      <c r="H68" s="825"/>
      <c r="I68" s="826"/>
      <c r="J68" s="582" t="s">
        <v>107</v>
      </c>
      <c r="K68" s="11"/>
      <c r="L68" s="119"/>
      <c r="M68" s="16" t="s">
        <v>48</v>
      </c>
      <c r="S68" s="57">
        <v>1300</v>
      </c>
      <c r="T68" s="58"/>
      <c r="U68" s="41"/>
    </row>
    <row r="69" spans="2:21" ht="14.25">
      <c r="B69" s="26"/>
      <c r="C69" s="368">
        <v>3</v>
      </c>
      <c r="E69" s="52" t="s">
        <v>344</v>
      </c>
      <c r="F69" s="123" t="s">
        <v>126</v>
      </c>
      <c r="G69" s="1"/>
      <c r="H69" s="1"/>
      <c r="I69" s="42"/>
      <c r="M69" s="16"/>
      <c r="S69" s="57">
        <v>1400</v>
      </c>
      <c r="T69" s="58"/>
      <c r="U69" s="41"/>
    </row>
    <row r="70" spans="2:21" ht="14.25">
      <c r="B70" s="26"/>
      <c r="C70" s="49"/>
      <c r="D70" s="19" t="s">
        <v>72</v>
      </c>
      <c r="E70" s="52"/>
      <c r="F70" s="42" t="s">
        <v>30</v>
      </c>
      <c r="G70" s="848"/>
      <c r="H70" s="849"/>
      <c r="I70" s="850"/>
      <c r="J70" s="10" t="s">
        <v>367</v>
      </c>
      <c r="K70" s="11"/>
      <c r="L70" s="40"/>
      <c r="M70" s="16" t="s">
        <v>114</v>
      </c>
      <c r="S70" s="57">
        <v>1500</v>
      </c>
      <c r="T70" s="58"/>
      <c r="U70" s="41"/>
    </row>
    <row r="71" spans="2:21" ht="14.25">
      <c r="B71" s="26"/>
      <c r="C71" s="49">
        <v>3</v>
      </c>
      <c r="D71" s="19">
        <v>5</v>
      </c>
      <c r="E71" s="33" t="s">
        <v>49</v>
      </c>
      <c r="F71" s="34" t="s">
        <v>50</v>
      </c>
      <c r="G71" s="10"/>
      <c r="H71" s="10"/>
      <c r="I71" s="10"/>
      <c r="J71" s="11"/>
      <c r="K71" s="11"/>
      <c r="L71" s="11"/>
      <c r="M71" s="12"/>
      <c r="S71" s="57">
        <v>1600</v>
      </c>
      <c r="T71" s="58"/>
      <c r="U71" s="41"/>
    </row>
    <row r="72" spans="2:21" ht="14.25">
      <c r="B72" s="26"/>
      <c r="C72" s="11"/>
      <c r="D72" s="32"/>
      <c r="E72" s="32"/>
      <c r="F72" s="42" t="s">
        <v>30</v>
      </c>
      <c r="G72" s="820"/>
      <c r="H72" s="825"/>
      <c r="I72" s="826"/>
      <c r="J72" s="573" t="s">
        <v>112</v>
      </c>
      <c r="K72" s="11"/>
      <c r="L72" s="119"/>
      <c r="M72" s="16" t="s">
        <v>51</v>
      </c>
      <c r="S72" s="57">
        <v>1700</v>
      </c>
      <c r="T72" s="58"/>
      <c r="U72" s="41"/>
    </row>
    <row r="73" spans="2:21" ht="14.25">
      <c r="B73" s="26"/>
      <c r="C73" s="580">
        <f>AVERAGE(C74:C80)</f>
        <v>2.25</v>
      </c>
      <c r="D73" s="19">
        <v>5</v>
      </c>
      <c r="E73" s="33" t="s">
        <v>52</v>
      </c>
      <c r="F73" s="583" t="s">
        <v>833</v>
      </c>
      <c r="G73" s="724"/>
      <c r="H73" s="724"/>
      <c r="I73" s="732"/>
      <c r="K73" s="584" t="s">
        <v>832</v>
      </c>
      <c r="L73" s="11"/>
      <c r="M73" s="12"/>
      <c r="S73" s="57">
        <v>1800</v>
      </c>
      <c r="T73" s="58"/>
      <c r="U73" s="41"/>
    </row>
    <row r="74" spans="2:21" ht="14.25">
      <c r="B74" s="26"/>
      <c r="C74" s="49">
        <v>3</v>
      </c>
      <c r="D74" s="51"/>
      <c r="E74" s="52" t="s">
        <v>353</v>
      </c>
      <c r="F74" s="53" t="s">
        <v>350</v>
      </c>
      <c r="G74" s="1"/>
      <c r="H74" s="1"/>
      <c r="I74" s="1"/>
      <c r="M74" s="12"/>
      <c r="S74" s="57">
        <v>1900</v>
      </c>
      <c r="T74" s="58"/>
      <c r="U74" s="41"/>
    </row>
    <row r="75" spans="2:21" ht="14.25">
      <c r="B75" s="26"/>
      <c r="D75" s="51"/>
      <c r="E75" s="52"/>
      <c r="F75" s="42" t="s">
        <v>30</v>
      </c>
      <c r="G75" s="820"/>
      <c r="H75" s="825"/>
      <c r="I75" s="826"/>
      <c r="J75" s="10" t="s">
        <v>116</v>
      </c>
      <c r="K75" s="11"/>
      <c r="L75" s="119"/>
      <c r="M75" s="16" t="s">
        <v>115</v>
      </c>
      <c r="S75" s="57">
        <v>2000</v>
      </c>
      <c r="T75" s="58"/>
      <c r="U75" s="41"/>
    </row>
    <row r="76" spans="2:21" ht="14.25">
      <c r="B76" s="26"/>
      <c r="C76" s="49">
        <v>1</v>
      </c>
      <c r="D76" s="51"/>
      <c r="E76" s="52" t="s">
        <v>354</v>
      </c>
      <c r="F76" s="53" t="s">
        <v>349</v>
      </c>
      <c r="G76" s="1"/>
      <c r="H76" s="1"/>
      <c r="I76" s="1"/>
      <c r="J76" s="10"/>
      <c r="K76" s="11"/>
      <c r="M76" s="16"/>
      <c r="S76" s="57">
        <v>2100</v>
      </c>
      <c r="T76" s="58"/>
      <c r="U76" s="41"/>
    </row>
    <row r="77" spans="2:21" ht="14.25">
      <c r="B77" s="26"/>
      <c r="D77" s="51"/>
      <c r="E77" s="52"/>
      <c r="F77" s="42" t="s">
        <v>361</v>
      </c>
      <c r="G77" s="820"/>
      <c r="H77" s="825"/>
      <c r="I77" s="826"/>
      <c r="J77" s="10" t="s">
        <v>84</v>
      </c>
      <c r="K77" s="11"/>
      <c r="L77" s="119"/>
      <c r="M77" s="16" t="s">
        <v>83</v>
      </c>
      <c r="S77" s="57"/>
      <c r="T77" s="58"/>
      <c r="U77" s="41"/>
    </row>
    <row r="78" spans="2:21" ht="14.25">
      <c r="B78" s="26"/>
      <c r="C78" s="49">
        <v>2</v>
      </c>
      <c r="D78" s="51"/>
      <c r="E78" s="52" t="s">
        <v>355</v>
      </c>
      <c r="F78" s="53" t="s">
        <v>113</v>
      </c>
      <c r="G78" s="1"/>
      <c r="H78" s="1"/>
      <c r="I78" s="1"/>
      <c r="J78" s="10"/>
      <c r="K78" s="11"/>
      <c r="M78" s="16"/>
      <c r="S78" s="57"/>
      <c r="T78" s="58"/>
      <c r="U78" s="41"/>
    </row>
    <row r="79" spans="2:21" ht="14.25">
      <c r="B79" s="26"/>
      <c r="D79" s="51"/>
      <c r="E79" s="52"/>
      <c r="F79" s="42" t="s">
        <v>30</v>
      </c>
      <c r="G79" s="820"/>
      <c r="H79" s="825"/>
      <c r="I79" s="826"/>
      <c r="J79" s="10" t="s">
        <v>85</v>
      </c>
      <c r="K79" s="11"/>
      <c r="L79" s="119"/>
      <c r="M79" s="16" t="s">
        <v>114</v>
      </c>
      <c r="S79" s="57">
        <v>2200</v>
      </c>
      <c r="T79" s="58"/>
      <c r="U79" s="41"/>
    </row>
    <row r="80" spans="2:21" ht="14.25">
      <c r="B80" s="26"/>
      <c r="C80" s="368">
        <v>3</v>
      </c>
      <c r="D80" s="51"/>
      <c r="E80" s="52" t="s">
        <v>381</v>
      </c>
      <c r="F80" s="53" t="s">
        <v>943</v>
      </c>
      <c r="G80" s="1"/>
      <c r="H80" s="1"/>
      <c r="I80" s="1"/>
      <c r="M80" s="16"/>
      <c r="S80" s="57">
        <v>2300</v>
      </c>
      <c r="T80" s="58"/>
      <c r="U80" s="41"/>
    </row>
    <row r="81" spans="2:22" ht="16.149999999999999" customHeight="1">
      <c r="B81" s="26"/>
      <c r="D81" s="51"/>
      <c r="E81" s="52"/>
      <c r="F81" s="42" t="s">
        <v>30</v>
      </c>
      <c r="G81" s="820"/>
      <c r="H81" s="825"/>
      <c r="I81" s="826"/>
      <c r="J81" s="10"/>
      <c r="K81" s="11"/>
      <c r="M81" s="16"/>
      <c r="S81" s="57">
        <v>2400</v>
      </c>
      <c r="T81" s="58"/>
      <c r="U81" s="41"/>
    </row>
    <row r="82" spans="2:22" ht="14.25">
      <c r="B82" s="26"/>
      <c r="C82" s="56">
        <f>C60+C65+C71+C73</f>
        <v>10.75</v>
      </c>
      <c r="D82" s="215">
        <v>20</v>
      </c>
      <c r="E82" s="220" t="s">
        <v>22</v>
      </c>
      <c r="F82" s="11"/>
      <c r="G82" s="10"/>
      <c r="H82" s="10"/>
      <c r="I82" s="10"/>
      <c r="J82" s="11"/>
      <c r="K82" s="11"/>
      <c r="L82" s="11"/>
      <c r="M82" s="12"/>
      <c r="S82" s="57">
        <v>2500</v>
      </c>
      <c r="T82" s="58"/>
      <c r="U82" s="41"/>
    </row>
    <row r="83" spans="2:22" ht="6.6" customHeight="1">
      <c r="B83" s="29"/>
      <c r="C83" s="30"/>
      <c r="D83" s="30"/>
      <c r="E83" s="218"/>
      <c r="F83" s="30"/>
      <c r="G83" s="721"/>
      <c r="H83" s="721"/>
      <c r="I83" s="721"/>
      <c r="J83" s="30"/>
      <c r="K83" s="30"/>
      <c r="L83" s="30"/>
      <c r="M83" s="39"/>
      <c r="S83" s="57">
        <v>2600</v>
      </c>
      <c r="T83" s="58"/>
      <c r="U83" s="41"/>
    </row>
    <row r="84" spans="2:22" ht="14.25" customHeight="1">
      <c r="B84" s="5"/>
      <c r="C84" s="6" t="s">
        <v>53</v>
      </c>
      <c r="D84" s="7"/>
      <c r="E84" s="219"/>
      <c r="F84" s="7"/>
      <c r="G84" s="733"/>
      <c r="H84" s="733"/>
      <c r="I84" s="733"/>
      <c r="J84" s="7"/>
      <c r="K84" s="7"/>
      <c r="L84" s="7"/>
      <c r="M84" s="8"/>
      <c r="P84" s="718" t="s">
        <v>95</v>
      </c>
      <c r="Q84" s="332"/>
    </row>
    <row r="85" spans="2:22" ht="14.25" customHeight="1">
      <c r="B85" s="26"/>
      <c r="C85" s="31" t="s">
        <v>24</v>
      </c>
      <c r="D85" s="10" t="s">
        <v>25</v>
      </c>
      <c r="E85" s="32"/>
      <c r="F85" s="11"/>
      <c r="G85" s="10"/>
      <c r="H85" s="10"/>
      <c r="I85" s="10"/>
      <c r="J85" s="31" t="s">
        <v>26</v>
      </c>
      <c r="K85" s="11"/>
      <c r="L85" s="31" t="s">
        <v>27</v>
      </c>
      <c r="M85" s="12"/>
      <c r="P85" s="802"/>
      <c r="Q85" s="803"/>
    </row>
    <row r="86" spans="2:22" ht="14.25" customHeight="1">
      <c r="B86" s="26"/>
      <c r="C86" s="20"/>
      <c r="D86" s="11"/>
      <c r="E86" s="214" t="s">
        <v>28</v>
      </c>
      <c r="F86" s="11"/>
      <c r="G86" s="10" t="s">
        <v>376</v>
      </c>
      <c r="H86" s="10"/>
      <c r="I86" s="10"/>
      <c r="J86" s="11"/>
      <c r="K86" s="11"/>
      <c r="L86" s="11"/>
      <c r="M86" s="12"/>
      <c r="P86" s="802"/>
      <c r="Q86" s="803"/>
      <c r="S86" s="59"/>
      <c r="T86" s="122"/>
      <c r="V86" s="46"/>
    </row>
    <row r="87" spans="2:22" ht="14.25" customHeight="1">
      <c r="B87" s="26"/>
      <c r="C87" s="11"/>
      <c r="D87" s="11"/>
      <c r="E87" s="32"/>
      <c r="F87" s="42" t="s">
        <v>30</v>
      </c>
      <c r="G87" s="820"/>
      <c r="H87" s="825"/>
      <c r="I87" s="826"/>
      <c r="J87" s="10" t="s">
        <v>45</v>
      </c>
      <c r="K87" s="11"/>
      <c r="L87" s="11"/>
      <c r="M87" s="12"/>
      <c r="P87" s="802"/>
      <c r="Q87" s="803"/>
      <c r="S87" s="59"/>
      <c r="T87" s="122"/>
    </row>
    <row r="88" spans="2:22" ht="14.25" customHeight="1">
      <c r="B88" s="26"/>
      <c r="C88" s="49">
        <v>3</v>
      </c>
      <c r="D88" s="19">
        <f>IF(AND(C90&lt;&gt;"",C90=0),10,5)</f>
        <v>5</v>
      </c>
      <c r="E88" s="33" t="s">
        <v>54</v>
      </c>
      <c r="F88" s="34" t="s">
        <v>55</v>
      </c>
      <c r="G88" s="10"/>
      <c r="H88" s="10"/>
      <c r="I88" s="10"/>
      <c r="J88" s="11"/>
      <c r="K88" s="11"/>
      <c r="L88" s="11"/>
      <c r="M88" s="12"/>
      <c r="P88" s="802"/>
      <c r="Q88" s="803"/>
    </row>
    <row r="89" spans="2:22" ht="14.25" customHeight="1">
      <c r="B89" s="26"/>
      <c r="C89" s="11"/>
      <c r="D89" s="181" t="s">
        <v>319</v>
      </c>
      <c r="E89" s="42"/>
      <c r="F89" s="42" t="s">
        <v>30</v>
      </c>
      <c r="G89" s="820"/>
      <c r="H89" s="825"/>
      <c r="I89" s="826"/>
      <c r="J89" s="573" t="s">
        <v>118</v>
      </c>
      <c r="K89" s="11"/>
      <c r="L89" s="119"/>
      <c r="M89" s="16" t="s">
        <v>114</v>
      </c>
      <c r="P89" s="802"/>
      <c r="Q89" s="803"/>
    </row>
    <row r="90" spans="2:22" ht="14.25" customHeight="1">
      <c r="B90" s="26"/>
      <c r="C90" s="49">
        <v>3</v>
      </c>
      <c r="D90" s="19">
        <f>IF(AND(C90&lt;&gt;"",C90=0),0,5)</f>
        <v>5</v>
      </c>
      <c r="E90" s="33" t="s">
        <v>56</v>
      </c>
      <c r="F90" s="34" t="s">
        <v>57</v>
      </c>
      <c r="G90" s="10"/>
      <c r="H90" s="10"/>
      <c r="I90" s="10"/>
      <c r="J90" s="11"/>
      <c r="K90" s="11"/>
      <c r="L90" s="11"/>
      <c r="M90" s="12"/>
      <c r="P90" s="802"/>
      <c r="Q90" s="803"/>
    </row>
    <row r="91" spans="2:22" ht="14.25" customHeight="1">
      <c r="B91" s="26"/>
      <c r="C91" s="11"/>
      <c r="D91" s="32" t="s">
        <v>117</v>
      </c>
      <c r="E91" s="32"/>
      <c r="F91" s="42" t="s">
        <v>30</v>
      </c>
      <c r="G91" s="820"/>
      <c r="H91" s="825"/>
      <c r="I91" s="826"/>
      <c r="J91" s="10" t="s">
        <v>45</v>
      </c>
      <c r="K91" s="11"/>
      <c r="L91" s="11"/>
      <c r="M91" s="12"/>
      <c r="P91" s="802"/>
      <c r="Q91" s="803"/>
    </row>
    <row r="92" spans="2:22" ht="14.25">
      <c r="B92" s="26"/>
      <c r="C92" s="56">
        <f>AVERAGE(C93:C95)</f>
        <v>3</v>
      </c>
      <c r="D92" s="19">
        <v>5</v>
      </c>
      <c r="E92" s="33" t="s">
        <v>58</v>
      </c>
      <c r="F92" s="34" t="s">
        <v>345</v>
      </c>
      <c r="G92" s="10"/>
      <c r="H92" s="10"/>
      <c r="I92" s="10"/>
      <c r="J92" s="11"/>
      <c r="K92" s="11"/>
      <c r="L92" s="11"/>
      <c r="M92" s="12"/>
      <c r="P92" s="802"/>
      <c r="Q92" s="803"/>
    </row>
    <row r="93" spans="2:22" ht="14.25">
      <c r="B93" s="26"/>
      <c r="C93" s="49">
        <v>3</v>
      </c>
      <c r="D93" s="51"/>
      <c r="E93" s="52" t="s">
        <v>346</v>
      </c>
      <c r="F93" s="53" t="s">
        <v>347</v>
      </c>
      <c r="G93" s="10"/>
      <c r="H93" s="10"/>
      <c r="I93" s="10"/>
      <c r="J93" s="11"/>
      <c r="K93" s="11"/>
      <c r="L93" s="11"/>
      <c r="M93" s="12"/>
      <c r="P93" s="802"/>
      <c r="Q93" s="803"/>
    </row>
    <row r="94" spans="2:22" ht="14.25">
      <c r="B94" s="26"/>
      <c r="D94" s="51"/>
      <c r="E94" s="33"/>
      <c r="F94" s="42" t="s">
        <v>30</v>
      </c>
      <c r="G94" s="820"/>
      <c r="H94" s="825"/>
      <c r="I94" s="826"/>
      <c r="J94" s="573" t="s">
        <v>368</v>
      </c>
      <c r="K94" s="11"/>
      <c r="L94" s="119"/>
      <c r="M94" s="16" t="s">
        <v>369</v>
      </c>
      <c r="P94" s="802"/>
      <c r="Q94" s="803"/>
    </row>
    <row r="95" spans="2:22" ht="14.25" customHeight="1">
      <c r="B95" s="26"/>
      <c r="C95" s="11"/>
      <c r="D95" s="51"/>
      <c r="E95" s="52" t="s">
        <v>348</v>
      </c>
      <c r="F95" s="53" t="s">
        <v>377</v>
      </c>
      <c r="G95" s="10"/>
      <c r="H95" s="10"/>
      <c r="I95" s="42" t="s">
        <v>357</v>
      </c>
      <c r="J95" s="11"/>
      <c r="K95" s="11"/>
      <c r="L95" s="11"/>
      <c r="M95" s="12"/>
      <c r="P95" s="802"/>
      <c r="Q95" s="803"/>
    </row>
    <row r="96" spans="2:22" ht="14.25" hidden="1" customHeight="1">
      <c r="B96" s="26"/>
      <c r="C96" s="11"/>
      <c r="D96" s="32"/>
      <c r="E96" s="32"/>
      <c r="F96" s="42" t="s">
        <v>30</v>
      </c>
      <c r="G96" s="820"/>
      <c r="H96" s="825"/>
      <c r="I96" s="826"/>
      <c r="J96" s="10" t="s">
        <v>367</v>
      </c>
      <c r="K96" s="11"/>
      <c r="L96" s="119"/>
      <c r="M96" s="16" t="s">
        <v>83</v>
      </c>
      <c r="P96" s="802"/>
      <c r="Q96" s="803"/>
    </row>
    <row r="97" spans="2:17" ht="14.25" customHeight="1">
      <c r="B97" s="26"/>
      <c r="C97" s="49">
        <v>3</v>
      </c>
      <c r="D97" s="19">
        <v>5</v>
      </c>
      <c r="E97" s="33" t="s">
        <v>59</v>
      </c>
      <c r="F97" s="34" t="s">
        <v>60</v>
      </c>
      <c r="G97" s="10"/>
      <c r="H97" s="10"/>
      <c r="I97" s="10"/>
      <c r="J97" s="11"/>
      <c r="K97" s="11"/>
      <c r="L97" s="11"/>
      <c r="M97" s="12"/>
      <c r="P97" s="804"/>
      <c r="Q97" s="805"/>
    </row>
    <row r="98" spans="2:17" ht="14.25" customHeight="1">
      <c r="B98" s="26"/>
      <c r="C98" s="11"/>
      <c r="D98" s="32"/>
      <c r="E98" s="32"/>
      <c r="F98" s="42" t="s">
        <v>30</v>
      </c>
      <c r="G98" s="823"/>
      <c r="H98" s="833"/>
      <c r="I98" s="834"/>
      <c r="J98" s="10" t="s">
        <v>86</v>
      </c>
      <c r="K98" s="11"/>
      <c r="L98" s="119"/>
      <c r="M98" s="16" t="s">
        <v>87</v>
      </c>
    </row>
    <row r="99" spans="2:17" ht="14.25">
      <c r="B99" s="26"/>
      <c r="C99" s="11"/>
      <c r="D99" s="11"/>
      <c r="E99" s="32"/>
      <c r="F99" s="11"/>
      <c r="G99" s="845"/>
      <c r="H99" s="846"/>
      <c r="I99" s="847"/>
      <c r="J99" s="11"/>
      <c r="K99" s="11"/>
      <c r="L99" s="11"/>
      <c r="M99" s="12"/>
    </row>
    <row r="100" spans="2:17" ht="14.25" customHeight="1">
      <c r="B100" s="26"/>
      <c r="C100" s="56">
        <f>C88+C90+C92+C97</f>
        <v>12</v>
      </c>
      <c r="D100" s="215">
        <f>D88+D90+D92+D97</f>
        <v>20</v>
      </c>
      <c r="E100" s="220" t="s">
        <v>22</v>
      </c>
      <c r="F100" s="11"/>
      <c r="G100" s="10"/>
      <c r="H100" s="10"/>
      <c r="I100" s="10"/>
      <c r="J100" s="11"/>
      <c r="K100" s="11"/>
      <c r="L100" s="11"/>
      <c r="M100" s="12"/>
    </row>
    <row r="101" spans="2:17" ht="6" customHeight="1">
      <c r="B101" s="26"/>
      <c r="C101" s="4"/>
      <c r="D101" s="4"/>
      <c r="E101" s="217"/>
      <c r="F101" s="4"/>
      <c r="G101" s="1"/>
      <c r="H101" s="1"/>
      <c r="I101" s="1"/>
      <c r="J101" s="4"/>
      <c r="K101" s="4"/>
      <c r="L101" s="4"/>
      <c r="M101" s="27"/>
    </row>
    <row r="102" spans="2:17" ht="14.25" customHeight="1">
      <c r="B102" s="35"/>
      <c r="C102" s="36" t="s">
        <v>61</v>
      </c>
      <c r="D102" s="37"/>
      <c r="E102" s="221"/>
      <c r="F102" s="37"/>
      <c r="G102" s="731"/>
      <c r="H102" s="731"/>
      <c r="I102" s="731"/>
      <c r="J102" s="37"/>
      <c r="K102" s="37"/>
      <c r="L102" s="37"/>
      <c r="M102" s="38"/>
      <c r="N102" s="1"/>
    </row>
    <row r="103" spans="2:17" ht="15" customHeight="1">
      <c r="B103" s="26"/>
      <c r="C103" s="31" t="s">
        <v>24</v>
      </c>
      <c r="D103" s="10" t="s">
        <v>25</v>
      </c>
      <c r="E103" s="32"/>
      <c r="F103" s="11"/>
      <c r="G103" s="10"/>
      <c r="H103" s="10"/>
      <c r="I103" s="10"/>
      <c r="J103" s="31" t="s">
        <v>26</v>
      </c>
      <c r="K103" s="11"/>
      <c r="L103" s="31" t="s">
        <v>27</v>
      </c>
      <c r="M103" s="12"/>
      <c r="N103" s="1"/>
    </row>
    <row r="104" spans="2:17" ht="15" customHeight="1">
      <c r="B104" s="26"/>
      <c r="C104" s="20"/>
      <c r="D104" s="11"/>
      <c r="E104" s="214" t="s">
        <v>28</v>
      </c>
      <c r="F104" s="11"/>
      <c r="G104" s="10" t="s">
        <v>371</v>
      </c>
      <c r="H104" s="10"/>
      <c r="I104" s="10"/>
      <c r="J104" s="11"/>
      <c r="K104" s="11"/>
      <c r="L104" s="11"/>
      <c r="M104" s="12"/>
      <c r="N104" s="1"/>
    </row>
    <row r="105" spans="2:17" ht="15" customHeight="1">
      <c r="B105" s="26"/>
      <c r="C105" s="11"/>
      <c r="D105" s="11"/>
      <c r="E105" s="32"/>
      <c r="F105" s="42" t="s">
        <v>30</v>
      </c>
      <c r="G105" s="823"/>
      <c r="H105" s="833"/>
      <c r="I105" s="834"/>
      <c r="J105" s="10" t="s">
        <v>45</v>
      </c>
      <c r="K105" s="11"/>
      <c r="L105" s="11"/>
      <c r="M105" s="12"/>
      <c r="N105" s="1"/>
    </row>
    <row r="106" spans="2:17" ht="15" customHeight="1">
      <c r="B106" s="26"/>
      <c r="C106" s="11"/>
      <c r="D106" s="11"/>
      <c r="E106" s="32"/>
      <c r="F106" s="11"/>
      <c r="G106" s="845"/>
      <c r="H106" s="846"/>
      <c r="I106" s="847"/>
      <c r="J106" s="11"/>
      <c r="K106" s="11"/>
      <c r="L106" s="11"/>
      <c r="M106" s="12"/>
      <c r="N106" s="1"/>
    </row>
    <row r="107" spans="2:17" ht="15" customHeight="1">
      <c r="B107" s="26"/>
      <c r="C107" s="317"/>
      <c r="D107" s="318"/>
      <c r="E107" s="33" t="s">
        <v>62</v>
      </c>
      <c r="F107" s="34" t="s">
        <v>563</v>
      </c>
      <c r="G107" s="10"/>
      <c r="H107" s="10"/>
      <c r="I107" s="10"/>
      <c r="J107" s="11"/>
      <c r="K107" s="11"/>
      <c r="L107" s="11"/>
      <c r="M107" s="12"/>
      <c r="N107" s="1"/>
    </row>
    <row r="108" spans="2:17" ht="15" customHeight="1">
      <c r="B108" s="26"/>
      <c r="C108" s="580">
        <f>IF(C109*2/3+C111*1/3&gt;D108,D108,C109*2/3+C111*1/3)</f>
        <v>1.6666666666666665</v>
      </c>
      <c r="D108" s="333">
        <v>3</v>
      </c>
      <c r="E108" s="33" t="s">
        <v>362</v>
      </c>
      <c r="F108" s="34" t="s">
        <v>301</v>
      </c>
      <c r="G108" s="10"/>
      <c r="H108" s="10"/>
      <c r="I108" s="42" t="s">
        <v>945</v>
      </c>
      <c r="J108" s="11"/>
      <c r="K108" s="11"/>
      <c r="L108" s="11"/>
      <c r="M108" s="12"/>
      <c r="N108" s="1"/>
    </row>
    <row r="109" spans="2:17" ht="15" customHeight="1">
      <c r="B109" s="26"/>
      <c r="C109" s="368">
        <v>2</v>
      </c>
      <c r="D109" s="51"/>
      <c r="E109" s="52" t="s">
        <v>564</v>
      </c>
      <c r="F109" s="53" t="s">
        <v>123</v>
      </c>
      <c r="G109" s="1"/>
      <c r="H109" s="1"/>
      <c r="I109" s="1"/>
      <c r="M109" s="12"/>
      <c r="N109" s="1"/>
    </row>
    <row r="110" spans="2:17" ht="15" customHeight="1">
      <c r="B110" s="26"/>
      <c r="D110" s="51"/>
      <c r="E110" s="52"/>
      <c r="F110" s="42" t="s">
        <v>30</v>
      </c>
      <c r="G110" s="820"/>
      <c r="H110" s="825"/>
      <c r="I110" s="826"/>
      <c r="J110" s="10" t="s">
        <v>63</v>
      </c>
      <c r="K110" s="11"/>
      <c r="L110" s="120"/>
      <c r="M110" s="16" t="s">
        <v>64</v>
      </c>
      <c r="N110" s="1"/>
    </row>
    <row r="111" spans="2:17" ht="15" customHeight="1">
      <c r="B111" s="26"/>
      <c r="C111" s="368">
        <v>1</v>
      </c>
      <c r="D111" s="51"/>
      <c r="E111" s="52" t="s">
        <v>565</v>
      </c>
      <c r="F111" s="53" t="s">
        <v>119</v>
      </c>
      <c r="G111" s="1"/>
      <c r="H111" s="1"/>
      <c r="I111" s="1"/>
      <c r="M111" s="12"/>
      <c r="N111" s="1"/>
    </row>
    <row r="112" spans="2:17" ht="15" customHeight="1">
      <c r="B112" s="26"/>
      <c r="C112" s="11"/>
      <c r="D112" s="51"/>
      <c r="E112" s="52"/>
      <c r="F112" s="42" t="s">
        <v>30</v>
      </c>
      <c r="G112" s="820"/>
      <c r="H112" s="825"/>
      <c r="I112" s="826"/>
      <c r="J112" s="10" t="s">
        <v>88</v>
      </c>
      <c r="K112" s="11"/>
      <c r="L112" s="119"/>
      <c r="M112" s="16" t="s">
        <v>87</v>
      </c>
      <c r="N112" s="1"/>
    </row>
    <row r="113" spans="2:17" ht="15" customHeight="1">
      <c r="B113" s="26"/>
      <c r="C113" s="368">
        <v>1</v>
      </c>
      <c r="D113" s="19">
        <v>3</v>
      </c>
      <c r="E113" s="33" t="s">
        <v>363</v>
      </c>
      <c r="F113" s="34" t="s">
        <v>566</v>
      </c>
      <c r="G113" s="10"/>
      <c r="H113" s="10"/>
      <c r="I113" s="10"/>
      <c r="J113" s="11"/>
      <c r="K113" s="11"/>
      <c r="L113" s="11"/>
      <c r="M113" s="12"/>
      <c r="N113" s="1"/>
    </row>
    <row r="114" spans="2:17" ht="15" customHeight="1">
      <c r="B114" s="26"/>
      <c r="C114" s="11"/>
      <c r="D114" s="32"/>
      <c r="E114" s="32"/>
      <c r="F114" s="42" t="s">
        <v>30</v>
      </c>
      <c r="G114" s="820"/>
      <c r="H114" s="825"/>
      <c r="I114" s="826"/>
      <c r="J114" s="10"/>
      <c r="K114" s="11"/>
      <c r="L114" s="11"/>
      <c r="M114" s="16"/>
      <c r="N114" s="1"/>
    </row>
    <row r="115" spans="2:17" ht="15" customHeight="1">
      <c r="B115" s="26"/>
      <c r="C115" s="368">
        <v>2</v>
      </c>
      <c r="D115" s="19">
        <v>3</v>
      </c>
      <c r="E115" s="33" t="s">
        <v>567</v>
      </c>
      <c r="F115" s="34" t="s">
        <v>568</v>
      </c>
      <c r="G115" s="10"/>
      <c r="H115" s="10"/>
      <c r="I115" s="10"/>
      <c r="J115" s="11"/>
      <c r="K115" s="11"/>
      <c r="L115" s="11"/>
      <c r="M115" s="12"/>
      <c r="N115" s="1"/>
    </row>
    <row r="116" spans="2:17" ht="15" customHeight="1">
      <c r="B116" s="26"/>
      <c r="C116" s="11"/>
      <c r="D116" s="32"/>
      <c r="E116" s="32"/>
      <c r="F116" s="42" t="s">
        <v>30</v>
      </c>
      <c r="G116" s="844"/>
      <c r="H116" s="781"/>
      <c r="I116" s="782"/>
      <c r="J116" s="10" t="s">
        <v>89</v>
      </c>
      <c r="K116" s="11"/>
      <c r="L116" s="120"/>
      <c r="M116" s="16" t="s">
        <v>90</v>
      </c>
      <c r="N116" s="1"/>
    </row>
    <row r="117" spans="2:17" ht="15" customHeight="1">
      <c r="B117" s="26"/>
      <c r="C117" s="11"/>
      <c r="D117" s="712"/>
      <c r="E117" s="33">
        <v>5.2</v>
      </c>
      <c r="F117" s="34" t="s">
        <v>569</v>
      </c>
      <c r="G117" s="10"/>
      <c r="H117" s="10"/>
      <c r="I117" s="10"/>
      <c r="J117" s="11"/>
      <c r="K117" s="11"/>
      <c r="L117" s="11"/>
      <c r="M117" s="12"/>
      <c r="N117" s="1"/>
    </row>
    <row r="118" spans="2:17" ht="15" customHeight="1">
      <c r="B118" s="26"/>
      <c r="C118" s="368">
        <v>1</v>
      </c>
      <c r="D118" s="19">
        <v>2</v>
      </c>
      <c r="E118" s="52" t="s">
        <v>570</v>
      </c>
      <c r="F118" s="53" t="s">
        <v>571</v>
      </c>
      <c r="G118" s="1"/>
      <c r="H118" s="1"/>
      <c r="I118" s="1"/>
      <c r="L118" s="11"/>
      <c r="M118" s="12"/>
      <c r="N118" s="1"/>
    </row>
    <row r="119" spans="2:17" ht="14.25">
      <c r="B119" s="26"/>
      <c r="C119" s="11"/>
      <c r="D119" s="51"/>
      <c r="E119" s="52"/>
      <c r="F119" s="42" t="s">
        <v>30</v>
      </c>
      <c r="G119" s="820"/>
      <c r="H119" s="825"/>
      <c r="I119" s="826"/>
      <c r="J119" s="10"/>
      <c r="K119" s="11"/>
      <c r="L119" s="11"/>
      <c r="M119" s="16"/>
      <c r="N119" s="1"/>
      <c r="P119" s="319"/>
      <c r="Q119" s="319"/>
    </row>
    <row r="120" spans="2:17" ht="14.25">
      <c r="B120" s="26"/>
      <c r="C120" s="368">
        <v>1</v>
      </c>
      <c r="D120" s="19">
        <v>2</v>
      </c>
      <c r="E120" s="52" t="s">
        <v>572</v>
      </c>
      <c r="F120" s="53" t="s">
        <v>573</v>
      </c>
      <c r="G120" s="1"/>
      <c r="H120" s="1"/>
      <c r="I120" s="1"/>
      <c r="L120" s="11"/>
      <c r="M120" s="12"/>
    </row>
    <row r="121" spans="2:17" ht="14.25">
      <c r="B121" s="26"/>
      <c r="C121" s="11"/>
      <c r="D121" s="51"/>
      <c r="E121" s="52"/>
      <c r="F121" s="42" t="s">
        <v>30</v>
      </c>
      <c r="G121" s="820"/>
      <c r="H121" s="825"/>
      <c r="I121" s="826"/>
      <c r="J121" s="10"/>
      <c r="K121" s="11"/>
      <c r="L121" s="11"/>
      <c r="M121" s="16"/>
    </row>
    <row r="122" spans="2:17" ht="14.25">
      <c r="B122" s="26"/>
      <c r="C122" s="368">
        <v>1</v>
      </c>
      <c r="D122" s="19">
        <v>2</v>
      </c>
      <c r="E122" s="52" t="s">
        <v>574</v>
      </c>
      <c r="F122" s="53" t="s">
        <v>575</v>
      </c>
      <c r="G122" s="1"/>
      <c r="H122" s="1"/>
      <c r="I122" s="1"/>
      <c r="L122" s="11"/>
      <c r="M122" s="12"/>
    </row>
    <row r="123" spans="2:17" ht="14.25">
      <c r="B123" s="26"/>
      <c r="C123" s="11"/>
      <c r="D123" s="51"/>
      <c r="E123" s="52"/>
      <c r="F123" s="42" t="s">
        <v>30</v>
      </c>
      <c r="G123" s="820"/>
      <c r="H123" s="825"/>
      <c r="I123" s="826"/>
      <c r="J123" s="10"/>
      <c r="K123" s="11"/>
      <c r="L123" s="11"/>
      <c r="M123" s="16"/>
    </row>
    <row r="124" spans="2:17" ht="14.25">
      <c r="B124" s="26"/>
      <c r="C124" s="368">
        <v>1</v>
      </c>
      <c r="D124" s="19">
        <v>2</v>
      </c>
      <c r="E124" s="52" t="s">
        <v>576</v>
      </c>
      <c r="F124" s="53" t="s">
        <v>577</v>
      </c>
      <c r="G124" s="1"/>
      <c r="H124" s="1"/>
      <c r="I124" s="1"/>
      <c r="L124" s="11"/>
      <c r="M124" s="12"/>
    </row>
    <row r="125" spans="2:17" ht="14.25">
      <c r="B125" s="26"/>
      <c r="C125" s="11"/>
      <c r="D125" s="51"/>
      <c r="E125" s="52"/>
      <c r="F125" s="42" t="s">
        <v>30</v>
      </c>
      <c r="G125" s="820"/>
      <c r="H125" s="825"/>
      <c r="I125" s="826"/>
      <c r="J125" s="10"/>
      <c r="K125" s="11"/>
      <c r="L125" s="11"/>
      <c r="M125" s="16"/>
    </row>
    <row r="126" spans="2:17" ht="14.25">
      <c r="B126" s="26"/>
      <c r="C126" s="368">
        <v>1</v>
      </c>
      <c r="D126" s="19">
        <v>3</v>
      </c>
      <c r="E126" s="33">
        <v>5.3</v>
      </c>
      <c r="F126" s="34" t="s">
        <v>870</v>
      </c>
      <c r="G126" s="10"/>
      <c r="H126" s="10"/>
      <c r="I126" s="10"/>
      <c r="J126" s="11"/>
      <c r="K126" s="11"/>
      <c r="L126" s="11"/>
      <c r="M126" s="12"/>
    </row>
    <row r="127" spans="2:17" ht="14.25">
      <c r="B127" s="26"/>
      <c r="C127" s="11"/>
      <c r="D127" s="32"/>
      <c r="E127" s="32"/>
      <c r="F127" s="42" t="s">
        <v>30</v>
      </c>
      <c r="G127" s="820"/>
      <c r="H127" s="825"/>
      <c r="I127" s="826"/>
      <c r="J127" s="10"/>
      <c r="K127" s="11"/>
      <c r="L127" s="11"/>
      <c r="M127" s="16"/>
    </row>
    <row r="128" spans="2:17" ht="13.5" customHeight="1">
      <c r="B128" s="26"/>
      <c r="C128" s="580">
        <f>C108+C113+C115+C118+C120+C122+C124+C126</f>
        <v>9.6666666666666661</v>
      </c>
      <c r="D128" s="215">
        <f>D108+D113+D115+D118+D120+D122+D124+D126</f>
        <v>20</v>
      </c>
      <c r="E128" s="220" t="s">
        <v>22</v>
      </c>
      <c r="F128" s="11"/>
      <c r="G128" s="10"/>
      <c r="H128" s="10"/>
      <c r="I128" s="10"/>
      <c r="J128" s="11"/>
      <c r="K128" s="11"/>
      <c r="L128" s="11"/>
      <c r="M128" s="12"/>
    </row>
    <row r="129" spans="2:17" ht="7.15" customHeight="1">
      <c r="B129" s="698"/>
      <c r="C129" s="713"/>
      <c r="D129" s="713"/>
      <c r="E129" s="714"/>
      <c r="F129" s="713"/>
      <c r="G129" s="713"/>
      <c r="H129" s="713"/>
      <c r="I129" s="713"/>
      <c r="J129" s="713"/>
      <c r="K129" s="713"/>
      <c r="L129" s="713"/>
      <c r="M129" s="715"/>
    </row>
    <row r="130" spans="2:17" ht="13.5" customHeight="1">
      <c r="B130" s="692"/>
      <c r="C130" s="693" t="s">
        <v>892</v>
      </c>
      <c r="D130" s="694"/>
      <c r="E130" s="695"/>
      <c r="F130" s="694"/>
      <c r="G130" s="734"/>
      <c r="H130" s="734"/>
      <c r="I130" s="734"/>
      <c r="J130" s="694"/>
      <c r="K130" s="694"/>
      <c r="L130" s="694"/>
      <c r="M130" s="696"/>
    </row>
    <row r="131" spans="2:17" ht="13.5" customHeight="1">
      <c r="B131" s="26"/>
      <c r="C131" s="31" t="s">
        <v>24</v>
      </c>
      <c r="D131" s="10" t="s">
        <v>921</v>
      </c>
      <c r="E131" s="32"/>
      <c r="F131" s="11"/>
      <c r="G131" s="10"/>
      <c r="H131" s="10"/>
      <c r="I131" s="10"/>
      <c r="J131" s="31" t="s">
        <v>26</v>
      </c>
      <c r="K131" s="11"/>
      <c r="L131" s="31" t="s">
        <v>27</v>
      </c>
      <c r="M131" s="12"/>
    </row>
    <row r="132" spans="2:17" ht="13.5" customHeight="1">
      <c r="B132" s="26"/>
      <c r="C132" s="368"/>
      <c r="D132" s="19">
        <v>5</v>
      </c>
      <c r="E132" s="214"/>
      <c r="F132" s="42" t="s">
        <v>30</v>
      </c>
      <c r="G132" s="820"/>
      <c r="H132" s="825"/>
      <c r="I132" s="826"/>
      <c r="J132" s="697" t="s">
        <v>864</v>
      </c>
      <c r="K132" s="11" t="s">
        <v>861</v>
      </c>
      <c r="L132" s="119"/>
      <c r="M132" s="16" t="s">
        <v>114</v>
      </c>
    </row>
    <row r="133" spans="2:17" ht="13.5" customHeight="1">
      <c r="B133" s="43"/>
      <c r="C133" s="186" t="s">
        <v>871</v>
      </c>
      <c r="G133" s="820"/>
      <c r="H133" s="825"/>
      <c r="I133" s="826"/>
      <c r="K133" s="11" t="s">
        <v>924</v>
      </c>
      <c r="L133" s="119"/>
      <c r="M133" s="16" t="s">
        <v>114</v>
      </c>
    </row>
    <row r="134" spans="2:17" ht="13.9" customHeight="1">
      <c r="B134" s="43"/>
      <c r="G134" s="820"/>
      <c r="H134" s="825"/>
      <c r="I134" s="826"/>
      <c r="K134" s="11" t="s">
        <v>867</v>
      </c>
      <c r="L134" s="119"/>
      <c r="M134" s="16" t="s">
        <v>114</v>
      </c>
    </row>
    <row r="135" spans="2:17" ht="13.5" customHeight="1">
      <c r="B135" s="43"/>
      <c r="G135" s="820"/>
      <c r="H135" s="825"/>
      <c r="I135" s="826"/>
      <c r="K135" s="11" t="s">
        <v>866</v>
      </c>
      <c r="L135" s="119"/>
      <c r="M135" s="16" t="s">
        <v>114</v>
      </c>
    </row>
    <row r="136" spans="2:17" ht="13.5" customHeight="1">
      <c r="B136" s="698"/>
      <c r="C136" s="699"/>
      <c r="D136" s="699"/>
      <c r="E136" s="700"/>
      <c r="F136" s="699"/>
      <c r="G136" s="713"/>
      <c r="H136" s="713"/>
      <c r="I136" s="713"/>
      <c r="J136" s="699"/>
      <c r="K136" s="699"/>
      <c r="L136" s="699"/>
      <c r="M136" s="701"/>
    </row>
    <row r="137" spans="2:17" ht="13.5" customHeight="1">
      <c r="E137"/>
      <c r="M137" s="173" t="str">
        <f>D7</f>
        <v>○○マンション</v>
      </c>
    </row>
    <row r="138" spans="2:17" ht="13.5" customHeight="1">
      <c r="C138" t="s">
        <v>905</v>
      </c>
      <c r="D138" t="s">
        <v>911</v>
      </c>
      <c r="P138" s="716" t="s">
        <v>94</v>
      </c>
      <c r="Q138" s="717"/>
    </row>
    <row r="139" spans="2:17" ht="13.5" customHeight="1">
      <c r="C139" t="s">
        <v>903</v>
      </c>
      <c r="P139" s="808"/>
      <c r="Q139" s="809"/>
    </row>
    <row r="140" spans="2:17">
      <c r="C140" s="173" t="s">
        <v>912</v>
      </c>
      <c r="D140" s="741">
        <f>ROUNDDOWN(IF(G140&gt;G144,F145,IF(G140&lt;=G143,F143,G140*H143+I143)),1)</f>
        <v>20</v>
      </c>
      <c r="E140" s="211" t="s">
        <v>900</v>
      </c>
      <c r="F140" s="739" t="s">
        <v>899</v>
      </c>
      <c r="G140" s="740"/>
      <c r="H140" t="str">
        <f>"×（"&amp;H143&amp;"）＋"&amp;I143</f>
        <v>×（-50）＋60</v>
      </c>
      <c r="P140" s="716" t="s">
        <v>102</v>
      </c>
      <c r="Q140" s="717"/>
    </row>
    <row r="141" spans="2:17">
      <c r="E141"/>
      <c r="P141" s="806"/>
      <c r="Q141" s="807"/>
    </row>
    <row r="142" spans="2:17" hidden="1">
      <c r="F142" t="s">
        <v>898</v>
      </c>
      <c r="G142" t="s">
        <v>893</v>
      </c>
      <c r="H142" s="52" t="s">
        <v>894</v>
      </c>
      <c r="I142" s="52" t="s">
        <v>895</v>
      </c>
      <c r="M142" s="1"/>
      <c r="Q142" s="173" t="str">
        <f>D7</f>
        <v>○○マンション</v>
      </c>
    </row>
    <row r="143" spans="2:17" hidden="1">
      <c r="E143" t="s">
        <v>896</v>
      </c>
      <c r="F143">
        <v>20</v>
      </c>
      <c r="G143">
        <v>0.8</v>
      </c>
      <c r="H143" s="53">
        <f>(F144-F143)/(G144-G143)</f>
        <v>-50.000000000000014</v>
      </c>
      <c r="I143" s="53">
        <f>F144-H143*G144</f>
        <v>60.000000000000014</v>
      </c>
      <c r="M143" s="1"/>
    </row>
    <row r="144" spans="2:17" hidden="1">
      <c r="F144">
        <v>11</v>
      </c>
      <c r="G144">
        <v>0.98</v>
      </c>
    </row>
    <row r="145" spans="3:14" hidden="1">
      <c r="E145" t="s">
        <v>897</v>
      </c>
      <c r="F145">
        <v>10</v>
      </c>
    </row>
    <row r="146" spans="3:14" hidden="1"/>
    <row r="147" spans="3:14">
      <c r="C147" s="173" t="s">
        <v>913</v>
      </c>
      <c r="D147" s="741">
        <f>ROUNDDOWN(IF(G147&gt;G151,F152,IF(G147&lt;=G150,F150,G147*H150+I150)),1)</f>
        <v>15</v>
      </c>
      <c r="E147" s="211" t="s">
        <v>900</v>
      </c>
      <c r="F147" s="739" t="s">
        <v>899</v>
      </c>
      <c r="G147" s="740"/>
      <c r="H147" t="str">
        <f>"×（"&amp;H150&amp;"）＋"&amp;I150</f>
        <v>×（-50）＋55</v>
      </c>
    </row>
    <row r="148" spans="3:14" hidden="1">
      <c r="E148"/>
    </row>
    <row r="149" spans="3:14" hidden="1">
      <c r="F149" t="s">
        <v>898</v>
      </c>
      <c r="G149" t="s">
        <v>893</v>
      </c>
      <c r="H149" s="52" t="s">
        <v>894</v>
      </c>
      <c r="I149" s="52" t="s">
        <v>895</v>
      </c>
    </row>
    <row r="150" spans="3:14" hidden="1">
      <c r="E150" t="s">
        <v>896</v>
      </c>
      <c r="F150">
        <v>15</v>
      </c>
      <c r="G150">
        <v>0.8</v>
      </c>
      <c r="H150" s="53">
        <f>(F151-F150)/(G151-G150)</f>
        <v>-50.000000000000014</v>
      </c>
      <c r="I150" s="53">
        <f>F151-H150*G151</f>
        <v>55.000000000000014</v>
      </c>
    </row>
    <row r="151" spans="3:14" hidden="1">
      <c r="F151">
        <v>6</v>
      </c>
      <c r="G151">
        <v>0.98</v>
      </c>
    </row>
    <row r="152" spans="3:14" hidden="1">
      <c r="E152" t="s">
        <v>897</v>
      </c>
      <c r="F152">
        <v>5</v>
      </c>
    </row>
    <row r="153" spans="3:14" hidden="1"/>
    <row r="154" spans="3:14" hidden="1"/>
    <row r="155" spans="3:14"/>
    <row r="156" spans="3:14">
      <c r="C156" t="s">
        <v>904</v>
      </c>
    </row>
    <row r="157" spans="3:14">
      <c r="D157" s="741">
        <f>IF(G157&gt;G160,(ROUNDDOWN(IF(G157&gt;G164,F164,G157*H160+I160),1)),IF(OR(J157&gt;0.5,J157=""),24.9,F160))</f>
        <v>24.9</v>
      </c>
      <c r="E157" s="211" t="s">
        <v>900</v>
      </c>
      <c r="F157" s="748" t="s">
        <v>925</v>
      </c>
      <c r="G157" s="740"/>
      <c r="H157" t="str">
        <f>"×（"&amp;H160&amp;"）＋"&amp;I160</f>
        <v>×（-33）＋43.1</v>
      </c>
      <c r="I157" s="749" t="s">
        <v>927</v>
      </c>
      <c r="J157" s="740"/>
    </row>
    <row r="158" spans="3:14">
      <c r="N158" s="1"/>
    </row>
    <row r="159" spans="3:14" hidden="1">
      <c r="F159" t="s">
        <v>898</v>
      </c>
      <c r="G159" t="s">
        <v>926</v>
      </c>
      <c r="H159" s="52" t="s">
        <v>894</v>
      </c>
      <c r="I159" s="52" t="s">
        <v>895</v>
      </c>
      <c r="N159" s="1"/>
    </row>
    <row r="160" spans="3:14" hidden="1">
      <c r="E160"/>
      <c r="F160" s="179">
        <v>20</v>
      </c>
      <c r="G160" s="179">
        <v>0.7</v>
      </c>
      <c r="H160" s="750">
        <f>IF(G157&lt;=G161,H161,IF(G157&lt;=G162,H162,IF(G157&lt;=G163,H163,H164)))</f>
        <v>-32.999999999999979</v>
      </c>
      <c r="I160" s="750">
        <f>IF(G157&lt;=G161,I161,IF(G157&lt;=G162,I162,IF(G157&lt;=G163,I163,I164)))</f>
        <v>43.09999999999998</v>
      </c>
      <c r="N160" s="1"/>
    </row>
    <row r="161" spans="5:14" hidden="1">
      <c r="F161" s="179">
        <v>16.7</v>
      </c>
      <c r="G161" s="179">
        <v>0.8</v>
      </c>
      <c r="H161" s="751">
        <f>(F161-F160)/(G161-G160)</f>
        <v>-32.999999999999979</v>
      </c>
      <c r="I161" s="751">
        <f>F161-H161*G161</f>
        <v>43.09999999999998</v>
      </c>
      <c r="N161" s="1"/>
    </row>
    <row r="162" spans="5:14" hidden="1">
      <c r="E162"/>
      <c r="F162" s="179">
        <v>13.3</v>
      </c>
      <c r="G162" s="179">
        <v>0.9</v>
      </c>
      <c r="H162" s="751">
        <f>(F162-F161)/(G162-G161)</f>
        <v>-33.999999999999993</v>
      </c>
      <c r="I162" s="751">
        <f>F162-H162*G162</f>
        <v>43.899999999999991</v>
      </c>
      <c r="N162" s="1"/>
    </row>
    <row r="163" spans="5:14" hidden="1">
      <c r="F163" s="179">
        <v>10</v>
      </c>
      <c r="G163" s="179">
        <v>1</v>
      </c>
      <c r="H163" s="751">
        <f>(F163-F162)/(G163-G162)</f>
        <v>-33.000000000000014</v>
      </c>
      <c r="I163" s="751">
        <f>F163-H163*G163</f>
        <v>43.000000000000014</v>
      </c>
      <c r="N163" s="1"/>
    </row>
    <row r="164" spans="5:14" hidden="1">
      <c r="F164" s="179">
        <v>5</v>
      </c>
      <c r="G164" s="179">
        <v>1.1000000000000001</v>
      </c>
      <c r="H164" s="751">
        <f>(F164-F163)/(G164-G163)</f>
        <v>-49.999999999999957</v>
      </c>
      <c r="I164" s="751">
        <f>F164-H164*G164</f>
        <v>59.999999999999957</v>
      </c>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row r="187"/>
    <row r="188"/>
    <row r="189"/>
    <row r="190"/>
    <row r="191"/>
    <row r="192"/>
    <row r="193"/>
    <row r="194"/>
    <row r="195"/>
    <row r="196"/>
    <row r="197"/>
    <row r="198"/>
    <row r="199"/>
    <row r="200"/>
  </sheetData>
  <sheetProtection algorithmName="SHA-512" hashValue="AY4Mtx19EVYRCjPqBwEJxdn5MWpcNyi5XGFXkhw0v2Ll5lmlWCuSh2PqjEW3g9UD16vp51/R2QFqIqzKqIVX5A==" saltValue="rKYMVKyIooJjnULUo1eaMw==" spinCount="100000" sheet="1" formatCells="0" formatRows="0" insertRows="0"/>
  <mergeCells count="53">
    <mergeCell ref="I2:K4"/>
    <mergeCell ref="G35:I37"/>
    <mergeCell ref="D7:G7"/>
    <mergeCell ref="D8:G8"/>
    <mergeCell ref="L8:M8"/>
    <mergeCell ref="D9:G9"/>
    <mergeCell ref="D10:G10"/>
    <mergeCell ref="D11:G11"/>
    <mergeCell ref="L11:M11"/>
    <mergeCell ref="F12:G12"/>
    <mergeCell ref="G28:I29"/>
    <mergeCell ref="G31:I33"/>
    <mergeCell ref="F13:G13"/>
    <mergeCell ref="G72:I72"/>
    <mergeCell ref="G39:I39"/>
    <mergeCell ref="G41:I41"/>
    <mergeCell ref="G47:I47"/>
    <mergeCell ref="G49:I49"/>
    <mergeCell ref="G51:I51"/>
    <mergeCell ref="G53:I53"/>
    <mergeCell ref="G59:I59"/>
    <mergeCell ref="G62:I62"/>
    <mergeCell ref="G64:I64"/>
    <mergeCell ref="G67:I67"/>
    <mergeCell ref="G68:I68"/>
    <mergeCell ref="G70:I70"/>
    <mergeCell ref="P139:Q139"/>
    <mergeCell ref="P141:Q141"/>
    <mergeCell ref="G75:I75"/>
    <mergeCell ref="G77:I77"/>
    <mergeCell ref="G79:I79"/>
    <mergeCell ref="G81:I81"/>
    <mergeCell ref="G87:I87"/>
    <mergeCell ref="G89:I89"/>
    <mergeCell ref="G91:I91"/>
    <mergeCell ref="G94:I94"/>
    <mergeCell ref="G96:I96"/>
    <mergeCell ref="G98:I99"/>
    <mergeCell ref="G132:I132"/>
    <mergeCell ref="G133:I133"/>
    <mergeCell ref="G134:I134"/>
    <mergeCell ref="G135:I135"/>
    <mergeCell ref="P85:Q97"/>
    <mergeCell ref="G119:I119"/>
    <mergeCell ref="G121:I121"/>
    <mergeCell ref="G123:I123"/>
    <mergeCell ref="G125:I125"/>
    <mergeCell ref="G105:I106"/>
    <mergeCell ref="G127:I127"/>
    <mergeCell ref="G110:I110"/>
    <mergeCell ref="G112:I112"/>
    <mergeCell ref="G114:I114"/>
    <mergeCell ref="G116:I116"/>
  </mergeCells>
  <phoneticPr fontId="3"/>
  <dataValidations count="1">
    <dataValidation type="list" allowBlank="1" showInputMessage="1" showErrorMessage="1" sqref="C86 C27 C58 C46 C104" xr:uid="{00000000-0002-0000-0400-000000000000}">
      <formula1>$S$19:$S$20</formula1>
    </dataValidation>
  </dataValidations>
  <pageMargins left="0.86614173228346458" right="0.43307086614173229" top="0.55118110236220474" bottom="0.55118110236220474" header="0.43307086614173229" footer="0.31496062992125984"/>
  <pageSetup paperSize="9" scale="44"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AA200"/>
  <sheetViews>
    <sheetView showGridLines="0" zoomScaleNormal="100" zoomScaleSheetLayoutView="100" zoomScalePageLayoutView="85" workbookViewId="0">
      <selection activeCell="H15" sqref="H15"/>
    </sheetView>
  </sheetViews>
  <sheetFormatPr defaultColWidth="0" defaultRowHeight="13.5" customHeight="1"/>
  <cols>
    <col min="1" max="1" width="1.875" customWidth="1"/>
    <col min="2" max="2" width="1.25" customWidth="1"/>
    <col min="3" max="3" width="10.625" customWidth="1"/>
    <col min="4" max="4" width="8.625" customWidth="1"/>
    <col min="5" max="5" width="5.125" style="211"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3.5" customWidth="1"/>
    <col min="19" max="26" width="7.375" hidden="1" customWidth="1"/>
    <col min="27" max="27" width="0" hidden="1" customWidth="1"/>
    <col min="28" max="16384" width="9" hidden="1"/>
  </cols>
  <sheetData>
    <row r="1" spans="2:27" ht="13.5" customHeight="1">
      <c r="W1" s="41"/>
      <c r="X1" s="41" t="s">
        <v>700</v>
      </c>
    </row>
    <row r="2" spans="2:27" ht="13.5" customHeight="1">
      <c r="I2" s="792" t="s">
        <v>555</v>
      </c>
      <c r="J2" s="792"/>
      <c r="K2" s="792"/>
      <c r="W2" s="360" t="s">
        <v>686</v>
      </c>
      <c r="X2" s="171" t="str">
        <f>IF(建築環境SDGsチェックリスト!$D$3="オフィス改修",建築環境SDGsチェックリスト!H116,"0")</f>
        <v>0</v>
      </c>
    </row>
    <row r="3" spans="2:27" ht="13.5" customHeight="1">
      <c r="I3" s="792"/>
      <c r="J3" s="792"/>
      <c r="K3" s="792"/>
      <c r="P3" s="383" t="s">
        <v>722</v>
      </c>
      <c r="Q3" s="383"/>
      <c r="R3" s="179"/>
      <c r="W3" s="360" t="s">
        <v>680</v>
      </c>
      <c r="X3" s="171" t="str">
        <f>IF(建築環境SDGsチェックリスト!$D$3="オフィス改修",建築環境SDGsチェックリスト!H117,"0")</f>
        <v>0</v>
      </c>
    </row>
    <row r="4" spans="2:27" ht="13.5" customHeight="1">
      <c r="I4" s="792"/>
      <c r="J4" s="792"/>
      <c r="K4" s="792"/>
      <c r="R4" s="179"/>
      <c r="W4" s="360" t="s">
        <v>681</v>
      </c>
      <c r="X4" s="171" t="str">
        <f>IF(建築環境SDGsチェックリスト!$D$3="オフィス改修",建築環境SDGsチェックリスト!H118,"0")</f>
        <v>0</v>
      </c>
    </row>
    <row r="5" spans="2:27" ht="14.25">
      <c r="B5" s="3"/>
      <c r="C5" s="4"/>
      <c r="D5" s="4"/>
      <c r="E5" s="212"/>
      <c r="F5" s="4"/>
      <c r="G5" s="4"/>
      <c r="H5" s="4"/>
      <c r="I5" s="2" t="s">
        <v>1</v>
      </c>
      <c r="J5" s="4" t="str">
        <f>オフィス評価結果!J5</f>
        <v>CASBEE-不動産 2024年版</v>
      </c>
      <c r="K5" s="4"/>
      <c r="L5" s="4"/>
      <c r="M5" s="2" t="str">
        <f>オフィス評価結果!M5</f>
        <v>v1.21</v>
      </c>
      <c r="N5" s="1"/>
      <c r="W5" s="360" t="s">
        <v>682</v>
      </c>
      <c r="X5" s="171" t="str">
        <f>IF(建築環境SDGsチェックリスト!$D$3="オフィス改修",建築環境SDGsチェックリスト!H119,"0")</f>
        <v>0</v>
      </c>
    </row>
    <row r="6" spans="2:27" ht="15">
      <c r="B6" s="760"/>
      <c r="C6" s="761" t="s">
        <v>2</v>
      </c>
      <c r="D6" s="762"/>
      <c r="E6" s="763"/>
      <c r="F6" s="762"/>
      <c r="G6" s="762"/>
      <c r="H6" s="762"/>
      <c r="I6" s="762"/>
      <c r="J6" s="762"/>
      <c r="K6" s="762"/>
      <c r="L6" s="762"/>
      <c r="M6" s="764"/>
      <c r="N6" s="1"/>
      <c r="W6" s="360" t="s">
        <v>683</v>
      </c>
      <c r="X6" s="171" t="str">
        <f>IF(建築環境SDGsチェックリスト!$D$3="オフィス改修",建築環境SDGsチェックリスト!H120,"0")</f>
        <v>0</v>
      </c>
    </row>
    <row r="7" spans="2:27" ht="14.25">
      <c r="B7" s="9"/>
      <c r="C7" s="10" t="s">
        <v>3</v>
      </c>
      <c r="D7" s="778" t="s">
        <v>286</v>
      </c>
      <c r="E7" s="779"/>
      <c r="F7" s="779"/>
      <c r="G7" s="779"/>
      <c r="H7" s="15" t="s">
        <v>4</v>
      </c>
      <c r="I7" s="765" t="s">
        <v>287</v>
      </c>
      <c r="J7" s="12" t="s">
        <v>76</v>
      </c>
      <c r="K7" s="10" t="s">
        <v>5</v>
      </c>
      <c r="L7" s="21" t="s">
        <v>887</v>
      </c>
      <c r="M7" s="25"/>
      <c r="N7" s="1"/>
      <c r="S7" s="41" t="s">
        <v>83</v>
      </c>
      <c r="T7" s="41" t="s">
        <v>93</v>
      </c>
      <c r="W7" s="360" t="s">
        <v>684</v>
      </c>
      <c r="X7" s="171" t="str">
        <f>IF(建築環境SDGsチェックリスト!$D$3="オフィス改修",建築環境SDGsチェックリスト!H121,"0")</f>
        <v>0</v>
      </c>
    </row>
    <row r="8" spans="2:27" ht="14.25">
      <c r="B8" s="9"/>
      <c r="C8" s="10" t="s">
        <v>6</v>
      </c>
      <c r="D8" s="778" t="s">
        <v>288</v>
      </c>
      <c r="E8" s="778"/>
      <c r="F8" s="778"/>
      <c r="G8" s="778"/>
      <c r="H8" s="15" t="s">
        <v>7</v>
      </c>
      <c r="I8" s="765" t="s">
        <v>287</v>
      </c>
      <c r="J8" s="12" t="s">
        <v>76</v>
      </c>
      <c r="K8" s="10" t="s">
        <v>8</v>
      </c>
      <c r="L8" s="810" t="s">
        <v>103</v>
      </c>
      <c r="M8" s="811"/>
      <c r="N8" s="1"/>
      <c r="S8" s="41" t="str">
        <f>C25</f>
        <v>１．エネルギー／温暖化ガス</v>
      </c>
      <c r="T8" s="115">
        <f>IF(C42/D42&gt;1,1,C42/D42)</f>
        <v>0.6</v>
      </c>
      <c r="U8" s="116"/>
      <c r="W8" s="360" t="s">
        <v>685</v>
      </c>
      <c r="X8" s="171" t="str">
        <f>IF(建築環境SDGsチェックリスト!$D$3="オフィス改修",建築環境SDGsチェックリスト!H122,"0")</f>
        <v>0</v>
      </c>
    </row>
    <row r="9" spans="2:27" ht="14.25">
      <c r="B9" s="9"/>
      <c r="C9" s="10" t="s">
        <v>9</v>
      </c>
      <c r="D9" s="778" t="s">
        <v>10</v>
      </c>
      <c r="E9" s="779"/>
      <c r="F9" s="779"/>
      <c r="G9" s="779"/>
      <c r="H9" s="15" t="s">
        <v>954</v>
      </c>
      <c r="I9" s="765" t="s">
        <v>287</v>
      </c>
      <c r="J9" s="12" t="s">
        <v>76</v>
      </c>
      <c r="K9" s="10" t="s">
        <v>11</v>
      </c>
      <c r="L9" s="21" t="s">
        <v>287</v>
      </c>
      <c r="M9" s="25"/>
      <c r="N9" s="1"/>
      <c r="S9" s="41" t="str">
        <f>C44</f>
        <v>２．水</v>
      </c>
      <c r="T9" s="115">
        <f>C54/D54</f>
        <v>0.6</v>
      </c>
      <c r="U9" s="116"/>
      <c r="W9" s="360" t="s">
        <v>692</v>
      </c>
      <c r="X9" s="171" t="str">
        <f>IF(建築環境SDGsチェックリスト!$D$3="オフィス改修",建築環境SDGsチェックリスト!H123,"0")</f>
        <v>0</v>
      </c>
    </row>
    <row r="10" spans="2:27" ht="14.25">
      <c r="B10" s="9"/>
      <c r="C10" s="10" t="s">
        <v>14</v>
      </c>
      <c r="D10" s="778" t="s">
        <v>289</v>
      </c>
      <c r="E10" s="778"/>
      <c r="F10" s="778"/>
      <c r="G10" s="812"/>
      <c r="H10" s="15" t="s">
        <v>12</v>
      </c>
      <c r="I10" s="21" t="s">
        <v>290</v>
      </c>
      <c r="J10" s="12"/>
      <c r="K10" s="10" t="s">
        <v>120</v>
      </c>
      <c r="L10" s="202"/>
      <c r="M10" s="203"/>
      <c r="N10" s="1"/>
      <c r="S10" s="41" t="str">
        <f>C56</f>
        <v>３．資源利用／安全</v>
      </c>
      <c r="T10" s="115">
        <f>C82/D82</f>
        <v>0.53749999999999998</v>
      </c>
      <c r="U10" s="116"/>
      <c r="W10" s="360" t="s">
        <v>693</v>
      </c>
      <c r="X10" s="171" t="str">
        <f>IF(建築環境SDGsチェックリスト!$D$3="オフィス改修",建築環境SDGsチェックリスト!H124,"0")</f>
        <v>0</v>
      </c>
    </row>
    <row r="11" spans="2:27" ht="14.25">
      <c r="B11" s="9"/>
      <c r="C11" s="10" t="s">
        <v>125</v>
      </c>
      <c r="D11" s="810" t="s">
        <v>291</v>
      </c>
      <c r="E11" s="810"/>
      <c r="F11" s="810"/>
      <c r="G11" s="810"/>
      <c r="H11" s="15" t="s">
        <v>15</v>
      </c>
      <c r="I11" s="22" t="s">
        <v>292</v>
      </c>
      <c r="J11" s="12"/>
      <c r="K11" s="10" t="s">
        <v>13</v>
      </c>
      <c r="L11" s="813" t="s">
        <v>103</v>
      </c>
      <c r="M11" s="814"/>
      <c r="N11" s="1"/>
      <c r="S11" s="41" t="str">
        <f>C84</f>
        <v>４．生物多様性／敷地</v>
      </c>
      <c r="T11" s="115">
        <f>C100/D100</f>
        <v>0.6</v>
      </c>
      <c r="U11" s="116"/>
      <c r="W11" s="360" t="s">
        <v>694</v>
      </c>
      <c r="X11" s="171" t="str">
        <f>IF(建築環境SDGsチェックリスト!$D$3="オフィス改修",建築環境SDGsチェックリスト!H125,"0")</f>
        <v>0</v>
      </c>
    </row>
    <row r="12" spans="2:27" ht="14.25">
      <c r="B12" s="9"/>
      <c r="C12" s="10" t="s">
        <v>124</v>
      </c>
      <c r="F12" s="800" t="s">
        <v>293</v>
      </c>
      <c r="G12" s="801"/>
      <c r="H12" s="15" t="s">
        <v>17</v>
      </c>
      <c r="I12" s="117" t="s">
        <v>18</v>
      </c>
      <c r="J12" s="16" t="s">
        <v>19</v>
      </c>
      <c r="K12" s="10" t="s">
        <v>16</v>
      </c>
      <c r="L12" s="54" t="s">
        <v>287</v>
      </c>
      <c r="M12" s="55"/>
      <c r="N12" s="1"/>
      <c r="S12" s="41" t="str">
        <f>C102</f>
        <v>５．屋内環境</v>
      </c>
      <c r="T12" s="115">
        <f>C128/D128</f>
        <v>0.8</v>
      </c>
      <c r="U12" s="116"/>
      <c r="W12" s="360" t="s">
        <v>695</v>
      </c>
      <c r="X12" s="171" t="str">
        <f>IF(建築環境SDGsチェックリスト!$D$3="オフィス改修",建築環境SDGsチェックリスト!H126,"0")</f>
        <v>0</v>
      </c>
    </row>
    <row r="13" spans="2:27" ht="14.25">
      <c r="B13" s="13"/>
      <c r="C13" s="759" t="s">
        <v>952</v>
      </c>
      <c r="D13" s="14"/>
      <c r="E13" s="213"/>
      <c r="F13" s="818" t="s">
        <v>953</v>
      </c>
      <c r="G13" s="819"/>
      <c r="H13" s="17" t="s">
        <v>20</v>
      </c>
      <c r="I13" s="24" t="s">
        <v>18</v>
      </c>
      <c r="J13" s="18" t="s">
        <v>69</v>
      </c>
      <c r="K13" s="17" t="s">
        <v>120</v>
      </c>
      <c r="L13" s="204"/>
      <c r="M13" s="205"/>
      <c r="N13" s="1"/>
      <c r="S13" s="41"/>
      <c r="T13" s="41"/>
      <c r="W13" s="360" t="s">
        <v>696</v>
      </c>
      <c r="X13" s="171" t="str">
        <f>IF(建築環境SDGsチェックリスト!$D$3="オフィス改修",建築環境SDGsチェックリスト!H127,"0")</f>
        <v>0</v>
      </c>
      <c r="Z13" t="s">
        <v>872</v>
      </c>
    </row>
    <row r="14" spans="2:27" ht="3.95" customHeight="1">
      <c r="B14" s="3"/>
      <c r="C14" s="4"/>
      <c r="D14" s="4"/>
      <c r="E14" s="212"/>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697</v>
      </c>
      <c r="X15" s="385" t="e">
        <f>(AVERAGE(X2:X13)-1)*2+1</f>
        <v>#DIV/0!</v>
      </c>
    </row>
    <row r="16" spans="2:27" ht="3.6" customHeight="1">
      <c r="B16" s="26"/>
      <c r="G16" s="4"/>
      <c r="H16" s="4"/>
      <c r="I16" s="4"/>
      <c r="M16" s="44"/>
      <c r="N16" s="1"/>
      <c r="S16" s="41" t="s">
        <v>91</v>
      </c>
      <c r="T16" s="41" t="s">
        <v>92</v>
      </c>
      <c r="W16" s="41" t="s">
        <v>698</v>
      </c>
      <c r="X16" s="171" t="e">
        <f>IF(X15=1,1,IF(X15&lt;1.5,1,IF(X15&lt;2.5,2,IF(X15&lt;3.5,3,IF(X15&lt;4.5,4,5)))))/5</f>
        <v>#DIV/0!</v>
      </c>
      <c r="Z16" s="41" t="s">
        <v>868</v>
      </c>
      <c r="AA16" s="41" t="s">
        <v>92</v>
      </c>
    </row>
    <row r="17" spans="2:27" ht="14.25">
      <c r="B17" s="26"/>
      <c r="C17" s="746">
        <f>C42+C54+C82+C100+C128</f>
        <v>61.75</v>
      </c>
      <c r="D17" s="50" t="s">
        <v>104</v>
      </c>
      <c r="E17" s="705" t="s">
        <v>22</v>
      </c>
      <c r="H17" s="4"/>
      <c r="I17" s="214" t="s">
        <v>889</v>
      </c>
      <c r="M17" s="706" t="str">
        <f>IF(Z17=0,Z13,"")</f>
        <v>評価しない</v>
      </c>
      <c r="N17" s="1"/>
      <c r="S17" s="41">
        <f>IF(C17&gt;=F19,5,IF(C17&gt;=F20,4,IF(C17&gt;=F21,3,IF(C17&gt;=F22,2,0))))</f>
        <v>3</v>
      </c>
      <c r="T17" s="41">
        <f>5-S17</f>
        <v>2</v>
      </c>
      <c r="W17" s="41" t="s">
        <v>699</v>
      </c>
      <c r="X17" s="171" t="e">
        <f>1-X16</f>
        <v>#DIV/0!</v>
      </c>
      <c r="Z17" s="702">
        <f>C132</f>
        <v>0</v>
      </c>
      <c r="AA17" s="41">
        <f>IF(M17=Z13,0,5-Z17)</f>
        <v>0</v>
      </c>
    </row>
    <row r="18" spans="2:27" ht="14.25">
      <c r="B18" s="26"/>
      <c r="C18" s="707" t="s">
        <v>105</v>
      </c>
      <c r="D18" s="708" t="s">
        <v>106</v>
      </c>
      <c r="E18"/>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862</v>
      </c>
      <c r="K21" s="703" t="str">
        <f>IF(M17=Z13,"",L132)</f>
        <v/>
      </c>
      <c r="L21" s="32" t="s">
        <v>867</v>
      </c>
      <c r="M21" s="703" t="str">
        <f>IF(M17=Z13,"",L134)</f>
        <v/>
      </c>
      <c r="N21" s="1"/>
    </row>
    <row r="22" spans="2:27" ht="14.25">
      <c r="B22" s="43"/>
      <c r="C22" s="11" t="s">
        <v>326</v>
      </c>
      <c r="E22" s="10" t="s">
        <v>23</v>
      </c>
      <c r="F22" s="709">
        <v>50</v>
      </c>
      <c r="J22" s="32" t="s">
        <v>924</v>
      </c>
      <c r="K22" s="703" t="str">
        <f>IF(M17=Z13,"",L133)</f>
        <v/>
      </c>
      <c r="L22" s="32" t="s">
        <v>865</v>
      </c>
      <c r="M22" s="703" t="str">
        <f>IF(M17=Z13,"",L135)</f>
        <v/>
      </c>
      <c r="W22" t="str">
        <f>オフィス評価結果!W22</f>
        <v>DECC2019年公開データ【最新データ年度のみ】</v>
      </c>
    </row>
    <row r="23" spans="2:27" ht="14.25">
      <c r="B23" s="698"/>
      <c r="C23" s="711" t="s">
        <v>869</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1</v>
      </c>
      <c r="U24" s="41">
        <f t="shared" ref="U24:U51" si="1">IF(AND($L$35&gt;=S24,$L$35&lt;S25),T24,0)</f>
        <v>1</v>
      </c>
      <c r="W24" s="41">
        <f>オフィス評価結果!W24</f>
        <v>0</v>
      </c>
      <c r="X24" s="41">
        <f>オフィス評価結果!X24</f>
        <v>7</v>
      </c>
      <c r="Y24" s="41">
        <f>オフィス評価結果!Y24</f>
        <v>0</v>
      </c>
      <c r="Z24" s="41">
        <f>オフィス評価結果!Z24</f>
        <v>1</v>
      </c>
    </row>
    <row r="25" spans="2:27" ht="15">
      <c r="B25" s="5"/>
      <c r="C25" s="6" t="s">
        <v>312</v>
      </c>
      <c r="D25" s="7"/>
      <c r="E25" s="219"/>
      <c r="F25" s="7"/>
      <c r="G25" s="7"/>
      <c r="H25" s="7"/>
      <c r="I25" s="7"/>
      <c r="J25" s="7"/>
      <c r="K25" s="7"/>
      <c r="L25" s="7"/>
      <c r="M25" s="8"/>
      <c r="S25" s="118">
        <f t="shared" si="0"/>
        <v>200</v>
      </c>
      <c r="T25" s="41">
        <f t="shared" ref="T25:T51" si="2">IF($I$9&gt;=30000,Z25,IF($I$9&gt;=10000,Y25,X25))</f>
        <v>2</v>
      </c>
      <c r="U25" s="41">
        <f t="shared" si="1"/>
        <v>0</v>
      </c>
      <c r="W25" s="41">
        <f>オフィス評価結果!W25</f>
        <v>200</v>
      </c>
      <c r="X25" s="41">
        <f>オフィス評価結果!X25</f>
        <v>49</v>
      </c>
      <c r="Y25" s="41">
        <f>オフィス評価結果!Y25</f>
        <v>0</v>
      </c>
      <c r="Z25" s="41">
        <f>オフィス評価結果!Z25</f>
        <v>2</v>
      </c>
    </row>
    <row r="26" spans="2:27" ht="14.25">
      <c r="B26" s="26"/>
      <c r="C26" s="31" t="s">
        <v>24</v>
      </c>
      <c r="D26" s="10" t="s">
        <v>25</v>
      </c>
      <c r="E26" s="32"/>
      <c r="F26" s="11"/>
      <c r="G26" s="11"/>
      <c r="H26" s="11"/>
      <c r="I26" s="11"/>
      <c r="J26" s="31" t="s">
        <v>26</v>
      </c>
      <c r="K26" s="11" t="s">
        <v>70</v>
      </c>
      <c r="L26" s="31" t="s">
        <v>27</v>
      </c>
      <c r="M26" s="12"/>
      <c r="S26" s="118">
        <f t="shared" si="0"/>
        <v>400</v>
      </c>
      <c r="T26" s="41">
        <f t="shared" si="2"/>
        <v>3</v>
      </c>
      <c r="U26" s="41">
        <f t="shared" si="1"/>
        <v>0</v>
      </c>
      <c r="W26" s="41">
        <f>オフィス評価結果!W26</f>
        <v>400</v>
      </c>
      <c r="X26" s="41">
        <f>オフィス評価結果!X26</f>
        <v>66</v>
      </c>
      <c r="Y26" s="41">
        <f>オフィス評価結果!Y26</f>
        <v>5</v>
      </c>
      <c r="Z26" s="41">
        <f>オフィス評価結果!Z26</f>
        <v>3</v>
      </c>
    </row>
    <row r="27" spans="2:27" ht="14.25">
      <c r="B27" s="26"/>
      <c r="C27" s="20"/>
      <c r="D27" s="11"/>
      <c r="E27" s="214" t="s">
        <v>28</v>
      </c>
      <c r="F27" s="11"/>
      <c r="G27" s="11" t="s">
        <v>875</v>
      </c>
      <c r="H27" s="11"/>
      <c r="I27" s="11"/>
      <c r="J27" s="11"/>
      <c r="K27" s="11"/>
      <c r="L27" s="11"/>
      <c r="M27" s="12"/>
      <c r="S27" s="118">
        <f t="shared" si="0"/>
        <v>600</v>
      </c>
      <c r="T27" s="41">
        <f t="shared" si="2"/>
        <v>4</v>
      </c>
      <c r="U27" s="41">
        <f t="shared" si="1"/>
        <v>0</v>
      </c>
      <c r="W27" s="41">
        <f>オフィス評価結果!W27</f>
        <v>600</v>
      </c>
      <c r="X27" s="41">
        <f>オフィス評価結果!X27</f>
        <v>104</v>
      </c>
      <c r="Y27" s="41">
        <f>オフィス評価結果!Y27</f>
        <v>14</v>
      </c>
      <c r="Z27" s="41">
        <f>オフィス評価結果!Z27</f>
        <v>4</v>
      </c>
    </row>
    <row r="28" spans="2:27" ht="14.25">
      <c r="B28" s="26"/>
      <c r="C28" s="49"/>
      <c r="D28" s="19" t="s">
        <v>72</v>
      </c>
      <c r="E28" s="32"/>
      <c r="F28" s="42" t="s">
        <v>30</v>
      </c>
      <c r="G28" s="783"/>
      <c r="H28" s="784"/>
      <c r="I28" s="785"/>
      <c r="J28" s="10" t="s">
        <v>71</v>
      </c>
      <c r="K28" s="11"/>
      <c r="L28" s="119"/>
      <c r="M28" s="12" t="s">
        <v>80</v>
      </c>
      <c r="S28" s="118">
        <f t="shared" si="0"/>
        <v>800</v>
      </c>
      <c r="T28" s="41">
        <f t="shared" si="2"/>
        <v>8</v>
      </c>
      <c r="U28" s="41">
        <f t="shared" si="1"/>
        <v>0</v>
      </c>
      <c r="W28" s="41">
        <f>オフィス評価結果!W28</f>
        <v>800</v>
      </c>
      <c r="X28" s="41">
        <f>オフィス評価結果!X28</f>
        <v>194</v>
      </c>
      <c r="Y28" s="41">
        <f>オフィス評価結果!Y28</f>
        <v>28</v>
      </c>
      <c r="Z28" s="41">
        <f>オフィス評価結果!Z28</f>
        <v>8</v>
      </c>
    </row>
    <row r="29" spans="2:27" ht="14.25">
      <c r="B29" s="26"/>
      <c r="E29" s="32"/>
      <c r="F29" s="11"/>
      <c r="G29" s="786"/>
      <c r="H29" s="787"/>
      <c r="I29" s="788"/>
      <c r="J29" s="11"/>
      <c r="K29" s="11"/>
      <c r="L29" s="11"/>
      <c r="M29" s="12"/>
      <c r="S29" s="118">
        <f t="shared" si="0"/>
        <v>1000</v>
      </c>
      <c r="T29" s="41">
        <f t="shared" si="2"/>
        <v>9</v>
      </c>
      <c r="U29" s="41">
        <f t="shared" si="1"/>
        <v>0</v>
      </c>
      <c r="W29" s="41">
        <f>オフィス評価結果!W29</f>
        <v>1000</v>
      </c>
      <c r="X29" s="41">
        <f>オフィス評価結果!X29</f>
        <v>255</v>
      </c>
      <c r="Y29" s="41">
        <f>オフィス評価結果!Y29</f>
        <v>61</v>
      </c>
      <c r="Z29" s="41">
        <f>オフィス評価結果!Z29</f>
        <v>9</v>
      </c>
    </row>
    <row r="30" spans="2:27" ht="14.25">
      <c r="B30" s="26"/>
      <c r="C30" s="49">
        <v>15</v>
      </c>
      <c r="D30" s="19">
        <v>25</v>
      </c>
      <c r="E30" s="33">
        <v>1.1000000000000001</v>
      </c>
      <c r="F30" s="34" t="s">
        <v>31</v>
      </c>
      <c r="G30" s="11"/>
      <c r="H30" s="11"/>
      <c r="I30" s="11"/>
      <c r="J30" s="11"/>
      <c r="K30" s="11"/>
      <c r="L30" s="11"/>
      <c r="M30" s="12"/>
      <c r="S30" s="118">
        <f t="shared" si="0"/>
        <v>1200</v>
      </c>
      <c r="T30" s="41">
        <f t="shared" si="2"/>
        <v>22</v>
      </c>
      <c r="U30" s="41">
        <f t="shared" si="1"/>
        <v>0</v>
      </c>
      <c r="W30" s="41">
        <f>オフィス評価結果!W30</f>
        <v>1200</v>
      </c>
      <c r="X30" s="41">
        <f>オフィス評価結果!X30</f>
        <v>245</v>
      </c>
      <c r="Y30" s="41">
        <f>オフィス評価結果!Y30</f>
        <v>82</v>
      </c>
      <c r="Z30" s="41">
        <f>オフィス評価結果!Z30</f>
        <v>22</v>
      </c>
    </row>
    <row r="31" spans="2:27" ht="14.25">
      <c r="B31" s="26"/>
      <c r="C31" s="11"/>
      <c r="D31" s="32"/>
      <c r="E31" s="32"/>
      <c r="F31" s="42" t="s">
        <v>30</v>
      </c>
      <c r="G31" s="783"/>
      <c r="H31" s="784"/>
      <c r="I31" s="785"/>
      <c r="J31" s="10" t="s">
        <v>73</v>
      </c>
      <c r="K31" s="11"/>
      <c r="L31" s="120"/>
      <c r="M31" s="12" t="s">
        <v>80</v>
      </c>
      <c r="S31" s="118">
        <f t="shared" si="0"/>
        <v>1400</v>
      </c>
      <c r="T31" s="41">
        <f t="shared" si="2"/>
        <v>22</v>
      </c>
      <c r="U31" s="41">
        <f t="shared" si="1"/>
        <v>0</v>
      </c>
      <c r="W31" s="41">
        <f>オフィス評価結果!W31</f>
        <v>1400</v>
      </c>
      <c r="X31" s="41">
        <f>オフィス評価結果!X31</f>
        <v>225</v>
      </c>
      <c r="Y31" s="41">
        <f>オフィス評価結果!Y31</f>
        <v>101</v>
      </c>
      <c r="Z31" s="41">
        <f>オフィス評価結果!Z31</f>
        <v>22</v>
      </c>
    </row>
    <row r="32" spans="2:27" ht="14.25">
      <c r="B32" s="26"/>
      <c r="C32" s="11"/>
      <c r="D32" s="11"/>
      <c r="E32" s="32"/>
      <c r="F32" s="11"/>
      <c r="G32" s="815"/>
      <c r="H32" s="816"/>
      <c r="I32" s="817"/>
      <c r="J32" s="10" t="s">
        <v>74</v>
      </c>
      <c r="K32" s="11"/>
      <c r="L32" s="120"/>
      <c r="M32" s="12" t="s">
        <v>81</v>
      </c>
      <c r="S32" s="118">
        <f t="shared" si="0"/>
        <v>1600</v>
      </c>
      <c r="T32" s="41">
        <f t="shared" si="2"/>
        <v>34</v>
      </c>
      <c r="U32" s="41">
        <f t="shared" si="1"/>
        <v>0</v>
      </c>
      <c r="W32" s="41">
        <f>オフィス評価結果!W32</f>
        <v>1600</v>
      </c>
      <c r="X32" s="41">
        <f>オフィス評価結果!X32</f>
        <v>167</v>
      </c>
      <c r="Y32" s="41">
        <f>オフィス評価結果!Y32</f>
        <v>89</v>
      </c>
      <c r="Z32" s="41">
        <f>オフィス評価結果!Z32</f>
        <v>34</v>
      </c>
    </row>
    <row r="33" spans="2:26" ht="15.75">
      <c r="B33" s="26"/>
      <c r="C33" s="11"/>
      <c r="D33" s="11"/>
      <c r="E33" s="32"/>
      <c r="F33" s="11"/>
      <c r="G33" s="786"/>
      <c r="H33" s="787"/>
      <c r="I33" s="788"/>
      <c r="J33" s="10" t="s">
        <v>890</v>
      </c>
      <c r="K33" s="11"/>
      <c r="L33" s="120"/>
      <c r="M33" s="12" t="s">
        <v>891</v>
      </c>
      <c r="S33" s="118">
        <f t="shared" si="0"/>
        <v>1800</v>
      </c>
      <c r="T33" s="41">
        <f t="shared" si="2"/>
        <v>39</v>
      </c>
      <c r="U33" s="41">
        <f t="shared" si="1"/>
        <v>0</v>
      </c>
      <c r="W33" s="41">
        <f>オフィス評価結果!W33</f>
        <v>1800</v>
      </c>
      <c r="X33" s="41">
        <f>オフィス評価結果!X33</f>
        <v>117</v>
      </c>
      <c r="Y33" s="41">
        <f>オフィス評価結果!Y33</f>
        <v>70</v>
      </c>
      <c r="Z33" s="41">
        <f>オフィス評価結果!Z33</f>
        <v>39</v>
      </c>
    </row>
    <row r="34" spans="2:26" ht="14.25">
      <c r="B34" s="26"/>
      <c r="C34" s="49">
        <v>3</v>
      </c>
      <c r="D34" s="19">
        <v>5</v>
      </c>
      <c r="E34" s="33" t="s">
        <v>32</v>
      </c>
      <c r="F34" s="34" t="s">
        <v>33</v>
      </c>
      <c r="G34" s="11"/>
      <c r="H34" s="11"/>
      <c r="I34" s="11"/>
      <c r="J34" s="11"/>
      <c r="K34" s="11"/>
      <c r="L34" s="11"/>
      <c r="M34" s="12"/>
      <c r="S34" s="118">
        <f t="shared" si="0"/>
        <v>2000</v>
      </c>
      <c r="T34" s="41">
        <f t="shared" si="2"/>
        <v>44</v>
      </c>
      <c r="U34" s="41">
        <f t="shared" si="1"/>
        <v>0</v>
      </c>
      <c r="W34" s="41">
        <f>オフィス評価結果!W34</f>
        <v>2000</v>
      </c>
      <c r="X34" s="41">
        <f>オフィス評価結果!X34</f>
        <v>78</v>
      </c>
      <c r="Y34" s="41">
        <f>オフィス評価結果!Y34</f>
        <v>58</v>
      </c>
      <c r="Z34" s="41">
        <f>オフィス評価結果!Z34</f>
        <v>44</v>
      </c>
    </row>
    <row r="35" spans="2:26" ht="14.25">
      <c r="B35" s="26"/>
      <c r="C35" s="11"/>
      <c r="D35" s="32"/>
      <c r="E35" s="32"/>
      <c r="F35" s="42" t="s">
        <v>30</v>
      </c>
      <c r="G35" s="783"/>
      <c r="H35" s="784"/>
      <c r="I35" s="785"/>
      <c r="J35" s="10" t="s">
        <v>75</v>
      </c>
      <c r="K35" s="11"/>
      <c r="L35" s="120"/>
      <c r="M35" s="12" t="s">
        <v>80</v>
      </c>
      <c r="S35" s="118">
        <f t="shared" si="0"/>
        <v>2200</v>
      </c>
      <c r="T35" s="41">
        <f t="shared" si="2"/>
        <v>32</v>
      </c>
      <c r="U35" s="41">
        <f t="shared" si="1"/>
        <v>0</v>
      </c>
      <c r="W35" s="41">
        <f>オフィス評価結果!W35</f>
        <v>2200</v>
      </c>
      <c r="X35" s="41">
        <f>オフィス評価結果!X35</f>
        <v>53</v>
      </c>
      <c r="Y35" s="41">
        <f>オフィス評価結果!Y35</f>
        <v>47</v>
      </c>
      <c r="Z35" s="41">
        <f>オフィス評価結果!Z35</f>
        <v>32</v>
      </c>
    </row>
    <row r="36" spans="2:26" ht="14.25">
      <c r="B36" s="26"/>
      <c r="C36" s="11"/>
      <c r="D36" s="11"/>
      <c r="E36" s="32"/>
      <c r="F36" s="11"/>
      <c r="G36" s="815"/>
      <c r="H36" s="816"/>
      <c r="I36" s="817"/>
      <c r="J36" s="10" t="s">
        <v>74</v>
      </c>
      <c r="K36" s="11"/>
      <c r="L36" s="120"/>
      <c r="M36" s="12" t="s">
        <v>81</v>
      </c>
      <c r="S36" s="118">
        <f t="shared" si="0"/>
        <v>2400</v>
      </c>
      <c r="T36" s="41">
        <f t="shared" si="2"/>
        <v>23</v>
      </c>
      <c r="U36" s="41">
        <f t="shared" si="1"/>
        <v>0</v>
      </c>
      <c r="W36" s="41">
        <f>オフィス評価結果!W36</f>
        <v>2400</v>
      </c>
      <c r="X36" s="41">
        <f>オフィス評価結果!X36</f>
        <v>37</v>
      </c>
      <c r="Y36" s="41">
        <f>オフィス評価結果!Y36</f>
        <v>28</v>
      </c>
      <c r="Z36" s="41">
        <f>オフィス評価結果!Z36</f>
        <v>23</v>
      </c>
    </row>
    <row r="37" spans="2:26" ht="15.75">
      <c r="B37" s="26"/>
      <c r="C37" s="11"/>
      <c r="D37" s="11"/>
      <c r="E37" s="32"/>
      <c r="F37" s="11"/>
      <c r="G37" s="786"/>
      <c r="H37" s="787"/>
      <c r="I37" s="788"/>
      <c r="J37" s="10" t="s">
        <v>890</v>
      </c>
      <c r="K37" s="11"/>
      <c r="L37" s="120"/>
      <c r="M37" s="12" t="s">
        <v>891</v>
      </c>
      <c r="S37" s="118">
        <f t="shared" si="0"/>
        <v>2600</v>
      </c>
      <c r="T37" s="41">
        <f t="shared" si="2"/>
        <v>23</v>
      </c>
      <c r="U37" s="41">
        <f t="shared" si="1"/>
        <v>0</v>
      </c>
      <c r="W37" s="41">
        <f>オフィス評価結果!W37</f>
        <v>2600</v>
      </c>
      <c r="X37" s="41">
        <f>オフィス評価結果!X37</f>
        <v>25</v>
      </c>
      <c r="Y37" s="41">
        <f>オフィス評価結果!Y37</f>
        <v>17</v>
      </c>
      <c r="Z37" s="41">
        <f>オフィス評価結果!Z37</f>
        <v>23</v>
      </c>
    </row>
    <row r="38" spans="2:26" ht="14.25">
      <c r="B38" s="26"/>
      <c r="C38" s="11"/>
      <c r="D38" s="19">
        <v>0</v>
      </c>
      <c r="E38" s="33">
        <v>1.3</v>
      </c>
      <c r="F38" s="34" t="s">
        <v>356</v>
      </c>
      <c r="G38" s="11"/>
      <c r="H38" s="11"/>
      <c r="I38" s="32" t="s">
        <v>876</v>
      </c>
      <c r="J38" s="11"/>
      <c r="K38" s="11"/>
      <c r="L38" s="11"/>
      <c r="M38" s="12"/>
      <c r="S38" s="118">
        <f t="shared" si="0"/>
        <v>2800</v>
      </c>
      <c r="T38" s="41">
        <f t="shared" si="2"/>
        <v>14</v>
      </c>
      <c r="U38" s="41">
        <f t="shared" si="1"/>
        <v>0</v>
      </c>
      <c r="W38" s="41">
        <f>オフィス評価結果!W38</f>
        <v>2800</v>
      </c>
      <c r="X38" s="41">
        <f>オフィス評価結果!X38</f>
        <v>21</v>
      </c>
      <c r="Y38" s="41">
        <f>オフィス評価結果!Y38</f>
        <v>26</v>
      </c>
      <c r="Z38" s="41">
        <f>オフィス評価結果!Z38</f>
        <v>14</v>
      </c>
    </row>
    <row r="39" spans="2:26" ht="14.25" hidden="1">
      <c r="B39" s="26"/>
      <c r="C39" s="11"/>
      <c r="D39" s="32"/>
      <c r="E39" s="32"/>
      <c r="F39" s="42" t="s">
        <v>30</v>
      </c>
      <c r="G39" s="780"/>
      <c r="H39" s="781"/>
      <c r="I39" s="782"/>
      <c r="J39" s="10" t="s">
        <v>339</v>
      </c>
      <c r="K39" s="11"/>
      <c r="L39" s="120"/>
      <c r="M39" s="16" t="s">
        <v>83</v>
      </c>
      <c r="S39" s="118">
        <f t="shared" si="0"/>
        <v>3000</v>
      </c>
      <c r="T39" s="41">
        <f t="shared" si="2"/>
        <v>5</v>
      </c>
      <c r="U39" s="41">
        <f t="shared" si="1"/>
        <v>0</v>
      </c>
      <c r="W39" s="41">
        <f>オフィス評価結果!W39</f>
        <v>3000</v>
      </c>
      <c r="X39" s="41">
        <f>オフィス評価結果!X39</f>
        <v>11</v>
      </c>
      <c r="Y39" s="41">
        <f>オフィス評価結果!Y39</f>
        <v>8</v>
      </c>
      <c r="Z39" s="41">
        <f>オフィス評価結果!Z39</f>
        <v>5</v>
      </c>
    </row>
    <row r="40" spans="2:26" ht="14.25">
      <c r="B40" s="26"/>
      <c r="C40" s="49">
        <v>3</v>
      </c>
      <c r="D40" s="19">
        <v>5</v>
      </c>
      <c r="E40" s="33">
        <v>1.4</v>
      </c>
      <c r="F40" s="34" t="s">
        <v>859</v>
      </c>
      <c r="G40" s="11"/>
      <c r="H40" s="11"/>
      <c r="I40" s="11"/>
      <c r="J40" s="11"/>
      <c r="K40" s="11"/>
      <c r="L40" s="11"/>
      <c r="M40" s="12"/>
      <c r="S40" s="118">
        <f t="shared" si="0"/>
        <v>3200</v>
      </c>
      <c r="T40" s="41">
        <f t="shared" si="2"/>
        <v>6</v>
      </c>
      <c r="U40" s="41">
        <f t="shared" si="1"/>
        <v>0</v>
      </c>
      <c r="W40" s="41">
        <f>オフィス評価結果!W40</f>
        <v>3200</v>
      </c>
      <c r="X40" s="41">
        <f>オフィス評価結果!X40</f>
        <v>11</v>
      </c>
      <c r="Y40" s="41">
        <f>オフィス評価結果!Y40</f>
        <v>6</v>
      </c>
      <c r="Z40" s="41">
        <f>オフィス評価結果!Z40</f>
        <v>6</v>
      </c>
    </row>
    <row r="41" spans="2:26" ht="14.25">
      <c r="B41" s="26"/>
      <c r="C41" s="11"/>
      <c r="D41" s="32"/>
      <c r="E41" s="32"/>
      <c r="F41" s="42" t="s">
        <v>30</v>
      </c>
      <c r="G41" s="780"/>
      <c r="H41" s="781"/>
      <c r="I41" s="782"/>
      <c r="J41" s="10" t="s">
        <v>34</v>
      </c>
      <c r="K41" s="11"/>
      <c r="L41" s="120"/>
      <c r="M41" s="12" t="s">
        <v>35</v>
      </c>
      <c r="S41" s="118">
        <f t="shared" si="0"/>
        <v>3400</v>
      </c>
      <c r="T41" s="41">
        <f t="shared" si="2"/>
        <v>12</v>
      </c>
      <c r="U41" s="41">
        <f t="shared" si="1"/>
        <v>0</v>
      </c>
      <c r="W41" s="41">
        <f>オフィス評価結果!W41</f>
        <v>3400</v>
      </c>
      <c r="X41" s="41">
        <f>オフィス評価結果!X41</f>
        <v>8</v>
      </c>
      <c r="Y41" s="41">
        <f>オフィス評価結果!Y41</f>
        <v>7</v>
      </c>
      <c r="Z41" s="41">
        <f>オフィス評価結果!Z41</f>
        <v>12</v>
      </c>
    </row>
    <row r="42" spans="2:26" ht="14.25">
      <c r="B42" s="26"/>
      <c r="C42" s="56">
        <f>C28+C30+C34+C38+C40</f>
        <v>21</v>
      </c>
      <c r="D42" s="215">
        <f>D30+D34+D38+D40</f>
        <v>35</v>
      </c>
      <c r="E42" s="220" t="s">
        <v>22</v>
      </c>
      <c r="F42" s="11"/>
      <c r="G42" s="11"/>
      <c r="H42" s="11"/>
      <c r="I42" s="11"/>
      <c r="J42" s="11"/>
      <c r="K42" s="11"/>
      <c r="L42" s="11"/>
      <c r="M42" s="12"/>
      <c r="S42" s="118">
        <f t="shared" si="0"/>
        <v>3600</v>
      </c>
      <c r="T42" s="41">
        <f t="shared" si="2"/>
        <v>3</v>
      </c>
      <c r="U42" s="41">
        <f t="shared" si="1"/>
        <v>0</v>
      </c>
      <c r="W42" s="41">
        <f>オフィス評価結果!W42</f>
        <v>3600</v>
      </c>
      <c r="X42" s="41">
        <f>オフィス評価結果!X42</f>
        <v>9</v>
      </c>
      <c r="Y42" s="41">
        <f>オフィス評価結果!Y42</f>
        <v>4</v>
      </c>
      <c r="Z42" s="41">
        <f>オフィス評価結果!Z42</f>
        <v>3</v>
      </c>
    </row>
    <row r="43" spans="2:26" ht="7.15" customHeight="1">
      <c r="B43" s="26"/>
      <c r="C43" s="4"/>
      <c r="D43" s="4"/>
      <c r="E43" s="217"/>
      <c r="F43" s="4"/>
      <c r="G43" s="4"/>
      <c r="H43" s="4"/>
      <c r="I43" s="4"/>
      <c r="J43" s="4"/>
      <c r="K43" s="4"/>
      <c r="L43" s="4"/>
      <c r="M43" s="27"/>
      <c r="S43" s="118">
        <f t="shared" si="0"/>
        <v>3800</v>
      </c>
      <c r="T43" s="41">
        <f t="shared" si="2"/>
        <v>5</v>
      </c>
      <c r="U43" s="41">
        <f t="shared" si="1"/>
        <v>0</v>
      </c>
      <c r="W43" s="41">
        <f>オフィス評価結果!W43</f>
        <v>3800</v>
      </c>
      <c r="X43" s="41">
        <f>オフィス評価結果!X43</f>
        <v>5</v>
      </c>
      <c r="Y43" s="41">
        <f>オフィス評価結果!Y43</f>
        <v>5</v>
      </c>
      <c r="Z43" s="41">
        <f>オフィス評価結果!Z43</f>
        <v>5</v>
      </c>
    </row>
    <row r="44" spans="2:26" ht="15">
      <c r="B44" s="35"/>
      <c r="C44" s="36" t="s">
        <v>36</v>
      </c>
      <c r="D44" s="37"/>
      <c r="E44" s="221"/>
      <c r="F44" s="37"/>
      <c r="G44" s="37"/>
      <c r="H44" s="37"/>
      <c r="I44" s="37"/>
      <c r="J44" s="37"/>
      <c r="K44" s="37"/>
      <c r="L44" s="37"/>
      <c r="M44" s="38"/>
      <c r="S44" s="118">
        <f t="shared" si="0"/>
        <v>4000</v>
      </c>
      <c r="T44" s="41">
        <f t="shared" si="2"/>
        <v>4</v>
      </c>
      <c r="U44" s="41">
        <f t="shared" si="1"/>
        <v>0</v>
      </c>
      <c r="W44" s="41">
        <f>オフィス評価結果!W44</f>
        <v>4000</v>
      </c>
      <c r="X44" s="41">
        <f>オフィス評価結果!X44</f>
        <v>6</v>
      </c>
      <c r="Y44" s="41">
        <f>オフィス評価結果!Y44</f>
        <v>5</v>
      </c>
      <c r="Z44" s="41">
        <f>オフィス評価結果!Z44</f>
        <v>4</v>
      </c>
    </row>
    <row r="45" spans="2:26" ht="14.25">
      <c r="B45" s="26"/>
      <c r="C45" s="31" t="s">
        <v>24</v>
      </c>
      <c r="D45" s="10" t="s">
        <v>25</v>
      </c>
      <c r="E45" s="32"/>
      <c r="F45" s="11"/>
      <c r="G45" s="11"/>
      <c r="H45" s="11"/>
      <c r="I45" s="11"/>
      <c r="J45" s="31" t="s">
        <v>26</v>
      </c>
      <c r="K45" s="11"/>
      <c r="L45" s="31" t="s">
        <v>27</v>
      </c>
      <c r="M45" s="12"/>
      <c r="S45" s="118">
        <f>W45</f>
        <v>4200</v>
      </c>
      <c r="T45" s="41">
        <f>IF($I$9&gt;=30000,Z45,IF($I$9&gt;=10000,Y45,X45))</f>
        <v>1</v>
      </c>
      <c r="U45" s="41">
        <f t="shared" si="1"/>
        <v>0</v>
      </c>
      <c r="W45" s="41">
        <f>オフィス評価結果!W45</f>
        <v>4200</v>
      </c>
      <c r="X45" s="41">
        <f>オフィス評価結果!X45</f>
        <v>4</v>
      </c>
      <c r="Y45" s="41">
        <f>オフィス評価結果!Y45</f>
        <v>6</v>
      </c>
      <c r="Z45" s="41">
        <f>オフィス評価結果!Z45</f>
        <v>1</v>
      </c>
    </row>
    <row r="46" spans="2:26" ht="14.25">
      <c r="B46" s="26"/>
      <c r="C46" s="20"/>
      <c r="D46" s="11"/>
      <c r="E46" s="214" t="s">
        <v>28</v>
      </c>
      <c r="F46" s="11"/>
      <c r="G46" s="11" t="s">
        <v>877</v>
      </c>
      <c r="H46" s="11"/>
      <c r="I46" s="11"/>
      <c r="J46" s="11"/>
      <c r="K46" s="11"/>
      <c r="L46" s="11"/>
      <c r="M46" s="12"/>
      <c r="S46" s="118">
        <f>W46</f>
        <v>4400</v>
      </c>
      <c r="T46" s="41">
        <f>IF($I$9&gt;=30000,Z46,IF($I$9&gt;=10000,Y46,X46))</f>
        <v>2</v>
      </c>
      <c r="U46" s="41">
        <f t="shared" si="1"/>
        <v>0</v>
      </c>
      <c r="W46" s="41">
        <f>オフィス評価結果!W46</f>
        <v>4400</v>
      </c>
      <c r="X46" s="41">
        <f>オフィス評価結果!X46</f>
        <v>4</v>
      </c>
      <c r="Y46" s="41">
        <f>オフィス評価結果!Y46</f>
        <v>3</v>
      </c>
      <c r="Z46" s="41">
        <f>オフィス評価結果!Z46</f>
        <v>2</v>
      </c>
    </row>
    <row r="47" spans="2:26" ht="14.25">
      <c r="B47" s="26"/>
      <c r="C47" s="11"/>
      <c r="D47" s="11"/>
      <c r="E47" s="32"/>
      <c r="F47" s="42" t="s">
        <v>30</v>
      </c>
      <c r="G47" s="780"/>
      <c r="H47" s="781"/>
      <c r="I47" s="782"/>
      <c r="J47" s="10" t="s">
        <v>38</v>
      </c>
      <c r="K47" s="11"/>
      <c r="L47" s="120"/>
      <c r="M47" s="12" t="s">
        <v>82</v>
      </c>
      <c r="S47" s="118">
        <f>W47</f>
        <v>4600</v>
      </c>
      <c r="T47" s="41">
        <f>IF($I$9&gt;=30000,Z47,IF($I$9&gt;=10000,Y47,X47))</f>
        <v>3</v>
      </c>
      <c r="U47" s="41">
        <f t="shared" si="1"/>
        <v>0</v>
      </c>
      <c r="W47" s="41">
        <f>オフィス評価結果!W47</f>
        <v>4600</v>
      </c>
      <c r="X47" s="41">
        <f>オフィス評価結果!X47</f>
        <v>1</v>
      </c>
      <c r="Y47" s="41">
        <f>オフィス評価結果!Y47</f>
        <v>0</v>
      </c>
      <c r="Z47" s="41">
        <f>オフィス評価結果!Z47</f>
        <v>3</v>
      </c>
    </row>
    <row r="48" spans="2:26" ht="14.25">
      <c r="B48" s="26"/>
      <c r="C48" s="49">
        <v>3</v>
      </c>
      <c r="D48" s="19">
        <v>5</v>
      </c>
      <c r="E48" s="33" t="s">
        <v>39</v>
      </c>
      <c r="F48" s="34" t="s">
        <v>40</v>
      </c>
      <c r="G48" s="11"/>
      <c r="H48" s="11"/>
      <c r="I48" s="11"/>
      <c r="J48" s="11"/>
      <c r="K48" s="11"/>
      <c r="L48" s="11"/>
      <c r="M48" s="12"/>
      <c r="S48" s="118">
        <f>W48</f>
        <v>4800</v>
      </c>
      <c r="T48" s="41">
        <f>IF($I$9&gt;=30000,Z48,IF($I$9&gt;=10000,Y48,X48))</f>
        <v>0</v>
      </c>
      <c r="U48" s="41">
        <f t="shared" si="1"/>
        <v>0</v>
      </c>
      <c r="W48" s="41">
        <f>オフィス評価結果!W48</f>
        <v>4800</v>
      </c>
      <c r="X48" s="41">
        <f>オフィス評価結果!X48</f>
        <v>2</v>
      </c>
      <c r="Y48" s="41">
        <f>オフィス評価結果!Y48</f>
        <v>0</v>
      </c>
      <c r="Z48" s="41">
        <f>オフィス評価結果!Z48</f>
        <v>0</v>
      </c>
    </row>
    <row r="49" spans="2:26" ht="14.25">
      <c r="B49" s="26"/>
      <c r="C49" s="11"/>
      <c r="D49" s="32"/>
      <c r="E49" s="32"/>
      <c r="F49" s="42" t="s">
        <v>30</v>
      </c>
      <c r="G49" s="780"/>
      <c r="H49" s="781"/>
      <c r="I49" s="782"/>
      <c r="J49" s="10" t="s">
        <v>41</v>
      </c>
      <c r="K49" s="11"/>
      <c r="L49" s="120"/>
      <c r="M49" s="12" t="s">
        <v>82</v>
      </c>
      <c r="S49" s="118">
        <f t="shared" si="0"/>
        <v>5000</v>
      </c>
      <c r="T49" s="41">
        <f t="shared" si="2"/>
        <v>0</v>
      </c>
      <c r="U49" s="41">
        <f t="shared" si="1"/>
        <v>0</v>
      </c>
      <c r="W49" s="41">
        <f>オフィス評価結果!W49</f>
        <v>5000</v>
      </c>
      <c r="X49" s="41">
        <f>オフィス評価結果!X49</f>
        <v>0</v>
      </c>
      <c r="Y49" s="41">
        <f>オフィス評価結果!Y49</f>
        <v>0</v>
      </c>
      <c r="Z49" s="41">
        <f>オフィス評価結果!Z49</f>
        <v>0</v>
      </c>
    </row>
    <row r="50" spans="2:26" ht="14.25">
      <c r="B50" s="26"/>
      <c r="C50" s="11"/>
      <c r="D50" s="19">
        <v>0</v>
      </c>
      <c r="E50" s="33">
        <v>2.2000000000000002</v>
      </c>
      <c r="F50" s="34" t="s">
        <v>340</v>
      </c>
      <c r="G50" s="11"/>
      <c r="H50" s="11"/>
      <c r="I50" s="32" t="s">
        <v>876</v>
      </c>
      <c r="J50" s="11"/>
      <c r="K50" s="11"/>
      <c r="L50" s="11"/>
      <c r="M50" s="12"/>
      <c r="S50" s="118">
        <f t="shared" si="0"/>
        <v>5200</v>
      </c>
      <c r="T50" s="41">
        <f>IF($I$9&gt;=30000,Z50,IF($I$9&gt;=10000,Y50,X50))</f>
        <v>0</v>
      </c>
      <c r="U50" s="41">
        <f t="shared" si="1"/>
        <v>0</v>
      </c>
      <c r="W50" s="41">
        <f>オフィス評価結果!W50</f>
        <v>5200</v>
      </c>
      <c r="X50" s="41">
        <f>オフィス評価結果!X50</f>
        <v>0</v>
      </c>
      <c r="Y50" s="41">
        <f>オフィス評価結果!Y50</f>
        <v>0</v>
      </c>
      <c r="Z50" s="41">
        <f>オフィス評価結果!Z50</f>
        <v>0</v>
      </c>
    </row>
    <row r="51" spans="2:26" ht="14.25" hidden="1">
      <c r="B51" s="26"/>
      <c r="C51" s="11"/>
      <c r="D51" s="32"/>
      <c r="E51" s="32"/>
      <c r="F51" s="42" t="s">
        <v>30</v>
      </c>
      <c r="G51" s="780"/>
      <c r="H51" s="781"/>
      <c r="I51" s="782"/>
      <c r="J51" s="10" t="s">
        <v>41</v>
      </c>
      <c r="K51" s="11"/>
      <c r="L51" s="120"/>
      <c r="M51" s="12" t="s">
        <v>82</v>
      </c>
      <c r="S51" s="118">
        <f t="shared" si="0"/>
        <v>5400</v>
      </c>
      <c r="T51" s="41">
        <f t="shared" si="2"/>
        <v>0</v>
      </c>
      <c r="U51" s="41">
        <f t="shared" si="1"/>
        <v>0</v>
      </c>
      <c r="W51" s="41">
        <f>オフィス評価結果!W51</f>
        <v>5400</v>
      </c>
      <c r="X51" s="41">
        <f>オフィス評価結果!X51</f>
        <v>0</v>
      </c>
      <c r="Y51" s="41">
        <f>オフィス評価結果!Y51</f>
        <v>0</v>
      </c>
      <c r="Z51" s="41">
        <f>オフィス評価結果!Z51</f>
        <v>0</v>
      </c>
    </row>
    <row r="52" spans="2:26" ht="14.25">
      <c r="B52" s="26"/>
      <c r="C52" s="49">
        <v>3</v>
      </c>
      <c r="D52" s="19">
        <v>5</v>
      </c>
      <c r="E52" s="33">
        <v>2.2999999999999998</v>
      </c>
      <c r="F52" s="34" t="s">
        <v>42</v>
      </c>
      <c r="G52" s="11"/>
      <c r="H52" s="11"/>
      <c r="I52" s="11"/>
      <c r="J52" s="11"/>
      <c r="K52" s="11"/>
      <c r="L52" s="11"/>
      <c r="M52" s="12"/>
      <c r="S52" s="121"/>
    </row>
    <row r="53" spans="2:26" ht="14.25">
      <c r="B53" s="26"/>
      <c r="C53" s="11"/>
      <c r="D53" s="32"/>
      <c r="E53" s="32"/>
      <c r="F53" s="42" t="s">
        <v>30</v>
      </c>
      <c r="G53" s="780"/>
      <c r="H53" s="781"/>
      <c r="I53" s="782"/>
      <c r="J53" s="10" t="s">
        <v>43</v>
      </c>
      <c r="K53" s="11"/>
      <c r="L53" s="120"/>
      <c r="M53" s="12" t="s">
        <v>82</v>
      </c>
    </row>
    <row r="54" spans="2:26" ht="14.25">
      <c r="B54" s="26"/>
      <c r="C54" s="56">
        <f>C48+C50+C52</f>
        <v>6</v>
      </c>
      <c r="D54" s="215">
        <f>D48+D50+D52</f>
        <v>10</v>
      </c>
      <c r="E54" s="220" t="s">
        <v>22</v>
      </c>
      <c r="F54" s="11"/>
      <c r="G54" s="3"/>
      <c r="H54" s="3"/>
      <c r="I54" s="3"/>
      <c r="J54" s="11"/>
      <c r="K54" s="11"/>
      <c r="L54" s="11"/>
      <c r="M54" s="12"/>
      <c r="S54" s="41" t="str">
        <f>オフィス評価結果!S54</f>
        <v>延床面積</v>
      </c>
      <c r="T54" s="41" t="str">
        <f>オフィス評価結果!T54</f>
        <v>水消費量[実績値](L/㎡・年)</v>
      </c>
      <c r="U54" s="41" t="s">
        <v>100</v>
      </c>
    </row>
    <row r="55" spans="2:26" ht="7.15" customHeight="1">
      <c r="B55" s="29"/>
      <c r="C55" s="30"/>
      <c r="D55" s="30"/>
      <c r="E55" s="218"/>
      <c r="F55" s="30"/>
      <c r="G55" s="30"/>
      <c r="H55" s="30"/>
      <c r="I55" s="30"/>
      <c r="J55" s="30"/>
      <c r="K55" s="30"/>
      <c r="L55" s="30"/>
      <c r="M55" s="39"/>
      <c r="S55" s="41">
        <f>オフィス評価結果!S55</f>
        <v>0</v>
      </c>
      <c r="T55" s="41">
        <f>オフィス評価結果!T55</f>
        <v>0</v>
      </c>
      <c r="U55" s="41">
        <f t="shared" ref="U55:U73" si="3">IF(AND($L$53&gt;=S55,$L$53&lt;S56),T55,0)</f>
        <v>0</v>
      </c>
    </row>
    <row r="56" spans="2:26" ht="15">
      <c r="B56" s="35"/>
      <c r="C56" s="36" t="s">
        <v>44</v>
      </c>
      <c r="D56" s="37"/>
      <c r="E56" s="221"/>
      <c r="F56" s="37"/>
      <c r="G56" s="37"/>
      <c r="H56" s="37"/>
      <c r="I56" s="37"/>
      <c r="J56" s="37"/>
      <c r="K56" s="37"/>
      <c r="L56" s="37"/>
      <c r="M56" s="38"/>
      <c r="S56" s="41">
        <f>オフィス評価結果!S56</f>
        <v>100</v>
      </c>
      <c r="T56" s="41">
        <f>オフィス評価結果!T56</f>
        <v>0</v>
      </c>
      <c r="U56" s="41">
        <f t="shared" si="3"/>
        <v>0</v>
      </c>
    </row>
    <row r="57" spans="2:26" ht="14.25">
      <c r="B57" s="26"/>
      <c r="C57" s="31" t="s">
        <v>24</v>
      </c>
      <c r="D57" s="10" t="s">
        <v>25</v>
      </c>
      <c r="E57" s="32"/>
      <c r="F57" s="11"/>
      <c r="G57" s="11"/>
      <c r="H57" s="11"/>
      <c r="I57" s="11"/>
      <c r="J57" s="31" t="s">
        <v>26</v>
      </c>
      <c r="K57" s="11"/>
      <c r="L57" s="31" t="s">
        <v>27</v>
      </c>
      <c r="M57" s="12"/>
      <c r="S57" s="41">
        <f>オフィス評価結果!S57</f>
        <v>200</v>
      </c>
      <c r="T57" s="41">
        <f>オフィス評価結果!T57</f>
        <v>0</v>
      </c>
      <c r="U57" s="41">
        <f t="shared" si="3"/>
        <v>0</v>
      </c>
    </row>
    <row r="58" spans="2:26" ht="14.25">
      <c r="B58" s="26"/>
      <c r="C58" s="20"/>
      <c r="D58" s="11"/>
      <c r="E58" s="214" t="s">
        <v>28</v>
      </c>
      <c r="F58" s="11"/>
      <c r="G58" s="11" t="s">
        <v>878</v>
      </c>
      <c r="H58" s="11"/>
      <c r="I58" s="11"/>
      <c r="J58" s="11"/>
      <c r="K58" s="11"/>
      <c r="L58" s="11"/>
      <c r="M58" s="12"/>
      <c r="S58" s="41">
        <f>オフィス評価結果!S58</f>
        <v>300</v>
      </c>
      <c r="T58" s="41">
        <f>オフィス評価結果!T58</f>
        <v>90</v>
      </c>
      <c r="U58" s="41">
        <f t="shared" si="3"/>
        <v>0</v>
      </c>
    </row>
    <row r="59" spans="2:26" ht="13.9" customHeight="1">
      <c r="B59" s="26"/>
      <c r="C59" s="11"/>
      <c r="D59" s="11"/>
      <c r="E59" s="32"/>
      <c r="F59" s="42" t="s">
        <v>30</v>
      </c>
      <c r="G59" s="824"/>
      <c r="H59" s="781"/>
      <c r="I59" s="782"/>
      <c r="J59" s="10" t="s">
        <v>45</v>
      </c>
      <c r="K59" s="11"/>
      <c r="L59" s="11"/>
      <c r="M59" s="12"/>
      <c r="S59" s="41">
        <f>オフィス評価結果!S59</f>
        <v>400</v>
      </c>
      <c r="T59" s="41">
        <f>オフィス評価結果!T59</f>
        <v>183</v>
      </c>
      <c r="U59" s="41">
        <f t="shared" si="3"/>
        <v>0</v>
      </c>
    </row>
    <row r="60" spans="2:26" ht="14.25">
      <c r="B60" s="26"/>
      <c r="C60" s="56">
        <f>MAX(C61,C63)</f>
        <v>3</v>
      </c>
      <c r="D60" s="19">
        <v>5</v>
      </c>
      <c r="E60" s="33" t="s">
        <v>46</v>
      </c>
      <c r="F60" s="34" t="s">
        <v>358</v>
      </c>
      <c r="G60" s="11"/>
      <c r="H60" s="11"/>
      <c r="I60" s="32" t="s">
        <v>879</v>
      </c>
      <c r="J60" s="11"/>
      <c r="K60" s="11"/>
      <c r="L60" s="11"/>
      <c r="M60" s="12"/>
      <c r="S60" s="41">
        <f>オフィス評価結果!S60</f>
        <v>500</v>
      </c>
      <c r="T60" s="41">
        <f>オフィス評価結果!T60</f>
        <v>234</v>
      </c>
      <c r="U60" s="41">
        <f t="shared" si="3"/>
        <v>0</v>
      </c>
    </row>
    <row r="61" spans="2:26" ht="14.25">
      <c r="B61" s="26"/>
      <c r="C61" s="49">
        <v>3</v>
      </c>
      <c r="D61" s="51"/>
      <c r="E61" s="52" t="s">
        <v>351</v>
      </c>
      <c r="F61" s="53" t="s">
        <v>111</v>
      </c>
      <c r="G61" s="3"/>
      <c r="H61" s="3"/>
      <c r="I61" s="3"/>
      <c r="J61" s="11"/>
      <c r="K61" s="11"/>
      <c r="L61" s="11"/>
      <c r="M61" s="12"/>
      <c r="S61" s="41">
        <f>オフィス評価結果!S61</f>
        <v>600</v>
      </c>
      <c r="T61" s="41">
        <f>オフィス評価結果!T61</f>
        <v>230</v>
      </c>
      <c r="U61" s="41">
        <f t="shared" si="3"/>
        <v>0</v>
      </c>
    </row>
    <row r="62" spans="2:26" ht="14.25">
      <c r="B62" s="26"/>
      <c r="D62" s="51"/>
      <c r="E62" s="52"/>
      <c r="F62" s="42" t="s">
        <v>30</v>
      </c>
      <c r="G62" s="780"/>
      <c r="H62" s="781"/>
      <c r="I62" s="782"/>
      <c r="J62" s="11"/>
      <c r="K62" s="11"/>
      <c r="L62" s="11"/>
      <c r="M62" s="12"/>
      <c r="S62" s="41">
        <f>オフィス評価結果!S62</f>
        <v>700</v>
      </c>
      <c r="T62" s="41">
        <f>オフィス評価結果!T62</f>
        <v>236</v>
      </c>
      <c r="U62" s="41">
        <f t="shared" si="3"/>
        <v>0</v>
      </c>
    </row>
    <row r="63" spans="2:26" ht="14.25">
      <c r="B63" s="26"/>
      <c r="C63" s="49">
        <v>3</v>
      </c>
      <c r="D63" s="51"/>
      <c r="E63" s="216" t="s">
        <v>352</v>
      </c>
      <c r="F63" s="53" t="s">
        <v>373</v>
      </c>
      <c r="G63" s="3"/>
      <c r="H63" s="3"/>
      <c r="I63" s="3"/>
      <c r="J63" s="11"/>
      <c r="K63" s="11"/>
      <c r="L63" s="11"/>
      <c r="M63" s="12"/>
      <c r="S63" s="41">
        <f>オフィス評価結果!S63</f>
        <v>800</v>
      </c>
      <c r="T63" s="41">
        <f>オフィス評価結果!T63</f>
        <v>198</v>
      </c>
      <c r="U63" s="41">
        <f t="shared" si="3"/>
        <v>0</v>
      </c>
    </row>
    <row r="64" spans="2:26" ht="14.25">
      <c r="B64" s="26"/>
      <c r="D64" s="51"/>
      <c r="E64" s="216"/>
      <c r="F64" s="42" t="s">
        <v>30</v>
      </c>
      <c r="G64" s="780"/>
      <c r="H64" s="781"/>
      <c r="I64" s="782"/>
      <c r="J64" s="11"/>
      <c r="K64" s="11"/>
      <c r="L64" s="11"/>
      <c r="M64" s="12"/>
      <c r="S64" s="41">
        <f>オフィス評価結果!S64</f>
        <v>900</v>
      </c>
      <c r="T64" s="41">
        <f>オフィス評価結果!T64</f>
        <v>165</v>
      </c>
      <c r="U64" s="41">
        <f t="shared" si="3"/>
        <v>0</v>
      </c>
    </row>
    <row r="65" spans="2:21" ht="14.25">
      <c r="B65" s="26"/>
      <c r="C65" s="56">
        <f>(C67+C68)/2+C69</f>
        <v>2</v>
      </c>
      <c r="D65" s="19">
        <v>5</v>
      </c>
      <c r="E65" s="33" t="s">
        <v>47</v>
      </c>
      <c r="F65" s="34" t="s">
        <v>342</v>
      </c>
      <c r="G65" s="3"/>
      <c r="H65" s="3"/>
      <c r="I65" s="3"/>
      <c r="J65" s="11"/>
      <c r="K65" s="11"/>
      <c r="L65" s="11"/>
      <c r="M65" s="12"/>
      <c r="S65" s="41">
        <f>オフィス評価結果!S65</f>
        <v>1000</v>
      </c>
      <c r="T65" s="41">
        <f>オフィス評価結果!T65</f>
        <v>139</v>
      </c>
      <c r="U65" s="41">
        <f t="shared" si="3"/>
        <v>0</v>
      </c>
    </row>
    <row r="66" spans="2:21" ht="14.25">
      <c r="B66" s="26"/>
      <c r="E66" s="52" t="s">
        <v>343</v>
      </c>
      <c r="F66" s="53" t="s">
        <v>944</v>
      </c>
      <c r="G66" s="11"/>
      <c r="H66" s="11"/>
      <c r="I66" s="32" t="s">
        <v>880</v>
      </c>
      <c r="J66" s="11"/>
      <c r="K66" s="11"/>
      <c r="L66" s="11"/>
      <c r="M66" s="12"/>
      <c r="S66" s="41">
        <f>オフィス評価結果!S66</f>
        <v>1100</v>
      </c>
      <c r="T66" s="41">
        <f>オフィス評価結果!T66</f>
        <v>131</v>
      </c>
      <c r="U66" s="41">
        <f t="shared" si="3"/>
        <v>0</v>
      </c>
    </row>
    <row r="67" spans="2:21" ht="14.25">
      <c r="B67" s="26"/>
      <c r="C67" s="49">
        <v>3</v>
      </c>
      <c r="D67" s="51"/>
      <c r="E67" s="52" t="s">
        <v>109</v>
      </c>
      <c r="F67" s="53" t="s">
        <v>121</v>
      </c>
      <c r="G67" s="780"/>
      <c r="H67" s="781"/>
      <c r="I67" s="782"/>
      <c r="J67" s="11"/>
      <c r="K67" s="11"/>
      <c r="L67" s="11"/>
      <c r="M67" s="12"/>
      <c r="S67" s="41">
        <f>オフィス評価結果!S67</f>
        <v>1200</v>
      </c>
      <c r="T67" s="41">
        <f>オフィス評価結果!T67</f>
        <v>77</v>
      </c>
      <c r="U67" s="41">
        <f t="shared" si="3"/>
        <v>0</v>
      </c>
    </row>
    <row r="68" spans="2:21" ht="14.25">
      <c r="B68" s="26"/>
      <c r="C68" s="49">
        <v>1</v>
      </c>
      <c r="D68" s="51"/>
      <c r="E68" s="52" t="s">
        <v>110</v>
      </c>
      <c r="F68" s="53" t="s">
        <v>122</v>
      </c>
      <c r="G68" s="780"/>
      <c r="H68" s="781"/>
      <c r="I68" s="782"/>
      <c r="J68" s="582" t="s">
        <v>107</v>
      </c>
      <c r="K68" s="11"/>
      <c r="L68" s="119"/>
      <c r="M68" s="16" t="s">
        <v>48</v>
      </c>
      <c r="S68" s="41">
        <f>オフィス評価結果!S68</f>
        <v>1300</v>
      </c>
      <c r="T68" s="41">
        <f>オフィス評価結果!T68</f>
        <v>46</v>
      </c>
      <c r="U68" s="41">
        <f t="shared" si="3"/>
        <v>0</v>
      </c>
    </row>
    <row r="69" spans="2:21" ht="14.25">
      <c r="B69" s="26"/>
      <c r="C69" s="51"/>
      <c r="E69" s="52" t="s">
        <v>344</v>
      </c>
      <c r="F69" s="123" t="s">
        <v>126</v>
      </c>
      <c r="G69" s="3"/>
      <c r="H69" s="3"/>
      <c r="I69" s="32" t="s">
        <v>876</v>
      </c>
      <c r="M69" s="16"/>
      <c r="S69" s="41">
        <f>オフィス評価結果!S69</f>
        <v>1400</v>
      </c>
      <c r="T69" s="41">
        <f>オフィス評価結果!T69</f>
        <v>48</v>
      </c>
      <c r="U69" s="41">
        <f t="shared" si="3"/>
        <v>0</v>
      </c>
    </row>
    <row r="70" spans="2:21" ht="14.25" hidden="1">
      <c r="B70" s="26"/>
      <c r="D70" s="51"/>
      <c r="E70" s="52"/>
      <c r="F70" s="42" t="s">
        <v>30</v>
      </c>
      <c r="G70" s="729"/>
      <c r="H70" s="209"/>
      <c r="I70" s="210"/>
      <c r="J70" s="10" t="s">
        <v>367</v>
      </c>
      <c r="K70" s="11"/>
      <c r="L70" s="40"/>
      <c r="M70" s="16" t="s">
        <v>114</v>
      </c>
      <c r="S70" s="41">
        <f>オフィス評価結果!S70</f>
        <v>1500</v>
      </c>
      <c r="T70" s="41">
        <f>オフィス評価結果!T70</f>
        <v>26</v>
      </c>
      <c r="U70" s="41">
        <f t="shared" si="3"/>
        <v>0</v>
      </c>
    </row>
    <row r="71" spans="2:21" ht="14.25">
      <c r="B71" s="26"/>
      <c r="C71" s="49">
        <v>3</v>
      </c>
      <c r="D71" s="19">
        <v>5</v>
      </c>
      <c r="E71" s="33" t="s">
        <v>49</v>
      </c>
      <c r="F71" s="34" t="s">
        <v>50</v>
      </c>
      <c r="G71" s="11"/>
      <c r="H71" s="11"/>
      <c r="I71" s="11"/>
      <c r="J71" s="11"/>
      <c r="K71" s="11"/>
      <c r="L71" s="11"/>
      <c r="M71" s="12"/>
      <c r="S71" s="41">
        <f>オフィス評価結果!S71</f>
        <v>1600</v>
      </c>
      <c r="T71" s="41">
        <f>オフィス評価結果!T71</f>
        <v>26</v>
      </c>
      <c r="U71" s="41">
        <f t="shared" si="3"/>
        <v>0</v>
      </c>
    </row>
    <row r="72" spans="2:21" ht="14.25">
      <c r="B72" s="26"/>
      <c r="C72" s="11"/>
      <c r="D72" s="32"/>
      <c r="E72" s="32"/>
      <c r="F72" s="42" t="s">
        <v>30</v>
      </c>
      <c r="G72" s="820"/>
      <c r="H72" s="781"/>
      <c r="I72" s="782"/>
      <c r="J72" s="573" t="s">
        <v>112</v>
      </c>
      <c r="K72" s="11"/>
      <c r="L72" s="119"/>
      <c r="M72" s="16" t="s">
        <v>51</v>
      </c>
      <c r="S72" s="41">
        <f>オフィス評価結果!S72</f>
        <v>1700</v>
      </c>
      <c r="T72" s="41">
        <f>オフィス評価結果!T72</f>
        <v>24</v>
      </c>
      <c r="U72" s="41">
        <f t="shared" si="3"/>
        <v>0</v>
      </c>
    </row>
    <row r="73" spans="2:21" ht="14.25">
      <c r="B73" s="26"/>
      <c r="C73" s="580">
        <f>AVERAGE(C74:C80)</f>
        <v>2.75</v>
      </c>
      <c r="D73" s="19">
        <v>5</v>
      </c>
      <c r="E73" s="33" t="s">
        <v>52</v>
      </c>
      <c r="F73" s="583" t="s">
        <v>833</v>
      </c>
      <c r="G73" s="579"/>
      <c r="H73" s="579"/>
      <c r="I73" s="725"/>
      <c r="K73" s="584" t="s">
        <v>832</v>
      </c>
      <c r="L73" s="11"/>
      <c r="M73" s="12"/>
      <c r="S73" s="41">
        <f>オフィス評価結果!S73</f>
        <v>1800</v>
      </c>
      <c r="T73" s="41">
        <f>オフィス評価結果!T73</f>
        <v>15</v>
      </c>
      <c r="U73" s="41">
        <f t="shared" si="3"/>
        <v>0</v>
      </c>
    </row>
    <row r="74" spans="2:21" ht="14.25">
      <c r="B74" s="26"/>
      <c r="C74" s="49">
        <v>3</v>
      </c>
      <c r="D74" s="51"/>
      <c r="E74" s="52" t="s">
        <v>353</v>
      </c>
      <c r="F74" s="53" t="s">
        <v>350</v>
      </c>
      <c r="G74" s="3"/>
      <c r="H74" s="3"/>
      <c r="I74" s="3"/>
      <c r="M74" s="12"/>
      <c r="S74" s="41">
        <f>オフィス評価結果!S74</f>
        <v>1900</v>
      </c>
      <c r="T74" s="41">
        <f>オフィス評価結果!T74</f>
        <v>14</v>
      </c>
      <c r="U74" s="41">
        <f t="shared" ref="U74:U83" si="4">IF(AND($L$53&gt;=S74,$L$53&lt;S75),T74,0)</f>
        <v>0</v>
      </c>
    </row>
    <row r="75" spans="2:21" ht="14.25">
      <c r="B75" s="26"/>
      <c r="D75" s="51"/>
      <c r="E75" s="52"/>
      <c r="F75" s="42" t="s">
        <v>30</v>
      </c>
      <c r="G75" s="780"/>
      <c r="H75" s="781"/>
      <c r="I75" s="782"/>
      <c r="J75" s="10" t="s">
        <v>116</v>
      </c>
      <c r="K75" s="11"/>
      <c r="L75" s="119"/>
      <c r="M75" s="16" t="s">
        <v>115</v>
      </c>
      <c r="S75" s="41">
        <f>オフィス評価結果!S75</f>
        <v>2000</v>
      </c>
      <c r="T75" s="41">
        <f>オフィス評価結果!T75</f>
        <v>6</v>
      </c>
      <c r="U75" s="41">
        <f t="shared" si="4"/>
        <v>0</v>
      </c>
    </row>
    <row r="76" spans="2:21" ht="14.25">
      <c r="B76" s="26"/>
      <c r="C76" s="49">
        <v>3</v>
      </c>
      <c r="D76" s="51"/>
      <c r="E76" s="52" t="s">
        <v>354</v>
      </c>
      <c r="F76" s="53" t="s">
        <v>349</v>
      </c>
      <c r="G76" s="3"/>
      <c r="H76" s="3"/>
      <c r="I76" s="3"/>
      <c r="J76" s="10"/>
      <c r="K76" s="11"/>
      <c r="M76" s="16"/>
      <c r="S76" s="41">
        <f>オフィス評価結果!S76</f>
        <v>2100</v>
      </c>
      <c r="T76" s="41">
        <f>オフィス評価結果!T76</f>
        <v>13</v>
      </c>
      <c r="U76" s="41">
        <f t="shared" si="4"/>
        <v>0</v>
      </c>
    </row>
    <row r="77" spans="2:21" ht="14.25">
      <c r="B77" s="26"/>
      <c r="D77" s="51"/>
      <c r="E77" s="52"/>
      <c r="F77" s="42" t="s">
        <v>361</v>
      </c>
      <c r="G77" s="780"/>
      <c r="H77" s="781"/>
      <c r="I77" s="782"/>
      <c r="J77" s="10" t="s">
        <v>84</v>
      </c>
      <c r="K77" s="11"/>
      <c r="L77" s="119"/>
      <c r="M77" s="16" t="s">
        <v>83</v>
      </c>
      <c r="S77" s="41">
        <f>オフィス評価結果!S77</f>
        <v>2200</v>
      </c>
      <c r="T77" s="41">
        <f>オフィス評価結果!T77</f>
        <v>4</v>
      </c>
      <c r="U77" s="41">
        <f t="shared" si="4"/>
        <v>0</v>
      </c>
    </row>
    <row r="78" spans="2:21" ht="14.25">
      <c r="B78" s="26"/>
      <c r="C78" s="49">
        <v>2</v>
      </c>
      <c r="D78" s="51"/>
      <c r="E78" s="52" t="s">
        <v>355</v>
      </c>
      <c r="F78" s="53" t="s">
        <v>113</v>
      </c>
      <c r="G78" s="3"/>
      <c r="H78" s="3"/>
      <c r="I78" s="3"/>
      <c r="J78" s="10"/>
      <c r="K78" s="11"/>
      <c r="M78" s="16"/>
      <c r="S78" s="41">
        <f>オフィス評価結果!S78</f>
        <v>2300</v>
      </c>
      <c r="T78" s="41">
        <f>オフィス評価結果!T78</f>
        <v>11</v>
      </c>
      <c r="U78" s="41">
        <f t="shared" si="4"/>
        <v>0</v>
      </c>
    </row>
    <row r="79" spans="2:21" ht="14.25">
      <c r="B79" s="26"/>
      <c r="D79" s="51"/>
      <c r="E79" s="52"/>
      <c r="F79" s="42" t="s">
        <v>30</v>
      </c>
      <c r="G79" s="780"/>
      <c r="H79" s="781"/>
      <c r="I79" s="782"/>
      <c r="J79" s="10" t="s">
        <v>85</v>
      </c>
      <c r="K79" s="11"/>
      <c r="L79" s="119"/>
      <c r="M79" s="16" t="s">
        <v>114</v>
      </c>
      <c r="S79" s="41">
        <f>オフィス評価結果!S79</f>
        <v>2400</v>
      </c>
      <c r="T79" s="41">
        <f>オフィス評価結果!T79</f>
        <v>3</v>
      </c>
      <c r="U79" s="41">
        <f t="shared" si="4"/>
        <v>0</v>
      </c>
    </row>
    <row r="80" spans="2:21" ht="14.25">
      <c r="B80" s="26"/>
      <c r="C80" s="368">
        <v>3</v>
      </c>
      <c r="D80" s="51"/>
      <c r="E80" s="52" t="s">
        <v>381</v>
      </c>
      <c r="F80" s="53" t="s">
        <v>943</v>
      </c>
      <c r="G80" s="3"/>
      <c r="H80" s="3"/>
      <c r="I80" s="3"/>
      <c r="M80" s="16"/>
      <c r="S80" s="41">
        <f>オフィス評価結果!S80</f>
        <v>2500</v>
      </c>
      <c r="T80" s="41">
        <f>オフィス評価結果!T80</f>
        <v>0</v>
      </c>
      <c r="U80" s="41">
        <f t="shared" si="4"/>
        <v>0</v>
      </c>
    </row>
    <row r="81" spans="2:22" ht="16.149999999999999" customHeight="1">
      <c r="B81" s="26"/>
      <c r="D81" s="51"/>
      <c r="E81" s="52"/>
      <c r="F81" s="42" t="s">
        <v>30</v>
      </c>
      <c r="G81" s="780"/>
      <c r="H81" s="781"/>
      <c r="I81" s="782"/>
      <c r="J81" s="10"/>
      <c r="K81" s="11"/>
      <c r="M81" s="16"/>
      <c r="P81" s="330"/>
      <c r="S81" s="41">
        <f>オフィス評価結果!S81</f>
        <v>2600</v>
      </c>
      <c r="T81" s="41">
        <f>オフィス評価結果!T81</f>
        <v>0</v>
      </c>
      <c r="U81" s="41">
        <f t="shared" si="4"/>
        <v>0</v>
      </c>
    </row>
    <row r="82" spans="2:22" ht="14.25">
      <c r="B82" s="26"/>
      <c r="C82" s="745">
        <f>C60+C65+C71+C73</f>
        <v>10.75</v>
      </c>
      <c r="D82" s="215">
        <f>D60+D65+D71+D73</f>
        <v>20</v>
      </c>
      <c r="E82" s="220" t="s">
        <v>22</v>
      </c>
      <c r="F82" s="11"/>
      <c r="G82" s="11"/>
      <c r="H82" s="11"/>
      <c r="I82" s="11"/>
      <c r="J82" s="11"/>
      <c r="K82" s="11"/>
      <c r="L82" s="11"/>
      <c r="M82" s="12"/>
      <c r="S82" s="41">
        <f>オフィス評価結果!S82</f>
        <v>2700</v>
      </c>
      <c r="T82" s="41">
        <f>オフィス評価結果!T82</f>
        <v>0</v>
      </c>
      <c r="U82" s="41">
        <f t="shared" si="4"/>
        <v>0</v>
      </c>
    </row>
    <row r="83" spans="2:22" ht="6.6" customHeight="1">
      <c r="B83" s="29"/>
      <c r="C83" s="30"/>
      <c r="D83" s="30"/>
      <c r="E83" s="218"/>
      <c r="F83" s="30"/>
      <c r="G83" s="30"/>
      <c r="H83" s="30"/>
      <c r="I83" s="30"/>
      <c r="J83" s="30"/>
      <c r="K83" s="30"/>
      <c r="L83" s="30"/>
      <c r="M83" s="39"/>
      <c r="P83" s="331"/>
      <c r="Q83" s="331"/>
      <c r="S83" s="41">
        <f>オフィス評価結果!S83</f>
        <v>2800</v>
      </c>
      <c r="T83" s="41">
        <f>オフィス評価結果!T83</f>
        <v>0</v>
      </c>
      <c r="U83" s="41">
        <f t="shared" si="4"/>
        <v>0</v>
      </c>
    </row>
    <row r="84" spans="2:22" ht="14.25" customHeight="1">
      <c r="B84" s="5"/>
      <c r="C84" s="6" t="s">
        <v>53</v>
      </c>
      <c r="D84" s="7"/>
      <c r="E84" s="219"/>
      <c r="F84" s="7"/>
      <c r="G84" s="7"/>
      <c r="H84" s="7"/>
      <c r="I84" s="7"/>
      <c r="J84" s="7"/>
      <c r="K84" s="7"/>
      <c r="L84" s="7"/>
      <c r="M84" s="8"/>
      <c r="P84" s="331"/>
      <c r="Q84" s="331"/>
    </row>
    <row r="85" spans="2:22" ht="14.25" customHeight="1">
      <c r="B85" s="26"/>
      <c r="C85" s="31" t="s">
        <v>24</v>
      </c>
      <c r="D85" s="10" t="s">
        <v>25</v>
      </c>
      <c r="E85" s="32"/>
      <c r="F85" s="11"/>
      <c r="G85" s="11"/>
      <c r="H85" s="11"/>
      <c r="I85" s="11"/>
      <c r="J85" s="31" t="s">
        <v>26</v>
      </c>
      <c r="K85" s="11"/>
      <c r="L85" s="31" t="s">
        <v>27</v>
      </c>
      <c r="M85" s="12"/>
      <c r="P85" s="331"/>
      <c r="Q85" s="331"/>
    </row>
    <row r="86" spans="2:22" ht="14.25" customHeight="1">
      <c r="B86" s="26"/>
      <c r="C86" s="20"/>
      <c r="D86" s="11"/>
      <c r="E86" s="214" t="s">
        <v>28</v>
      </c>
      <c r="F86" s="11"/>
      <c r="G86" s="11" t="s">
        <v>882</v>
      </c>
      <c r="H86" s="11"/>
      <c r="I86" s="11"/>
      <c r="J86" s="11"/>
      <c r="K86" s="11"/>
      <c r="L86" s="11"/>
      <c r="M86" s="12"/>
      <c r="P86" s="331"/>
      <c r="Q86" s="331"/>
      <c r="S86" s="59"/>
      <c r="T86" s="122"/>
      <c r="V86" s="46"/>
    </row>
    <row r="87" spans="2:22" ht="14.25" customHeight="1">
      <c r="B87" s="26"/>
      <c r="C87" s="11"/>
      <c r="D87" s="11"/>
      <c r="E87" s="32"/>
      <c r="F87" s="42" t="s">
        <v>30</v>
      </c>
      <c r="G87" s="780"/>
      <c r="H87" s="781"/>
      <c r="I87" s="782"/>
      <c r="J87" s="10" t="s">
        <v>45</v>
      </c>
      <c r="K87" s="11"/>
      <c r="L87" s="11"/>
      <c r="M87" s="12"/>
      <c r="P87" s="331"/>
      <c r="Q87" s="331"/>
      <c r="S87" s="59"/>
      <c r="T87" s="122"/>
    </row>
    <row r="88" spans="2:22" ht="14.25" customHeight="1">
      <c r="B88" s="26"/>
      <c r="C88" s="49">
        <v>3</v>
      </c>
      <c r="D88" s="19">
        <f>IF(AND(C90&lt;&gt;"",C90=0),10,5)</f>
        <v>5</v>
      </c>
      <c r="E88" s="33" t="s">
        <v>54</v>
      </c>
      <c r="F88" s="34" t="s">
        <v>55</v>
      </c>
      <c r="G88" s="11"/>
      <c r="H88" s="11"/>
      <c r="I88" s="11"/>
      <c r="J88" s="11"/>
      <c r="K88" s="11"/>
      <c r="L88" s="11"/>
      <c r="M88" s="12"/>
      <c r="P88" s="331"/>
      <c r="Q88" s="331"/>
    </row>
    <row r="89" spans="2:22" ht="14.25" customHeight="1">
      <c r="B89" s="26"/>
      <c r="C89" s="11"/>
      <c r="D89" s="181" t="s">
        <v>319</v>
      </c>
      <c r="E89" s="42"/>
      <c r="F89" s="42" t="s">
        <v>30</v>
      </c>
      <c r="G89" s="780"/>
      <c r="H89" s="781"/>
      <c r="I89" s="782"/>
      <c r="J89" s="573" t="s">
        <v>118</v>
      </c>
      <c r="K89" s="11"/>
      <c r="L89" s="119"/>
      <c r="M89" s="16" t="s">
        <v>114</v>
      </c>
      <c r="P89" s="331"/>
      <c r="Q89" s="331"/>
    </row>
    <row r="90" spans="2:22" ht="14.25" customHeight="1">
      <c r="B90" s="26"/>
      <c r="C90" s="49">
        <v>3</v>
      </c>
      <c r="D90" s="19">
        <f>IF(AND(C90&lt;&gt;"",C90=0),0,5)</f>
        <v>5</v>
      </c>
      <c r="E90" s="33" t="s">
        <v>56</v>
      </c>
      <c r="F90" s="34" t="s">
        <v>57</v>
      </c>
      <c r="G90" s="11"/>
      <c r="H90" s="11"/>
      <c r="I90" s="11"/>
      <c r="J90" s="11"/>
      <c r="K90" s="11"/>
      <c r="L90" s="11"/>
      <c r="M90" s="12"/>
    </row>
    <row r="91" spans="2:22" ht="14.25">
      <c r="B91" s="26"/>
      <c r="C91" s="11"/>
      <c r="D91" s="32" t="s">
        <v>117</v>
      </c>
      <c r="E91" s="32"/>
      <c r="F91" s="42" t="s">
        <v>30</v>
      </c>
      <c r="G91" s="780"/>
      <c r="H91" s="781"/>
      <c r="I91" s="782"/>
      <c r="J91" s="10" t="s">
        <v>45</v>
      </c>
      <c r="K91" s="11"/>
      <c r="L91" s="11"/>
      <c r="M91" s="12"/>
    </row>
    <row r="92" spans="2:22" ht="14.25">
      <c r="B92" s="26"/>
      <c r="C92" s="56">
        <f>AVERAGE(C93:C95)</f>
        <v>3</v>
      </c>
      <c r="D92" s="19">
        <v>5</v>
      </c>
      <c r="E92" s="33" t="s">
        <v>58</v>
      </c>
      <c r="F92" s="34" t="s">
        <v>345</v>
      </c>
      <c r="G92" s="11"/>
      <c r="H92" s="11"/>
      <c r="I92" s="11"/>
      <c r="J92" s="11"/>
      <c r="K92" s="11"/>
      <c r="L92" s="11"/>
      <c r="M92" s="12"/>
    </row>
    <row r="93" spans="2:22" ht="14.25">
      <c r="B93" s="26"/>
      <c r="C93" s="49">
        <v>3</v>
      </c>
      <c r="D93" s="51"/>
      <c r="E93" s="52" t="s">
        <v>346</v>
      </c>
      <c r="F93" s="53" t="s">
        <v>347</v>
      </c>
      <c r="G93" s="11"/>
      <c r="H93" s="11"/>
      <c r="I93" s="11"/>
      <c r="J93" s="11"/>
      <c r="K93" s="11"/>
      <c r="L93" s="11"/>
      <c r="M93" s="12"/>
    </row>
    <row r="94" spans="2:22" ht="14.25">
      <c r="B94" s="26"/>
      <c r="D94" s="51"/>
      <c r="E94" s="33"/>
      <c r="F94" s="42" t="s">
        <v>30</v>
      </c>
      <c r="G94" s="780"/>
      <c r="H94" s="781"/>
      <c r="I94" s="782"/>
      <c r="J94" s="573" t="s">
        <v>368</v>
      </c>
      <c r="K94" s="11"/>
      <c r="L94" s="119"/>
      <c r="M94" s="16" t="s">
        <v>369</v>
      </c>
    </row>
    <row r="95" spans="2:22" ht="14.25">
      <c r="B95" s="26"/>
      <c r="C95" s="11"/>
      <c r="D95" s="51"/>
      <c r="E95" s="52" t="s">
        <v>348</v>
      </c>
      <c r="F95" s="53" t="s">
        <v>377</v>
      </c>
      <c r="G95" s="11"/>
      <c r="H95" s="11"/>
      <c r="I95" s="32" t="s">
        <v>876</v>
      </c>
      <c r="J95" s="11"/>
      <c r="K95" s="11"/>
      <c r="L95" s="11"/>
      <c r="M95" s="12"/>
    </row>
    <row r="96" spans="2:22" ht="14.25" hidden="1" customHeight="1">
      <c r="B96" s="26"/>
      <c r="C96" s="11"/>
      <c r="D96" s="32"/>
      <c r="E96" s="32"/>
      <c r="F96" s="42" t="s">
        <v>30</v>
      </c>
      <c r="G96" s="780"/>
      <c r="H96" s="781"/>
      <c r="I96" s="782"/>
      <c r="J96" s="10" t="s">
        <v>367</v>
      </c>
      <c r="K96" s="11"/>
      <c r="L96" s="119"/>
      <c r="M96" s="16" t="s">
        <v>83</v>
      </c>
    </row>
    <row r="97" spans="2:17" ht="14.25" customHeight="1">
      <c r="B97" s="26"/>
      <c r="C97" s="49">
        <v>3</v>
      </c>
      <c r="D97" s="19">
        <v>5</v>
      </c>
      <c r="E97" s="33" t="s">
        <v>59</v>
      </c>
      <c r="F97" s="34" t="s">
        <v>60</v>
      </c>
      <c r="G97" s="11"/>
      <c r="H97" s="11"/>
      <c r="I97" s="11"/>
      <c r="J97" s="11"/>
      <c r="K97" s="11"/>
      <c r="L97" s="11"/>
      <c r="M97" s="12"/>
    </row>
    <row r="98" spans="2:17" ht="14.25" customHeight="1">
      <c r="B98" s="26"/>
      <c r="C98" s="11"/>
      <c r="D98" s="32"/>
      <c r="E98" s="32"/>
      <c r="F98" s="42" t="s">
        <v>30</v>
      </c>
      <c r="G98" s="783"/>
      <c r="H98" s="784"/>
      <c r="I98" s="785"/>
      <c r="J98" s="10" t="s">
        <v>86</v>
      </c>
      <c r="K98" s="11"/>
      <c r="L98" s="119"/>
      <c r="M98" s="16" t="s">
        <v>87</v>
      </c>
    </row>
    <row r="99" spans="2:17" ht="13.9" customHeight="1">
      <c r="B99" s="26"/>
      <c r="C99" s="11"/>
      <c r="D99" s="11"/>
      <c r="E99" s="32"/>
      <c r="F99" s="11"/>
      <c r="G99" s="786"/>
      <c r="H99" s="787"/>
      <c r="I99" s="788"/>
      <c r="J99" s="11"/>
      <c r="K99" s="11"/>
      <c r="L99" s="11"/>
      <c r="M99" s="12"/>
    </row>
    <row r="100" spans="2:17" ht="14.25" customHeight="1">
      <c r="B100" s="26"/>
      <c r="C100" s="56">
        <f>C88+C90+C92+C97</f>
        <v>12</v>
      </c>
      <c r="D100" s="215">
        <f>D88+D90+D92+D97</f>
        <v>20</v>
      </c>
      <c r="E100" s="220" t="s">
        <v>22</v>
      </c>
      <c r="F100" s="11"/>
      <c r="G100" s="11"/>
      <c r="H100" s="11"/>
      <c r="I100" s="11"/>
      <c r="J100" s="11"/>
      <c r="K100" s="11"/>
      <c r="L100" s="11"/>
      <c r="M100" s="12"/>
    </row>
    <row r="101" spans="2:17" ht="6" customHeight="1">
      <c r="B101" s="26"/>
      <c r="C101" s="4"/>
      <c r="D101" s="4"/>
      <c r="E101" s="217"/>
      <c r="F101" s="4"/>
      <c r="G101" s="4"/>
      <c r="H101" s="4"/>
      <c r="I101" s="4"/>
      <c r="J101" s="4"/>
      <c r="K101" s="4"/>
      <c r="L101" s="4"/>
      <c r="M101" s="27"/>
    </row>
    <row r="102" spans="2:17" ht="14.25" customHeight="1">
      <c r="B102" s="692"/>
      <c r="C102" s="693" t="s">
        <v>61</v>
      </c>
      <c r="D102" s="694"/>
      <c r="E102" s="695"/>
      <c r="F102" s="694"/>
      <c r="G102" s="694"/>
      <c r="H102" s="694"/>
      <c r="I102" s="694"/>
      <c r="J102" s="694"/>
      <c r="K102" s="694"/>
      <c r="L102" s="694"/>
      <c r="M102" s="696"/>
      <c r="N102" s="1"/>
      <c r="P102" s="718" t="s">
        <v>95</v>
      </c>
      <c r="Q102" s="332"/>
    </row>
    <row r="103" spans="2:17" ht="14.25">
      <c r="B103" s="26"/>
      <c r="C103" s="31" t="s">
        <v>24</v>
      </c>
      <c r="D103" s="10" t="s">
        <v>25</v>
      </c>
      <c r="E103" s="32"/>
      <c r="F103" s="11"/>
      <c r="G103" s="11"/>
      <c r="H103" s="11"/>
      <c r="I103" s="11"/>
      <c r="J103" s="31" t="s">
        <v>26</v>
      </c>
      <c r="K103" s="11"/>
      <c r="L103" s="31" t="s">
        <v>27</v>
      </c>
      <c r="M103" s="12"/>
      <c r="N103" s="1"/>
      <c r="P103" s="802"/>
      <c r="Q103" s="803"/>
    </row>
    <row r="104" spans="2:17" ht="15.75" customHeight="1">
      <c r="B104" s="26"/>
      <c r="C104" s="20"/>
      <c r="D104" s="11"/>
      <c r="E104" s="214" t="s">
        <v>28</v>
      </c>
      <c r="F104" s="11"/>
      <c r="G104" s="11" t="s">
        <v>883</v>
      </c>
      <c r="H104" s="11"/>
      <c r="I104" s="11"/>
      <c r="J104" s="11"/>
      <c r="K104" s="11"/>
      <c r="L104" s="11"/>
      <c r="M104" s="12"/>
      <c r="N104" s="1"/>
      <c r="P104" s="802"/>
      <c r="Q104" s="803"/>
    </row>
    <row r="105" spans="2:17" ht="15" customHeight="1">
      <c r="B105" s="26"/>
      <c r="C105" s="11"/>
      <c r="D105" s="11"/>
      <c r="E105" s="32"/>
      <c r="F105" s="42" t="s">
        <v>30</v>
      </c>
      <c r="G105" s="794"/>
      <c r="H105" s="795"/>
      <c r="I105" s="796"/>
      <c r="J105" s="10" t="s">
        <v>45</v>
      </c>
      <c r="K105" s="11"/>
      <c r="L105" s="11"/>
      <c r="M105" s="12"/>
      <c r="N105" s="1"/>
      <c r="P105" s="802"/>
      <c r="Q105" s="803"/>
    </row>
    <row r="106" spans="2:17" ht="15" customHeight="1">
      <c r="B106" s="26"/>
      <c r="C106" s="11"/>
      <c r="D106" s="11"/>
      <c r="E106" s="32"/>
      <c r="F106" s="11"/>
      <c r="G106" s="797"/>
      <c r="H106" s="798"/>
      <c r="I106" s="799"/>
      <c r="J106" s="11"/>
      <c r="K106" s="11"/>
      <c r="L106" s="11"/>
      <c r="M106" s="12"/>
      <c r="N106" s="1"/>
      <c r="P106" s="802"/>
      <c r="Q106" s="803"/>
    </row>
    <row r="107" spans="2:17" ht="15" customHeight="1">
      <c r="B107" s="26"/>
      <c r="C107" s="580">
        <f>IF(C108*2/3+C110*1/3&gt;D107,D107,C108*2/3+C110*1/3)</f>
        <v>3</v>
      </c>
      <c r="D107" s="333">
        <v>3</v>
      </c>
      <c r="E107" s="33" t="s">
        <v>62</v>
      </c>
      <c r="F107" s="34" t="s">
        <v>301</v>
      </c>
      <c r="G107" s="11"/>
      <c r="H107" s="11"/>
      <c r="I107" s="32" t="s">
        <v>365</v>
      </c>
      <c r="J107" s="11"/>
      <c r="K107" s="11"/>
      <c r="L107" s="11"/>
      <c r="M107" s="12"/>
      <c r="N107" s="1"/>
      <c r="P107" s="802"/>
      <c r="Q107" s="803"/>
    </row>
    <row r="108" spans="2:17" ht="15" customHeight="1">
      <c r="B108" s="26"/>
      <c r="C108" s="49">
        <v>3</v>
      </c>
      <c r="D108" s="51"/>
      <c r="E108" s="52" t="s">
        <v>362</v>
      </c>
      <c r="F108" s="53" t="s">
        <v>123</v>
      </c>
      <c r="G108" s="3"/>
      <c r="H108" s="3"/>
      <c r="I108" s="3"/>
      <c r="M108" s="12"/>
      <c r="N108" s="1"/>
      <c r="P108" s="802"/>
      <c r="Q108" s="803"/>
    </row>
    <row r="109" spans="2:17" ht="15" customHeight="1">
      <c r="B109" s="26"/>
      <c r="C109" s="11"/>
      <c r="D109" s="51"/>
      <c r="E109" s="52"/>
      <c r="F109" s="42" t="s">
        <v>30</v>
      </c>
      <c r="G109" s="820"/>
      <c r="H109" s="781"/>
      <c r="I109" s="782"/>
      <c r="J109" s="10" t="s">
        <v>63</v>
      </c>
      <c r="K109" s="11"/>
      <c r="L109" s="120"/>
      <c r="M109" s="16" t="s">
        <v>64</v>
      </c>
      <c r="N109" s="1"/>
      <c r="P109" s="802"/>
      <c r="Q109" s="803"/>
    </row>
    <row r="110" spans="2:17" ht="15" customHeight="1">
      <c r="B110" s="26"/>
      <c r="C110" s="49">
        <v>3</v>
      </c>
      <c r="D110" s="51"/>
      <c r="E110" s="52" t="s">
        <v>363</v>
      </c>
      <c r="F110" s="53" t="s">
        <v>119</v>
      </c>
      <c r="G110" s="3"/>
      <c r="H110" s="3"/>
      <c r="I110" s="3"/>
      <c r="M110" s="12"/>
      <c r="N110" s="1"/>
      <c r="P110" s="802"/>
      <c r="Q110" s="803"/>
    </row>
    <row r="111" spans="2:17" ht="15" customHeight="1">
      <c r="B111" s="26"/>
      <c r="D111" s="51"/>
      <c r="E111" s="52"/>
      <c r="F111" s="42" t="s">
        <v>30</v>
      </c>
      <c r="G111" s="780"/>
      <c r="H111" s="781"/>
      <c r="I111" s="782"/>
      <c r="J111" s="10" t="s">
        <v>88</v>
      </c>
      <c r="K111" s="11"/>
      <c r="L111" s="119"/>
      <c r="M111" s="16" t="s">
        <v>87</v>
      </c>
      <c r="N111" s="1"/>
      <c r="P111" s="802"/>
      <c r="Q111" s="803"/>
    </row>
    <row r="112" spans="2:17" ht="15" customHeight="1">
      <c r="B112" s="26"/>
      <c r="C112" s="49">
        <v>3</v>
      </c>
      <c r="D112" s="19">
        <v>3</v>
      </c>
      <c r="E112" s="33" t="s">
        <v>65</v>
      </c>
      <c r="F112" s="34" t="s">
        <v>66</v>
      </c>
      <c r="G112" s="11"/>
      <c r="H112" s="11"/>
      <c r="I112" s="11"/>
      <c r="J112" s="11"/>
      <c r="K112" s="11"/>
      <c r="L112" s="11"/>
      <c r="M112" s="12"/>
      <c r="N112" s="1"/>
      <c r="P112" s="802"/>
      <c r="Q112" s="803"/>
    </row>
    <row r="113" spans="2:17" ht="15" customHeight="1">
      <c r="B113" s="26"/>
      <c r="C113" s="11"/>
      <c r="D113" s="32"/>
      <c r="E113" s="32"/>
      <c r="F113" s="42" t="s">
        <v>30</v>
      </c>
      <c r="G113" s="820"/>
      <c r="H113" s="781"/>
      <c r="I113" s="782"/>
      <c r="J113" s="10" t="s">
        <v>366</v>
      </c>
      <c r="K113" s="11"/>
      <c r="L113" s="120"/>
      <c r="M113" s="16" t="s">
        <v>949</v>
      </c>
      <c r="N113" s="1"/>
      <c r="P113" s="802"/>
      <c r="Q113" s="803"/>
    </row>
    <row r="114" spans="2:17" ht="15" customHeight="1">
      <c r="B114" s="26"/>
      <c r="C114" s="49">
        <v>3</v>
      </c>
      <c r="D114" s="19">
        <v>3</v>
      </c>
      <c r="E114" s="33" t="s">
        <v>67</v>
      </c>
      <c r="F114" s="34" t="s">
        <v>300</v>
      </c>
      <c r="G114" s="11"/>
      <c r="H114" s="11"/>
      <c r="I114" s="11"/>
      <c r="J114" s="11"/>
      <c r="K114" s="11"/>
      <c r="L114" s="11"/>
      <c r="M114" s="12"/>
      <c r="N114" s="1"/>
      <c r="P114" s="804"/>
      <c r="Q114" s="805"/>
    </row>
    <row r="115" spans="2:17" ht="15" customHeight="1">
      <c r="B115" s="26"/>
      <c r="C115" s="11"/>
      <c r="D115" s="32"/>
      <c r="E115" s="32"/>
      <c r="F115" s="42" t="s">
        <v>30</v>
      </c>
      <c r="G115" s="780"/>
      <c r="H115" s="781"/>
      <c r="I115" s="782"/>
      <c r="J115" s="10" t="s">
        <v>89</v>
      </c>
      <c r="K115" s="11"/>
      <c r="L115" s="120"/>
      <c r="M115" s="16" t="s">
        <v>90</v>
      </c>
      <c r="N115" s="1"/>
    </row>
    <row r="116" spans="2:17" ht="15" customHeight="1">
      <c r="B116" s="26"/>
      <c r="C116" s="368">
        <v>3</v>
      </c>
      <c r="D116" s="19">
        <v>6</v>
      </c>
      <c r="E116" s="33">
        <v>5.4</v>
      </c>
      <c r="F116" s="34" t="s">
        <v>578</v>
      </c>
      <c r="G116" s="11"/>
      <c r="H116" s="11"/>
      <c r="I116" s="11"/>
      <c r="J116" s="11"/>
      <c r="K116" s="11"/>
      <c r="L116" s="11"/>
      <c r="M116" s="12"/>
      <c r="N116" s="1"/>
    </row>
    <row r="117" spans="2:17" ht="14.25">
      <c r="B117" s="26"/>
      <c r="C117" s="11"/>
      <c r="D117" s="32"/>
      <c r="E117" s="32"/>
      <c r="F117" s="42" t="s">
        <v>30</v>
      </c>
      <c r="G117" s="793"/>
      <c r="H117" s="781"/>
      <c r="I117" s="782"/>
      <c r="J117" s="10" t="s">
        <v>834</v>
      </c>
      <c r="K117" s="11"/>
      <c r="L117" s="735"/>
      <c r="M117" s="16" t="s">
        <v>83</v>
      </c>
      <c r="N117" s="1"/>
    </row>
    <row r="118" spans="2:17" ht="13.5" hidden="1" customHeight="1">
      <c r="B118" s="26"/>
      <c r="F118" s="11"/>
      <c r="G118" s="11"/>
      <c r="H118" s="11"/>
      <c r="I118" s="11"/>
      <c r="J118" s="11"/>
      <c r="K118" s="11"/>
      <c r="L118" s="11"/>
      <c r="M118" s="12"/>
      <c r="N118" s="1"/>
    </row>
    <row r="119" spans="2:17" ht="13.5" hidden="1" customHeight="1">
      <c r="B119" s="43"/>
      <c r="G119" s="3"/>
      <c r="H119" s="3"/>
      <c r="I119" s="3"/>
      <c r="M119" s="44"/>
      <c r="N119" s="1"/>
    </row>
    <row r="120" spans="2:17" ht="13.5" hidden="1" customHeight="1">
      <c r="B120" s="43"/>
      <c r="G120" s="3"/>
      <c r="H120" s="3"/>
      <c r="I120" s="3"/>
      <c r="M120" s="44"/>
    </row>
    <row r="121" spans="2:17" ht="13.5" hidden="1" customHeight="1">
      <c r="B121" s="43"/>
      <c r="G121" s="3"/>
      <c r="H121" s="3"/>
      <c r="I121" s="3"/>
      <c r="M121" s="44"/>
    </row>
    <row r="122" spans="2:17" ht="13.5" hidden="1" customHeight="1">
      <c r="B122" s="43"/>
      <c r="G122" s="3"/>
      <c r="H122" s="3"/>
      <c r="I122" s="3"/>
      <c r="M122" s="44"/>
    </row>
    <row r="123" spans="2:17" ht="13.5" hidden="1" customHeight="1">
      <c r="B123" s="43"/>
      <c r="G123" s="3"/>
      <c r="H123" s="3"/>
      <c r="I123" s="3"/>
      <c r="M123" s="44"/>
    </row>
    <row r="124" spans="2:17" ht="13.5" hidden="1" customHeight="1">
      <c r="B124" s="43"/>
      <c r="G124" s="3"/>
      <c r="H124" s="3"/>
      <c r="I124" s="3"/>
      <c r="M124" s="44"/>
    </row>
    <row r="125" spans="2:17" ht="13.5" hidden="1" customHeight="1">
      <c r="B125" s="43"/>
      <c r="G125" s="3"/>
      <c r="H125" s="3"/>
      <c r="I125" s="3"/>
      <c r="M125" s="44"/>
    </row>
    <row r="126" spans="2:17" ht="13.5" hidden="1" customHeight="1">
      <c r="B126" s="43"/>
      <c r="G126" s="3"/>
      <c r="H126" s="3"/>
      <c r="I126" s="3"/>
      <c r="M126" s="44"/>
    </row>
    <row r="127" spans="2:17" ht="13.5" hidden="1" customHeight="1">
      <c r="B127" s="43"/>
      <c r="G127" s="3"/>
      <c r="H127" s="3"/>
      <c r="I127" s="3"/>
      <c r="M127" s="44"/>
    </row>
    <row r="128" spans="2:17" ht="13.5" customHeight="1">
      <c r="B128" s="43"/>
      <c r="C128" s="745">
        <f>C107+C112+C114+C116</f>
        <v>12</v>
      </c>
      <c r="D128" s="215">
        <f>D107+D112+D114+D116</f>
        <v>15</v>
      </c>
      <c r="E128" s="220" t="s">
        <v>22</v>
      </c>
      <c r="G128" s="3"/>
      <c r="H128" s="3"/>
      <c r="I128" s="3"/>
      <c r="M128" s="44"/>
    </row>
    <row r="129" spans="2:17" ht="6" customHeight="1">
      <c r="B129" s="698"/>
      <c r="C129" s="699"/>
      <c r="D129" s="699"/>
      <c r="E129" s="700"/>
      <c r="F129" s="699"/>
      <c r="G129" s="728"/>
      <c r="H129" s="728"/>
      <c r="I129" s="728"/>
      <c r="J129" s="699"/>
      <c r="K129" s="699"/>
      <c r="L129" s="699"/>
      <c r="M129" s="701"/>
    </row>
    <row r="130" spans="2:17" ht="13.5" customHeight="1">
      <c r="B130" s="692"/>
      <c r="C130" s="693" t="s">
        <v>892</v>
      </c>
      <c r="D130" s="694"/>
      <c r="E130" s="695"/>
      <c r="F130" s="694"/>
      <c r="G130" s="694"/>
      <c r="H130" s="694"/>
      <c r="I130" s="694"/>
      <c r="J130" s="694"/>
      <c r="K130" s="694"/>
      <c r="L130" s="694"/>
      <c r="M130" s="696"/>
    </row>
    <row r="131" spans="2:17" ht="13.5" customHeight="1">
      <c r="B131" s="26"/>
      <c r="C131" s="31" t="s">
        <v>24</v>
      </c>
      <c r="D131" s="10" t="s">
        <v>921</v>
      </c>
      <c r="E131" s="32"/>
      <c r="F131" s="11"/>
      <c r="G131" s="11"/>
      <c r="H131" s="11"/>
      <c r="I131" s="11"/>
      <c r="J131" s="31" t="s">
        <v>26</v>
      </c>
      <c r="K131" s="11"/>
      <c r="L131" s="31" t="s">
        <v>27</v>
      </c>
      <c r="M131" s="12"/>
    </row>
    <row r="132" spans="2:17" ht="13.5" customHeight="1">
      <c r="B132" s="26"/>
      <c r="C132" s="368"/>
      <c r="D132" s="19">
        <v>5</v>
      </c>
      <c r="E132" s="214"/>
      <c r="F132" s="42" t="s">
        <v>30</v>
      </c>
      <c r="G132" s="780"/>
      <c r="H132" s="781"/>
      <c r="I132" s="782"/>
      <c r="J132" s="697" t="s">
        <v>864</v>
      </c>
      <c r="K132" s="11" t="s">
        <v>861</v>
      </c>
      <c r="L132" s="119"/>
      <c r="M132" s="16" t="s">
        <v>114</v>
      </c>
    </row>
    <row r="133" spans="2:17" ht="13.5" customHeight="1">
      <c r="B133" s="43"/>
      <c r="C133" s="186" t="s">
        <v>871</v>
      </c>
      <c r="G133" s="780"/>
      <c r="H133" s="781"/>
      <c r="I133" s="782"/>
      <c r="K133" s="11" t="s">
        <v>924</v>
      </c>
      <c r="L133" s="119"/>
      <c r="M133" s="16" t="s">
        <v>114</v>
      </c>
    </row>
    <row r="134" spans="2:17" ht="13.9" customHeight="1">
      <c r="B134" s="43"/>
      <c r="G134" s="854"/>
      <c r="H134" s="781"/>
      <c r="I134" s="782"/>
      <c r="K134" s="11" t="s">
        <v>867</v>
      </c>
      <c r="L134" s="119"/>
      <c r="M134" s="16" t="s">
        <v>114</v>
      </c>
    </row>
    <row r="135" spans="2:17" ht="13.5" customHeight="1">
      <c r="B135" s="43"/>
      <c r="G135" s="780"/>
      <c r="H135" s="781"/>
      <c r="I135" s="782"/>
      <c r="K135" s="11" t="s">
        <v>866</v>
      </c>
      <c r="L135" s="119"/>
      <c r="M135" s="16" t="s">
        <v>114</v>
      </c>
    </row>
    <row r="136" spans="2:17" ht="13.5" customHeight="1">
      <c r="B136" s="698"/>
      <c r="C136" s="699"/>
      <c r="D136" s="699"/>
      <c r="E136" s="700"/>
      <c r="F136" s="699"/>
      <c r="G136" s="728"/>
      <c r="H136" s="728"/>
      <c r="I136" s="728"/>
      <c r="J136" s="699"/>
      <c r="K136" s="699"/>
      <c r="L136" s="699"/>
      <c r="M136" s="701"/>
    </row>
    <row r="137" spans="2:17" ht="13.5" customHeight="1">
      <c r="M137" s="173" t="str">
        <f>D7</f>
        <v>○○ビル</v>
      </c>
    </row>
    <row r="138" spans="2:17" ht="13.5" customHeight="1">
      <c r="C138" t="s">
        <v>905</v>
      </c>
      <c r="D138" t="s">
        <v>907</v>
      </c>
      <c r="N138" s="1"/>
      <c r="P138" s="716" t="s">
        <v>94</v>
      </c>
      <c r="Q138" s="717"/>
    </row>
    <row r="139" spans="2:17" ht="13.5" customHeight="1">
      <c r="C139" t="s">
        <v>903</v>
      </c>
      <c r="N139" s="1"/>
      <c r="P139" s="808"/>
      <c r="Q139" s="809"/>
    </row>
    <row r="140" spans="2:17">
      <c r="D140" s="741">
        <f>ROUNDDOWN(IF(G140&gt;G144,F145,IF(G140&lt;=G143,F143,G140*H143+I143)),1)</f>
        <v>25</v>
      </c>
      <c r="E140" s="211" t="s">
        <v>900</v>
      </c>
      <c r="F140" s="739" t="s">
        <v>899</v>
      </c>
      <c r="G140" s="740"/>
      <c r="H140" t="str">
        <f>"×（"&amp;H143&amp;"）＋"&amp;I143</f>
        <v>×（-25）＋40</v>
      </c>
      <c r="N140" s="1"/>
      <c r="P140" s="716" t="s">
        <v>102</v>
      </c>
      <c r="Q140" s="717"/>
    </row>
    <row r="141" spans="2:17">
      <c r="E141"/>
      <c r="N141" s="1"/>
      <c r="P141" s="806"/>
      <c r="Q141" s="807"/>
    </row>
    <row r="142" spans="2:17" hidden="1">
      <c r="F142" t="s">
        <v>898</v>
      </c>
      <c r="G142" t="s">
        <v>893</v>
      </c>
      <c r="H142" s="52" t="s">
        <v>894</v>
      </c>
      <c r="I142" s="52" t="s">
        <v>895</v>
      </c>
      <c r="M142" s="1"/>
      <c r="N142" s="1"/>
      <c r="Q142" s="173" t="str">
        <f>D7</f>
        <v>○○ビル</v>
      </c>
    </row>
    <row r="143" spans="2:17" hidden="1">
      <c r="E143" t="s">
        <v>896</v>
      </c>
      <c r="F143">
        <v>25</v>
      </c>
      <c r="G143">
        <v>0.6</v>
      </c>
      <c r="H143" s="53">
        <f>(F144-F143)/(G144-G143)</f>
        <v>-25</v>
      </c>
      <c r="I143" s="53">
        <f>F144-H143*G144</f>
        <v>40</v>
      </c>
      <c r="M143" s="1"/>
      <c r="N143" s="1"/>
    </row>
    <row r="144" spans="2:17" hidden="1">
      <c r="F144">
        <v>16</v>
      </c>
      <c r="G144">
        <v>0.96</v>
      </c>
      <c r="N144" s="1"/>
    </row>
    <row r="145" spans="3:14" hidden="1">
      <c r="E145" t="s">
        <v>897</v>
      </c>
      <c r="F145">
        <v>15</v>
      </c>
      <c r="N145" s="1"/>
    </row>
    <row r="146" spans="3:14" hidden="1">
      <c r="N146" s="1"/>
    </row>
    <row r="147" spans="3:14">
      <c r="N147" s="1"/>
    </row>
    <row r="148" spans="3:14" hidden="1">
      <c r="N148" s="1"/>
    </row>
    <row r="149" spans="3:14" hidden="1">
      <c r="N149" s="1"/>
    </row>
    <row r="150" spans="3:14" hidden="1">
      <c r="N150" s="1"/>
    </row>
    <row r="151" spans="3:14" hidden="1">
      <c r="N151" s="1"/>
    </row>
    <row r="152" spans="3:14" hidden="1">
      <c r="N152" s="1"/>
    </row>
    <row r="153" spans="3:14" hidden="1">
      <c r="N153" s="1"/>
    </row>
    <row r="154" spans="3:14" hidden="1">
      <c r="N154" s="1"/>
    </row>
    <row r="155" spans="3:14">
      <c r="N155" s="1"/>
    </row>
    <row r="156" spans="3:14">
      <c r="C156" t="s">
        <v>904</v>
      </c>
      <c r="N156" s="1"/>
    </row>
    <row r="157" spans="3:14">
      <c r="D157" s="741">
        <f>IF(G157&gt;G160,(ROUNDDOWN(IF(G157&gt;G163,F163,G157*H160+I160),1)),IF(OR(J157&gt;0.5,J157=""),24.9,F160))</f>
        <v>24.9</v>
      </c>
      <c r="E157" s="211" t="s">
        <v>900</v>
      </c>
      <c r="F157" s="739" t="s">
        <v>902</v>
      </c>
      <c r="G157" s="740"/>
      <c r="H157" t="str">
        <f>"×（"&amp;H160&amp;"）＋"&amp;I160</f>
        <v>×（-13.2）＋28.3</v>
      </c>
      <c r="I157" s="173" t="s">
        <v>920</v>
      </c>
      <c r="J157" s="740"/>
      <c r="N157" s="1"/>
    </row>
    <row r="158" spans="3:14">
      <c r="N158" s="1"/>
    </row>
    <row r="159" spans="3:14" hidden="1">
      <c r="F159" t="s">
        <v>898</v>
      </c>
      <c r="G159" t="s">
        <v>901</v>
      </c>
      <c r="H159" s="52" t="s">
        <v>894</v>
      </c>
      <c r="I159" s="52" t="s">
        <v>895</v>
      </c>
      <c r="N159" s="1"/>
    </row>
    <row r="160" spans="3:14" hidden="1">
      <c r="E160"/>
      <c r="F160">
        <v>25</v>
      </c>
      <c r="G160">
        <v>0.25</v>
      </c>
      <c r="H160" s="48">
        <f>IF(G157&lt;=G161,H161,IF(G157&lt;=G162,H162,H163))</f>
        <v>-13.200000000000003</v>
      </c>
      <c r="I160" s="48">
        <f>IF(G157&lt;=G161,I161,IF(G157&lt;=G162,I162,I163))</f>
        <v>28.3</v>
      </c>
      <c r="N160" s="1"/>
    </row>
    <row r="161" spans="5:14" hidden="1">
      <c r="F161">
        <v>21.7</v>
      </c>
      <c r="G161">
        <v>0.5</v>
      </c>
      <c r="H161" s="53">
        <f>(F161-F160)/(G161-G160)</f>
        <v>-13.200000000000003</v>
      </c>
      <c r="I161" s="53">
        <f>F161-H161*G161</f>
        <v>28.3</v>
      </c>
      <c r="N161" s="1"/>
    </row>
    <row r="162" spans="5:14" hidden="1">
      <c r="E162"/>
      <c r="F162">
        <v>18.3</v>
      </c>
      <c r="G162">
        <v>0.6</v>
      </c>
      <c r="H162" s="53">
        <f>(F162-F161)/(G162-G161)</f>
        <v>-33.999999999999993</v>
      </c>
      <c r="I162" s="53">
        <f>F162-H162*G162</f>
        <v>38.699999999999996</v>
      </c>
      <c r="N162" s="1"/>
    </row>
    <row r="163" spans="5:14" hidden="1">
      <c r="F163">
        <v>15</v>
      </c>
      <c r="G163">
        <v>0.8</v>
      </c>
      <c r="H163" s="53">
        <f>(F163-F162)/(G163-G162)</f>
        <v>-16.499999999999996</v>
      </c>
      <c r="I163" s="53">
        <f>F163-H163*G163</f>
        <v>28.199999999999996</v>
      </c>
      <c r="N163" s="1"/>
    </row>
    <row r="164" spans="5:14" hidden="1">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row r="187"/>
    <row r="188"/>
    <row r="189"/>
    <row r="190"/>
    <row r="191"/>
    <row r="192"/>
    <row r="193"/>
    <row r="194"/>
    <row r="195"/>
    <row r="196"/>
    <row r="197"/>
    <row r="198"/>
    <row r="199"/>
    <row r="200"/>
  </sheetData>
  <sheetProtection algorithmName="SHA-512" hashValue="m3I+cXJl5+sC0ExXSVV4NXYCo8/hIcKSDFWhrs6tctJUCxX8NRitCdWDe8KHFM4LMtSbG7NqGmxlTYGJVwodVw==" saltValue="Fbu9qwr/25ooYIl9+kxRbA==" spinCount="100000" sheet="1" formatCells="0" formatRows="0" insertRows="0"/>
  <mergeCells count="48">
    <mergeCell ref="I2:K4"/>
    <mergeCell ref="G35:I37"/>
    <mergeCell ref="D7:G7"/>
    <mergeCell ref="D8:G8"/>
    <mergeCell ref="L8:M8"/>
    <mergeCell ref="D9:G9"/>
    <mergeCell ref="D10:G10"/>
    <mergeCell ref="D11:G11"/>
    <mergeCell ref="L11:M11"/>
    <mergeCell ref="F12:G12"/>
    <mergeCell ref="G28:I29"/>
    <mergeCell ref="G31:I33"/>
    <mergeCell ref="F13:G13"/>
    <mergeCell ref="G72:I72"/>
    <mergeCell ref="G39:I39"/>
    <mergeCell ref="G41:I41"/>
    <mergeCell ref="G47:I47"/>
    <mergeCell ref="G49:I49"/>
    <mergeCell ref="G51:I51"/>
    <mergeCell ref="G53:I53"/>
    <mergeCell ref="G59:I59"/>
    <mergeCell ref="G62:I62"/>
    <mergeCell ref="G64:I64"/>
    <mergeCell ref="G67:I67"/>
    <mergeCell ref="G68:I68"/>
    <mergeCell ref="G75:I75"/>
    <mergeCell ref="G77:I77"/>
    <mergeCell ref="G79:I79"/>
    <mergeCell ref="G81:I81"/>
    <mergeCell ref="G87:I87"/>
    <mergeCell ref="G89:I89"/>
    <mergeCell ref="G91:I91"/>
    <mergeCell ref="G94:I94"/>
    <mergeCell ref="G96:I96"/>
    <mergeCell ref="G98:I99"/>
    <mergeCell ref="P141:Q141"/>
    <mergeCell ref="P103:Q114"/>
    <mergeCell ref="G105:I106"/>
    <mergeCell ref="G117:I117"/>
    <mergeCell ref="G109:I109"/>
    <mergeCell ref="G111:I111"/>
    <mergeCell ref="G113:I113"/>
    <mergeCell ref="G115:I115"/>
    <mergeCell ref="G132:I132"/>
    <mergeCell ref="G133:I133"/>
    <mergeCell ref="G134:I134"/>
    <mergeCell ref="G135:I135"/>
    <mergeCell ref="P139:Q139"/>
  </mergeCells>
  <phoneticPr fontId="3"/>
  <dataValidations count="1">
    <dataValidation type="list" allowBlank="1" showInputMessage="1" showErrorMessage="1" sqref="C86 C27 C58 C46 C104" xr:uid="{00000000-0002-0000-0500-000000000000}">
      <formula1>$S$19:$S$20</formula1>
    </dataValidation>
  </dataValidations>
  <pageMargins left="0.86614173228346458" right="0.43307086614173229" top="0.55118110236220474" bottom="0.55118110236220474" header="0.43307086614173229" footer="0.31496062992125984"/>
  <pageSetup paperSize="9" scale="48"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4"/>
  <dimension ref="A1:AA244"/>
  <sheetViews>
    <sheetView showGridLines="0" zoomScaleNormal="100" zoomScaleSheetLayoutView="100" zoomScalePageLayoutView="70" workbookViewId="0">
      <selection activeCell="H15" sqref="H15"/>
    </sheetView>
  </sheetViews>
  <sheetFormatPr defaultColWidth="0" defaultRowHeight="13.5" customHeight="1" zeroHeight="1"/>
  <cols>
    <col min="1" max="1" width="1.875" customWidth="1"/>
    <col min="2" max="2" width="1.25" customWidth="1"/>
    <col min="3" max="3" width="10.625" customWidth="1"/>
    <col min="4" max="4" width="8.625" customWidth="1"/>
    <col min="5" max="5" width="5.125"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3.5" customWidth="1"/>
    <col min="19" max="24" width="7.25" hidden="1" customWidth="1"/>
    <col min="25" max="26" width="7.375" hidden="1" customWidth="1"/>
    <col min="27" max="27" width="0" hidden="1" customWidth="1"/>
    <col min="28" max="16384" width="9" hidden="1"/>
  </cols>
  <sheetData>
    <row r="1" spans="2:27">
      <c r="W1" s="41"/>
      <c r="X1" s="41" t="s">
        <v>700</v>
      </c>
    </row>
    <row r="2" spans="2:27" ht="13.5" customHeight="1">
      <c r="I2" s="792" t="s">
        <v>558</v>
      </c>
      <c r="J2" s="792"/>
      <c r="K2" s="792"/>
      <c r="W2" s="360" t="s">
        <v>686</v>
      </c>
      <c r="X2" s="171" t="str">
        <f>IF(建築環境SDGsチェックリスト!$D$3="店舗改修",建築環境SDGsチェックリスト!H116,"0")</f>
        <v>0</v>
      </c>
    </row>
    <row r="3" spans="2:27" ht="13.5" customHeight="1">
      <c r="I3" s="792"/>
      <c r="J3" s="792"/>
      <c r="K3" s="792"/>
      <c r="W3" s="360" t="s">
        <v>680</v>
      </c>
      <c r="X3" s="171" t="str">
        <f>IF(建築環境SDGsチェックリスト!$D$3="店舗改修",建築環境SDGsチェックリスト!H117,"0")</f>
        <v>0</v>
      </c>
    </row>
    <row r="4" spans="2:27" ht="13.5" customHeight="1">
      <c r="I4" s="792"/>
      <c r="J4" s="792"/>
      <c r="K4" s="792"/>
      <c r="W4" s="360" t="s">
        <v>681</v>
      </c>
      <c r="X4" s="171" t="str">
        <f>IF(建築環境SDGsチェックリスト!$D$3="店舗改修",建築環境SDGsチェックリスト!H118,"0")</f>
        <v>0</v>
      </c>
    </row>
    <row r="5" spans="2:27" ht="14.25">
      <c r="B5" s="3"/>
      <c r="C5" s="4"/>
      <c r="D5" s="4"/>
      <c r="E5" s="4"/>
      <c r="F5" s="4"/>
      <c r="G5" s="4"/>
      <c r="H5" s="4"/>
      <c r="I5" s="2" t="s">
        <v>1</v>
      </c>
      <c r="J5" s="4" t="str">
        <f>オフィス評価結果!J5</f>
        <v>CASBEE-不動産 2024年版</v>
      </c>
      <c r="K5" s="4"/>
      <c r="L5" s="4"/>
      <c r="M5" s="2" t="str">
        <f>オフィス評価結果!M5</f>
        <v>v1.21</v>
      </c>
      <c r="N5" s="1"/>
      <c r="P5" s="383" t="s">
        <v>722</v>
      </c>
      <c r="Q5" s="383"/>
      <c r="W5" s="360" t="s">
        <v>682</v>
      </c>
      <c r="X5" s="171" t="str">
        <f>IF(建築環境SDGsチェックリスト!$D$3="店舗改修",建築環境SDGsチェックリスト!H119,"0")</f>
        <v>0</v>
      </c>
    </row>
    <row r="6" spans="2:27" ht="15">
      <c r="B6" s="760"/>
      <c r="C6" s="761" t="s">
        <v>2</v>
      </c>
      <c r="D6" s="762"/>
      <c r="E6" s="762"/>
      <c r="F6" s="762"/>
      <c r="G6" s="762"/>
      <c r="H6" s="762"/>
      <c r="I6" s="762"/>
      <c r="J6" s="762"/>
      <c r="K6" s="762"/>
      <c r="L6" s="762"/>
      <c r="M6" s="764"/>
      <c r="N6" s="1"/>
      <c r="W6" s="360" t="s">
        <v>683</v>
      </c>
      <c r="X6" s="171" t="str">
        <f>IF(建築環境SDGsチェックリスト!$D$3="店舗改修",建築環境SDGsチェックリスト!H120,"0")</f>
        <v>0</v>
      </c>
    </row>
    <row r="7" spans="2:27" ht="14.25">
      <c r="B7" s="9"/>
      <c r="C7" s="10" t="s">
        <v>3</v>
      </c>
      <c r="D7" s="778" t="s">
        <v>602</v>
      </c>
      <c r="E7" s="779"/>
      <c r="F7" s="779"/>
      <c r="G7" s="779"/>
      <c r="H7" s="15" t="s">
        <v>4</v>
      </c>
      <c r="I7" s="765" t="s">
        <v>287</v>
      </c>
      <c r="J7" s="12" t="s">
        <v>76</v>
      </c>
      <c r="K7" s="10" t="s">
        <v>5</v>
      </c>
      <c r="L7" s="21" t="s">
        <v>886</v>
      </c>
      <c r="M7" s="25"/>
      <c r="N7" s="1"/>
      <c r="S7" s="41" t="s">
        <v>83</v>
      </c>
      <c r="T7" s="41" t="s">
        <v>93</v>
      </c>
      <c r="W7" s="360" t="s">
        <v>684</v>
      </c>
      <c r="X7" s="171" t="str">
        <f>IF(建築環境SDGsチェックリスト!$D$3="店舗改修",建築環境SDGsチェックリスト!H121,"0")</f>
        <v>0</v>
      </c>
    </row>
    <row r="8" spans="2:27" ht="14.25">
      <c r="B8" s="9"/>
      <c r="C8" s="10" t="s">
        <v>6</v>
      </c>
      <c r="D8" s="778" t="s">
        <v>288</v>
      </c>
      <c r="E8" s="778"/>
      <c r="F8" s="778"/>
      <c r="G8" s="778"/>
      <c r="H8" s="15" t="s">
        <v>7</v>
      </c>
      <c r="I8" s="765" t="s">
        <v>287</v>
      </c>
      <c r="J8" s="12" t="s">
        <v>76</v>
      </c>
      <c r="K8" s="10" t="s">
        <v>8</v>
      </c>
      <c r="L8" s="810" t="s">
        <v>293</v>
      </c>
      <c r="M8" s="811"/>
      <c r="N8" s="1"/>
      <c r="S8" s="41" t="str">
        <f>C25</f>
        <v>１．エネルギー／温暖化ガス</v>
      </c>
      <c r="T8" s="115">
        <f>IF(C42/D42&gt;1,1,C42/D42)</f>
        <v>0.6</v>
      </c>
      <c r="U8" s="116"/>
      <c r="W8" s="360" t="s">
        <v>685</v>
      </c>
      <c r="X8" s="171" t="str">
        <f>IF(建築環境SDGsチェックリスト!$D$3="店舗改修",建築環境SDGsチェックリスト!H122,"0")</f>
        <v>0</v>
      </c>
    </row>
    <row r="9" spans="2:27" ht="14.25">
      <c r="B9" s="9"/>
      <c r="C9" s="10" t="s">
        <v>9</v>
      </c>
      <c r="D9" s="778" t="s">
        <v>10</v>
      </c>
      <c r="E9" s="779"/>
      <c r="F9" s="779"/>
      <c r="G9" s="779"/>
      <c r="H9" s="15" t="s">
        <v>954</v>
      </c>
      <c r="I9" s="765" t="s">
        <v>287</v>
      </c>
      <c r="J9" s="12" t="s">
        <v>76</v>
      </c>
      <c r="K9" s="10" t="s">
        <v>11</v>
      </c>
      <c r="L9" s="21" t="s">
        <v>287</v>
      </c>
      <c r="M9" s="25"/>
      <c r="N9" s="1"/>
      <c r="S9" s="41" t="str">
        <f>C44</f>
        <v>２．水</v>
      </c>
      <c r="T9" s="115">
        <f>C54/D54</f>
        <v>0.7</v>
      </c>
      <c r="U9" s="116"/>
      <c r="W9" s="360" t="s">
        <v>692</v>
      </c>
      <c r="X9" s="171" t="str">
        <f>IF(建築環境SDGsチェックリスト!$D$3="店舗改修",建築環境SDGsチェックリスト!H123,"0")</f>
        <v>0</v>
      </c>
    </row>
    <row r="10" spans="2:27" ht="14.25">
      <c r="B10" s="9"/>
      <c r="C10" s="10" t="s">
        <v>14</v>
      </c>
      <c r="D10" s="778" t="s">
        <v>389</v>
      </c>
      <c r="E10" s="778"/>
      <c r="F10" s="778"/>
      <c r="G10" s="812"/>
      <c r="H10" s="15" t="s">
        <v>12</v>
      </c>
      <c r="I10" s="21" t="s">
        <v>290</v>
      </c>
      <c r="J10" s="12"/>
      <c r="K10" s="10" t="s">
        <v>120</v>
      </c>
      <c r="L10" s="202"/>
      <c r="M10" s="203"/>
      <c r="N10" s="1"/>
      <c r="S10" s="41" t="str">
        <f>C56</f>
        <v>３．資源利用／安全</v>
      </c>
      <c r="T10" s="115">
        <f>C82/D82</f>
        <v>0.55000000000000004</v>
      </c>
      <c r="U10" s="116"/>
      <c r="W10" s="360" t="s">
        <v>693</v>
      </c>
      <c r="X10" s="171" t="str">
        <f>IF(建築環境SDGsチェックリスト!$D$3="店舗改修",建築環境SDGsチェックリスト!H124,"0")</f>
        <v>0</v>
      </c>
    </row>
    <row r="11" spans="2:27" ht="14.25">
      <c r="B11" s="9"/>
      <c r="C11" s="10" t="s">
        <v>125</v>
      </c>
      <c r="D11" s="810" t="s">
        <v>291</v>
      </c>
      <c r="E11" s="810"/>
      <c r="F11" s="810"/>
      <c r="G11" s="810"/>
      <c r="H11" s="15" t="s">
        <v>15</v>
      </c>
      <c r="I11" s="22" t="s">
        <v>292</v>
      </c>
      <c r="J11" s="12"/>
      <c r="K11" s="10" t="s">
        <v>13</v>
      </c>
      <c r="L11" s="813" t="s">
        <v>293</v>
      </c>
      <c r="M11" s="814"/>
      <c r="N11" s="1"/>
      <c r="S11" s="41" t="str">
        <f>C84</f>
        <v>４．生物多様性／敷地</v>
      </c>
      <c r="T11" s="115">
        <f>C100/D100</f>
        <v>0.6</v>
      </c>
      <c r="U11" s="116"/>
      <c r="W11" s="360" t="s">
        <v>694</v>
      </c>
      <c r="X11" s="171" t="str">
        <f>IF(建築環境SDGsチェックリスト!$D$3="店舗改修",建築環境SDGsチェックリスト!H125,"0")</f>
        <v>0</v>
      </c>
    </row>
    <row r="12" spans="2:27" ht="14.25">
      <c r="B12" s="9"/>
      <c r="C12" s="10" t="s">
        <v>124</v>
      </c>
      <c r="F12" s="822" t="s">
        <v>127</v>
      </c>
      <c r="G12" s="801"/>
      <c r="H12" s="15" t="s">
        <v>296</v>
      </c>
      <c r="I12" s="117" t="s">
        <v>18</v>
      </c>
      <c r="J12" s="16" t="s">
        <v>19</v>
      </c>
      <c r="K12" s="10" t="s">
        <v>16</v>
      </c>
      <c r="L12" s="21" t="s">
        <v>287</v>
      </c>
      <c r="M12" s="55"/>
      <c r="N12" s="1"/>
      <c r="S12" s="41" t="str">
        <f>C102</f>
        <v>５．屋内環境</v>
      </c>
      <c r="T12" s="115">
        <f>C128/D128</f>
        <v>1.1000000000000001</v>
      </c>
      <c r="U12" s="116"/>
      <c r="W12" s="360" t="s">
        <v>695</v>
      </c>
      <c r="X12" s="171" t="str">
        <f>IF(建築環境SDGsチェックリスト!$D$3="店舗改修",建築環境SDGsチェックリスト!H126,"0")</f>
        <v>0</v>
      </c>
    </row>
    <row r="13" spans="2:27" ht="14.25">
      <c r="B13" s="13"/>
      <c r="C13" s="759" t="s">
        <v>952</v>
      </c>
      <c r="D13" s="14"/>
      <c r="E13" s="14"/>
      <c r="F13" s="818" t="s">
        <v>953</v>
      </c>
      <c r="G13" s="819"/>
      <c r="H13" s="17" t="s">
        <v>297</v>
      </c>
      <c r="I13" s="24" t="s">
        <v>18</v>
      </c>
      <c r="J13" s="18" t="s">
        <v>298</v>
      </c>
      <c r="K13" s="17" t="s">
        <v>120</v>
      </c>
      <c r="L13" s="204"/>
      <c r="M13" s="205"/>
      <c r="N13" s="1"/>
      <c r="S13" s="41"/>
      <c r="T13" s="41"/>
      <c r="W13" s="360" t="s">
        <v>696</v>
      </c>
      <c r="X13" s="171" t="str">
        <f>IF(建築環境SDGsチェックリスト!$D$3="店舗改修",建築環境SDGsチェックリスト!H127,"0")</f>
        <v>0</v>
      </c>
      <c r="Z13" t="s">
        <v>872</v>
      </c>
    </row>
    <row r="14" spans="2:27" ht="3.95" customHeight="1">
      <c r="B14" s="3"/>
      <c r="C14" s="4"/>
      <c r="D14" s="4"/>
      <c r="E14" s="4"/>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697</v>
      </c>
      <c r="X15" s="385" t="e">
        <f>(AVERAGE(X2:X13)-1)*2+1</f>
        <v>#DIV/0!</v>
      </c>
    </row>
    <row r="16" spans="2:27" ht="3.6" customHeight="1">
      <c r="B16" s="26"/>
      <c r="E16" s="211"/>
      <c r="G16" s="4"/>
      <c r="H16" s="4"/>
      <c r="I16" s="4"/>
      <c r="M16" s="44"/>
      <c r="N16" s="1"/>
      <c r="S16" s="41" t="s">
        <v>91</v>
      </c>
      <c r="T16" s="41" t="s">
        <v>92</v>
      </c>
      <c r="W16" s="41" t="s">
        <v>698</v>
      </c>
      <c r="X16" s="171" t="e">
        <f>IF(X15=1,1,IF(X15&lt;1.5,1,IF(X15&lt;2.5,2,IF(X15&lt;3.5,3,IF(X15&lt;4.5,4,5)))))/5</f>
        <v>#DIV/0!</v>
      </c>
      <c r="Z16" s="41" t="s">
        <v>868</v>
      </c>
      <c r="AA16" s="41" t="s">
        <v>92</v>
      </c>
    </row>
    <row r="17" spans="2:27" ht="14.25">
      <c r="B17" s="26"/>
      <c r="C17" s="746">
        <f>C42+C54+C82+C100+C128</f>
        <v>64.75</v>
      </c>
      <c r="D17" s="50" t="s">
        <v>104</v>
      </c>
      <c r="E17" s="705" t="s">
        <v>22</v>
      </c>
      <c r="H17" s="4"/>
      <c r="I17" s="214" t="s">
        <v>889</v>
      </c>
      <c r="M17" s="706" t="str">
        <f>IF(Z17=0,Z13,"")</f>
        <v>評価しない</v>
      </c>
      <c r="N17" s="1"/>
      <c r="S17" s="41">
        <f>IF(C17&gt;=F19,5,IF(C17&gt;=F20,4,IF(C17&gt;=F21,3,IF(C17&gt;=F22,2,0))))</f>
        <v>3</v>
      </c>
      <c r="T17" s="41">
        <f>5-S17</f>
        <v>2</v>
      </c>
      <c r="W17" s="41" t="s">
        <v>699</v>
      </c>
      <c r="X17" s="171" t="e">
        <f>1-X16</f>
        <v>#DIV/0!</v>
      </c>
      <c r="Z17" s="702">
        <f>C132</f>
        <v>0</v>
      </c>
      <c r="AA17" s="41">
        <f>IF(M17=Z13,0,5-Z17)</f>
        <v>0</v>
      </c>
    </row>
    <row r="18" spans="2:27" ht="14.25">
      <c r="B18" s="26"/>
      <c r="C18" s="707" t="s">
        <v>105</v>
      </c>
      <c r="D18" s="708" t="s">
        <v>106</v>
      </c>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862</v>
      </c>
      <c r="K21" s="703" t="str">
        <f>IF(M17=Z13,"",L132)</f>
        <v/>
      </c>
      <c r="L21" s="32" t="s">
        <v>867</v>
      </c>
      <c r="M21" s="703" t="str">
        <f>IF(M17=Z13,"",L134)</f>
        <v/>
      </c>
      <c r="N21" s="1"/>
    </row>
    <row r="22" spans="2:27" ht="14.25">
      <c r="B22" s="43"/>
      <c r="C22" s="11" t="s">
        <v>326</v>
      </c>
      <c r="E22" s="10" t="s">
        <v>23</v>
      </c>
      <c r="F22" s="709">
        <v>50</v>
      </c>
      <c r="J22" s="32" t="s">
        <v>924</v>
      </c>
      <c r="K22" s="703" t="str">
        <f>IF(M17=Z13,"",L133)</f>
        <v/>
      </c>
      <c r="L22" s="32" t="s">
        <v>865</v>
      </c>
      <c r="M22" s="703" t="str">
        <f>IF(M17=Z13,"",L135)</f>
        <v/>
      </c>
    </row>
    <row r="23" spans="2:27" ht="14.25">
      <c r="B23" s="698"/>
      <c r="C23" s="711" t="s">
        <v>869</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0</v>
      </c>
      <c r="U24" s="41">
        <f t="shared" ref="U24:U51" si="1">IF(AND($L$35&gt;=S24,$L$35&lt;S25),T24,0)</f>
        <v>0</v>
      </c>
      <c r="W24" s="41">
        <v>0</v>
      </c>
      <c r="X24" s="48"/>
      <c r="Y24" s="48"/>
      <c r="Z24" s="48"/>
    </row>
    <row r="25" spans="2:27" ht="15">
      <c r="B25" s="5"/>
      <c r="C25" s="6" t="s">
        <v>312</v>
      </c>
      <c r="D25" s="7"/>
      <c r="E25" s="219"/>
      <c r="F25" s="7"/>
      <c r="G25" s="7"/>
      <c r="H25" s="7"/>
      <c r="I25" s="7"/>
      <c r="J25" s="7"/>
      <c r="K25" s="7"/>
      <c r="L25" s="7"/>
      <c r="M25" s="8"/>
      <c r="S25" s="118">
        <f t="shared" si="0"/>
        <v>200</v>
      </c>
      <c r="T25" s="41">
        <f t="shared" ref="T25:T51" si="2">IF($I$9&gt;=30000,Z25,IF($I$9&gt;=10000,Y25,X25))</f>
        <v>0</v>
      </c>
      <c r="U25" s="41">
        <f t="shared" si="1"/>
        <v>0</v>
      </c>
      <c r="W25" s="41">
        <v>200</v>
      </c>
      <c r="X25" s="48"/>
      <c r="Y25" s="48"/>
      <c r="Z25" s="48"/>
    </row>
    <row r="26" spans="2:27" ht="14.25">
      <c r="B26" s="26"/>
      <c r="C26" s="31" t="s">
        <v>24</v>
      </c>
      <c r="D26" s="10" t="s">
        <v>25</v>
      </c>
      <c r="E26" s="32"/>
      <c r="F26" s="11"/>
      <c r="G26" s="11"/>
      <c r="H26" s="11"/>
      <c r="I26" s="11"/>
      <c r="J26" s="31" t="s">
        <v>26</v>
      </c>
      <c r="K26" s="11" t="s">
        <v>70</v>
      </c>
      <c r="L26" s="31" t="s">
        <v>27</v>
      </c>
      <c r="M26" s="12"/>
      <c r="S26" s="118">
        <f t="shared" si="0"/>
        <v>400</v>
      </c>
      <c r="T26" s="41">
        <f t="shared" si="2"/>
        <v>0</v>
      </c>
      <c r="U26" s="41">
        <f t="shared" si="1"/>
        <v>0</v>
      </c>
      <c r="W26" s="41">
        <v>400</v>
      </c>
      <c r="X26" s="48"/>
      <c r="Y26" s="48"/>
      <c r="Z26" s="48"/>
    </row>
    <row r="27" spans="2:27" ht="14.25">
      <c r="B27" s="26"/>
      <c r="C27" s="20"/>
      <c r="D27" s="11"/>
      <c r="E27" s="214" t="s">
        <v>28</v>
      </c>
      <c r="F27" s="11"/>
      <c r="G27" s="11" t="s">
        <v>875</v>
      </c>
      <c r="H27" s="11"/>
      <c r="I27" s="11"/>
      <c r="J27" s="11"/>
      <c r="K27" s="11"/>
      <c r="L27" s="11"/>
      <c r="M27" s="12"/>
      <c r="S27" s="118">
        <f t="shared" si="0"/>
        <v>600</v>
      </c>
      <c r="T27" s="41">
        <f t="shared" si="2"/>
        <v>0</v>
      </c>
      <c r="U27" s="41">
        <f t="shared" si="1"/>
        <v>0</v>
      </c>
      <c r="W27" s="41">
        <v>600</v>
      </c>
      <c r="X27" s="48"/>
      <c r="Y27" s="48"/>
      <c r="Z27" s="48"/>
    </row>
    <row r="28" spans="2:27" ht="14.25">
      <c r="B28" s="26"/>
      <c r="C28" s="49"/>
      <c r="D28" s="19" t="s">
        <v>72</v>
      </c>
      <c r="E28" s="32"/>
      <c r="F28" s="42" t="s">
        <v>30</v>
      </c>
      <c r="G28" s="783"/>
      <c r="H28" s="784"/>
      <c r="I28" s="785"/>
      <c r="J28" s="10" t="s">
        <v>71</v>
      </c>
      <c r="K28" s="11"/>
      <c r="L28" s="119"/>
      <c r="M28" s="12" t="s">
        <v>80</v>
      </c>
      <c r="S28" s="118">
        <f t="shared" si="0"/>
        <v>800</v>
      </c>
      <c r="T28" s="41">
        <f t="shared" si="2"/>
        <v>0</v>
      </c>
      <c r="U28" s="41">
        <f t="shared" si="1"/>
        <v>0</v>
      </c>
      <c r="W28" s="41">
        <v>800</v>
      </c>
      <c r="X28" s="48"/>
      <c r="Y28" s="48"/>
      <c r="Z28" s="48"/>
    </row>
    <row r="29" spans="2:27" ht="14.25">
      <c r="B29" s="26"/>
      <c r="E29" s="32"/>
      <c r="F29" s="11"/>
      <c r="G29" s="786"/>
      <c r="H29" s="787"/>
      <c r="I29" s="788"/>
      <c r="J29" s="11"/>
      <c r="K29" s="11"/>
      <c r="L29" s="11"/>
      <c r="M29" s="12"/>
      <c r="S29" s="118">
        <f t="shared" si="0"/>
        <v>1000</v>
      </c>
      <c r="T29" s="41">
        <f t="shared" si="2"/>
        <v>0</v>
      </c>
      <c r="U29" s="41">
        <f t="shared" si="1"/>
        <v>0</v>
      </c>
      <c r="W29" s="41">
        <v>1000</v>
      </c>
      <c r="X29" s="48"/>
      <c r="Y29" s="48"/>
      <c r="Z29" s="48"/>
    </row>
    <row r="30" spans="2:27" ht="14.25">
      <c r="B30" s="26"/>
      <c r="C30" s="49">
        <v>15</v>
      </c>
      <c r="D30" s="19">
        <v>25</v>
      </c>
      <c r="E30" s="33">
        <v>1.1000000000000001</v>
      </c>
      <c r="F30" s="34" t="s">
        <v>31</v>
      </c>
      <c r="G30" s="11"/>
      <c r="H30" s="11"/>
      <c r="I30" s="11"/>
      <c r="J30" s="11"/>
      <c r="K30" s="11"/>
      <c r="L30" s="11"/>
      <c r="M30" s="12"/>
      <c r="S30" s="118">
        <f t="shared" si="0"/>
        <v>1200</v>
      </c>
      <c r="T30" s="41">
        <f t="shared" si="2"/>
        <v>0</v>
      </c>
      <c r="U30" s="41">
        <f t="shared" si="1"/>
        <v>0</v>
      </c>
      <c r="W30" s="41">
        <v>1200</v>
      </c>
      <c r="X30" s="48"/>
      <c r="Y30" s="48"/>
      <c r="Z30" s="48"/>
    </row>
    <row r="31" spans="2:27" ht="14.25">
      <c r="B31" s="26"/>
      <c r="C31" s="11"/>
      <c r="D31" s="32"/>
      <c r="E31" s="32"/>
      <c r="F31" s="42" t="s">
        <v>30</v>
      </c>
      <c r="G31" s="783"/>
      <c r="H31" s="784"/>
      <c r="I31" s="785"/>
      <c r="J31" s="10" t="s">
        <v>73</v>
      </c>
      <c r="K31" s="11"/>
      <c r="L31" s="120"/>
      <c r="M31" s="12" t="s">
        <v>80</v>
      </c>
      <c r="S31" s="118">
        <f t="shared" si="0"/>
        <v>1400</v>
      </c>
      <c r="T31" s="41">
        <f t="shared" si="2"/>
        <v>0</v>
      </c>
      <c r="U31" s="41">
        <f t="shared" si="1"/>
        <v>0</v>
      </c>
      <c r="W31" s="41">
        <v>1400</v>
      </c>
      <c r="X31" s="48"/>
      <c r="Y31" s="48"/>
      <c r="Z31" s="48"/>
    </row>
    <row r="32" spans="2:27" ht="14.25">
      <c r="B32" s="26"/>
      <c r="C32" s="11"/>
      <c r="D32" s="11"/>
      <c r="E32" s="32"/>
      <c r="F32" s="11"/>
      <c r="G32" s="815"/>
      <c r="H32" s="816"/>
      <c r="I32" s="817"/>
      <c r="J32" s="10" t="s">
        <v>74</v>
      </c>
      <c r="K32" s="11"/>
      <c r="L32" s="120"/>
      <c r="M32" s="12" t="s">
        <v>81</v>
      </c>
      <c r="S32" s="118">
        <f t="shared" si="0"/>
        <v>1600</v>
      </c>
      <c r="T32" s="41">
        <f t="shared" si="2"/>
        <v>0</v>
      </c>
      <c r="U32" s="41">
        <f t="shared" si="1"/>
        <v>0</v>
      </c>
      <c r="W32" s="41">
        <v>1600</v>
      </c>
      <c r="X32" s="48"/>
      <c r="Y32" s="48"/>
      <c r="Z32" s="48"/>
    </row>
    <row r="33" spans="2:26" ht="15.75">
      <c r="B33" s="26"/>
      <c r="C33" s="11"/>
      <c r="D33" s="11"/>
      <c r="E33" s="32"/>
      <c r="F33" s="11"/>
      <c r="G33" s="786"/>
      <c r="H33" s="787"/>
      <c r="I33" s="788"/>
      <c r="J33" s="10" t="s">
        <v>890</v>
      </c>
      <c r="K33" s="11"/>
      <c r="L33" s="120"/>
      <c r="M33" s="12" t="s">
        <v>891</v>
      </c>
      <c r="S33" s="118">
        <f t="shared" si="0"/>
        <v>1800</v>
      </c>
      <c r="T33" s="41">
        <f t="shared" si="2"/>
        <v>0</v>
      </c>
      <c r="U33" s="41">
        <f t="shared" si="1"/>
        <v>0</v>
      </c>
      <c r="W33" s="41">
        <v>1800</v>
      </c>
      <c r="X33" s="48"/>
      <c r="Y33" s="48"/>
      <c r="Z33" s="48"/>
    </row>
    <row r="34" spans="2:26" ht="14.25">
      <c r="B34" s="26"/>
      <c r="C34" s="49">
        <v>3</v>
      </c>
      <c r="D34" s="19">
        <v>5</v>
      </c>
      <c r="E34" s="33" t="s">
        <v>32</v>
      </c>
      <c r="F34" s="34" t="s">
        <v>33</v>
      </c>
      <c r="G34" s="11"/>
      <c r="H34" s="11"/>
      <c r="I34" s="11"/>
      <c r="J34" s="11"/>
      <c r="K34" s="11"/>
      <c r="L34" s="11"/>
      <c r="M34" s="12"/>
      <c r="S34" s="118">
        <f t="shared" si="0"/>
        <v>2000</v>
      </c>
      <c r="T34" s="41">
        <f t="shared" si="2"/>
        <v>0</v>
      </c>
      <c r="U34" s="41">
        <f t="shared" si="1"/>
        <v>0</v>
      </c>
      <c r="W34" s="41">
        <v>2000</v>
      </c>
      <c r="X34" s="48"/>
      <c r="Y34" s="48"/>
      <c r="Z34" s="48"/>
    </row>
    <row r="35" spans="2:26" ht="15.6" customHeight="1">
      <c r="B35" s="26"/>
      <c r="C35" s="11"/>
      <c r="D35" s="32"/>
      <c r="E35" s="32"/>
      <c r="F35" s="42" t="s">
        <v>30</v>
      </c>
      <c r="G35" s="823"/>
      <c r="H35" s="784"/>
      <c r="I35" s="785"/>
      <c r="J35" s="10" t="s">
        <v>75</v>
      </c>
      <c r="K35" s="11"/>
      <c r="L35" s="120"/>
      <c r="M35" s="12" t="s">
        <v>80</v>
      </c>
      <c r="S35" s="118">
        <f t="shared" si="0"/>
        <v>2200</v>
      </c>
      <c r="T35" s="41">
        <f t="shared" si="2"/>
        <v>0</v>
      </c>
      <c r="U35" s="41">
        <f t="shared" si="1"/>
        <v>0</v>
      </c>
      <c r="W35" s="41">
        <v>2200</v>
      </c>
      <c r="X35" s="48"/>
      <c r="Y35" s="48"/>
      <c r="Z35" s="48"/>
    </row>
    <row r="36" spans="2:26" ht="14.25">
      <c r="B36" s="26"/>
      <c r="C36" s="11"/>
      <c r="D36" s="11"/>
      <c r="E36" s="32"/>
      <c r="F36" s="11"/>
      <c r="G36" s="815"/>
      <c r="H36" s="816"/>
      <c r="I36" s="817"/>
      <c r="J36" s="10" t="s">
        <v>74</v>
      </c>
      <c r="K36" s="11"/>
      <c r="L36" s="120"/>
      <c r="M36" s="12" t="s">
        <v>81</v>
      </c>
      <c r="S36" s="118">
        <f t="shared" si="0"/>
        <v>2400</v>
      </c>
      <c r="T36" s="41">
        <f t="shared" si="2"/>
        <v>0</v>
      </c>
      <c r="U36" s="41">
        <f t="shared" si="1"/>
        <v>0</v>
      </c>
      <c r="W36" s="41">
        <v>2400</v>
      </c>
      <c r="X36" s="48"/>
      <c r="Y36" s="48"/>
      <c r="Z36" s="48"/>
    </row>
    <row r="37" spans="2:26" ht="15.75">
      <c r="B37" s="26"/>
      <c r="C37" s="11"/>
      <c r="D37" s="11"/>
      <c r="E37" s="32"/>
      <c r="F37" s="11"/>
      <c r="G37" s="786"/>
      <c r="H37" s="787"/>
      <c r="I37" s="788"/>
      <c r="J37" s="10" t="s">
        <v>890</v>
      </c>
      <c r="K37" s="11"/>
      <c r="L37" s="120"/>
      <c r="M37" s="12" t="s">
        <v>891</v>
      </c>
      <c r="S37" s="118">
        <f t="shared" si="0"/>
        <v>2600</v>
      </c>
      <c r="T37" s="41">
        <f t="shared" si="2"/>
        <v>0</v>
      </c>
      <c r="U37" s="41">
        <f t="shared" si="1"/>
        <v>0</v>
      </c>
      <c r="W37" s="47">
        <v>2600</v>
      </c>
      <c r="X37" s="48"/>
      <c r="Y37" s="48"/>
      <c r="Z37" s="48"/>
    </row>
    <row r="38" spans="2:26" ht="14.25">
      <c r="B38" s="26"/>
      <c r="C38" s="11"/>
      <c r="D38" s="19">
        <v>0</v>
      </c>
      <c r="E38" s="33">
        <v>1.3</v>
      </c>
      <c r="F38" s="34" t="s">
        <v>356</v>
      </c>
      <c r="G38" s="11"/>
      <c r="H38" s="11"/>
      <c r="I38" s="32" t="s">
        <v>876</v>
      </c>
      <c r="J38" s="11"/>
      <c r="K38" s="11"/>
      <c r="L38" s="11"/>
      <c r="M38" s="12"/>
      <c r="S38" s="118">
        <f t="shared" si="0"/>
        <v>2800</v>
      </c>
      <c r="T38" s="41">
        <f t="shared" si="2"/>
        <v>0</v>
      </c>
      <c r="U38" s="41">
        <f t="shared" si="1"/>
        <v>0</v>
      </c>
      <c r="W38" s="41">
        <v>2800</v>
      </c>
      <c r="X38" s="48"/>
      <c r="Y38" s="48"/>
      <c r="Z38" s="48"/>
    </row>
    <row r="39" spans="2:26" ht="14.25" hidden="1">
      <c r="B39" s="26"/>
      <c r="C39" s="11"/>
      <c r="D39" s="32"/>
      <c r="E39" s="32"/>
      <c r="F39" s="42" t="s">
        <v>30</v>
      </c>
      <c r="G39" s="780"/>
      <c r="H39" s="781"/>
      <c r="I39" s="782"/>
      <c r="J39" s="10" t="s">
        <v>339</v>
      </c>
      <c r="K39" s="11"/>
      <c r="L39" s="120"/>
      <c r="M39" s="16" t="s">
        <v>83</v>
      </c>
      <c r="S39" s="118">
        <f t="shared" si="0"/>
        <v>3000</v>
      </c>
      <c r="T39" s="41">
        <f t="shared" si="2"/>
        <v>0</v>
      </c>
      <c r="U39" s="41">
        <f t="shared" si="1"/>
        <v>0</v>
      </c>
      <c r="W39" s="41">
        <v>3000</v>
      </c>
      <c r="X39" s="48"/>
      <c r="Y39" s="48"/>
      <c r="Z39" s="48"/>
    </row>
    <row r="40" spans="2:26" ht="14.25">
      <c r="B40" s="26"/>
      <c r="C40" s="49">
        <v>3</v>
      </c>
      <c r="D40" s="19">
        <v>5</v>
      </c>
      <c r="E40" s="33">
        <v>1.4</v>
      </c>
      <c r="F40" s="34" t="s">
        <v>859</v>
      </c>
      <c r="G40" s="11"/>
      <c r="H40" s="11"/>
      <c r="I40" s="11"/>
      <c r="J40" s="11"/>
      <c r="K40" s="11"/>
      <c r="L40" s="11"/>
      <c r="M40" s="12"/>
      <c r="S40" s="118">
        <f t="shared" si="0"/>
        <v>3200</v>
      </c>
      <c r="T40" s="41">
        <f t="shared" si="2"/>
        <v>0</v>
      </c>
      <c r="U40" s="41">
        <f t="shared" si="1"/>
        <v>0</v>
      </c>
      <c r="W40" s="41">
        <v>3200</v>
      </c>
      <c r="X40" s="48"/>
      <c r="Y40" s="48"/>
      <c r="Z40" s="48"/>
    </row>
    <row r="41" spans="2:26" ht="14.25">
      <c r="B41" s="26"/>
      <c r="C41" s="11"/>
      <c r="D41" s="32"/>
      <c r="E41" s="32"/>
      <c r="F41" s="42" t="s">
        <v>30</v>
      </c>
      <c r="G41" s="780"/>
      <c r="H41" s="781"/>
      <c r="I41" s="782"/>
      <c r="J41" s="10" t="s">
        <v>34</v>
      </c>
      <c r="K41" s="11"/>
      <c r="L41" s="120"/>
      <c r="M41" s="12" t="s">
        <v>35</v>
      </c>
      <c r="S41" s="118">
        <f t="shared" si="0"/>
        <v>3400</v>
      </c>
      <c r="T41" s="41">
        <f t="shared" si="2"/>
        <v>0</v>
      </c>
      <c r="U41" s="41">
        <f t="shared" si="1"/>
        <v>0</v>
      </c>
      <c r="W41" s="41">
        <v>3400</v>
      </c>
      <c r="X41" s="48"/>
      <c r="Y41" s="48"/>
      <c r="Z41" s="48"/>
    </row>
    <row r="42" spans="2:26" ht="14.25">
      <c r="B42" s="26"/>
      <c r="C42" s="56">
        <f>C28+C30+C34+C38+C40</f>
        <v>21</v>
      </c>
      <c r="D42" s="215">
        <f>D30+D34+D38+D40</f>
        <v>35</v>
      </c>
      <c r="E42" s="220" t="s">
        <v>22</v>
      </c>
      <c r="F42" s="11"/>
      <c r="G42" s="11"/>
      <c r="H42" s="11"/>
      <c r="I42" s="11"/>
      <c r="J42" s="11"/>
      <c r="K42" s="11"/>
      <c r="L42" s="11"/>
      <c r="M42" s="12"/>
      <c r="S42" s="118">
        <f t="shared" si="0"/>
        <v>3600</v>
      </c>
      <c r="T42" s="41">
        <f t="shared" si="2"/>
        <v>0</v>
      </c>
      <c r="U42" s="41">
        <f t="shared" si="1"/>
        <v>0</v>
      </c>
      <c r="W42" s="41">
        <v>3600</v>
      </c>
      <c r="X42" s="48"/>
      <c r="Y42" s="48"/>
      <c r="Z42" s="48"/>
    </row>
    <row r="43" spans="2:26" ht="7.15" customHeight="1">
      <c r="B43" s="26"/>
      <c r="C43" s="4"/>
      <c r="D43" s="4"/>
      <c r="E43" s="217"/>
      <c r="F43" s="4"/>
      <c r="G43" s="4"/>
      <c r="H43" s="4"/>
      <c r="I43" s="4"/>
      <c r="J43" s="4"/>
      <c r="K43" s="4"/>
      <c r="L43" s="4"/>
      <c r="M43" s="27"/>
      <c r="S43" s="118">
        <f t="shared" si="0"/>
        <v>3800</v>
      </c>
      <c r="T43" s="41">
        <f t="shared" si="2"/>
        <v>0</v>
      </c>
      <c r="U43" s="41">
        <f t="shared" si="1"/>
        <v>0</v>
      </c>
      <c r="W43" s="41">
        <v>3800</v>
      </c>
      <c r="X43" s="48"/>
      <c r="Y43" s="48"/>
      <c r="Z43" s="48"/>
    </row>
    <row r="44" spans="2:26" ht="15">
      <c r="B44" s="35"/>
      <c r="C44" s="36" t="s">
        <v>36</v>
      </c>
      <c r="D44" s="37"/>
      <c r="E44" s="221"/>
      <c r="F44" s="37"/>
      <c r="G44" s="37"/>
      <c r="H44" s="37"/>
      <c r="I44" s="37"/>
      <c r="J44" s="37"/>
      <c r="K44" s="37"/>
      <c r="L44" s="37"/>
      <c r="M44" s="38"/>
      <c r="S44" s="118">
        <f t="shared" si="0"/>
        <v>4000</v>
      </c>
      <c r="T44" s="41">
        <f t="shared" si="2"/>
        <v>0</v>
      </c>
      <c r="U44" s="41">
        <f t="shared" si="1"/>
        <v>0</v>
      </c>
      <c r="W44" s="41">
        <v>4000</v>
      </c>
      <c r="X44" s="48"/>
      <c r="Y44" s="48"/>
      <c r="Z44" s="48"/>
    </row>
    <row r="45" spans="2:26" ht="14.25">
      <c r="B45" s="26"/>
      <c r="C45" s="31" t="s">
        <v>24</v>
      </c>
      <c r="D45" s="10" t="s">
        <v>25</v>
      </c>
      <c r="E45" s="32"/>
      <c r="F45" s="11"/>
      <c r="G45" s="11"/>
      <c r="H45" s="11"/>
      <c r="I45" s="11"/>
      <c r="J45" s="31" t="s">
        <v>26</v>
      </c>
      <c r="K45" s="11"/>
      <c r="L45" s="31" t="s">
        <v>27</v>
      </c>
      <c r="M45" s="12"/>
      <c r="S45" s="118">
        <f>W45</f>
        <v>4200</v>
      </c>
      <c r="T45" s="41">
        <f>IF($I$9&gt;=30000,Z45,IF($I$9&gt;=10000,Y45,X45))</f>
        <v>0</v>
      </c>
      <c r="U45" s="41">
        <f t="shared" si="1"/>
        <v>0</v>
      </c>
      <c r="W45" s="41">
        <v>4200</v>
      </c>
      <c r="X45" s="48"/>
      <c r="Y45" s="48"/>
      <c r="Z45" s="48"/>
    </row>
    <row r="46" spans="2:26" ht="14.25">
      <c r="B46" s="26"/>
      <c r="C46" s="20"/>
      <c r="D46" s="11"/>
      <c r="E46" s="214" t="s">
        <v>28</v>
      </c>
      <c r="F46" s="11"/>
      <c r="G46" s="11" t="s">
        <v>877</v>
      </c>
      <c r="H46" s="11"/>
      <c r="I46" s="11"/>
      <c r="J46" s="11"/>
      <c r="K46" s="11"/>
      <c r="L46" s="11"/>
      <c r="M46" s="12"/>
      <c r="S46" s="118">
        <f>W46</f>
        <v>4400</v>
      </c>
      <c r="T46" s="41">
        <f>IF($I$9&gt;=30000,Z46,IF($I$9&gt;=10000,Y46,X46))</f>
        <v>0</v>
      </c>
      <c r="U46" s="41">
        <f t="shared" si="1"/>
        <v>0</v>
      </c>
      <c r="W46" s="41">
        <v>4400</v>
      </c>
      <c r="X46" s="48"/>
      <c r="Y46" s="48"/>
      <c r="Z46" s="48"/>
    </row>
    <row r="47" spans="2:26" ht="14.25">
      <c r="B47" s="26"/>
      <c r="C47" s="11"/>
      <c r="D47" s="11"/>
      <c r="E47" s="32"/>
      <c r="F47" s="42" t="s">
        <v>30</v>
      </c>
      <c r="G47" s="780"/>
      <c r="H47" s="781"/>
      <c r="I47" s="782"/>
      <c r="J47" s="10" t="s">
        <v>38</v>
      </c>
      <c r="K47" s="11"/>
      <c r="L47" s="120"/>
      <c r="M47" s="12" t="s">
        <v>82</v>
      </c>
      <c r="S47" s="118">
        <f>W47</f>
        <v>4600</v>
      </c>
      <c r="T47" s="41">
        <f>IF($I$9&gt;=30000,Z47,IF($I$9&gt;=10000,Y47,X47))</f>
        <v>0</v>
      </c>
      <c r="U47" s="41">
        <f t="shared" si="1"/>
        <v>0</v>
      </c>
      <c r="W47" s="41">
        <v>4600</v>
      </c>
      <c r="X47" s="48"/>
      <c r="Y47" s="48"/>
      <c r="Z47" s="48"/>
    </row>
    <row r="48" spans="2:26" ht="14.25">
      <c r="B48" s="26"/>
      <c r="C48" s="49">
        <v>4</v>
      </c>
      <c r="D48" s="19">
        <v>5</v>
      </c>
      <c r="E48" s="33" t="s">
        <v>39</v>
      </c>
      <c r="F48" s="34" t="s">
        <v>40</v>
      </c>
      <c r="G48" s="11"/>
      <c r="H48" s="11"/>
      <c r="I48" s="11"/>
      <c r="J48" s="11"/>
      <c r="K48" s="11"/>
      <c r="L48" s="11"/>
      <c r="M48" s="12"/>
      <c r="S48" s="118">
        <f>W48</f>
        <v>4800</v>
      </c>
      <c r="T48" s="41">
        <f>IF($I$9&gt;=30000,Z48,IF($I$9&gt;=10000,Y48,X48))</f>
        <v>0</v>
      </c>
      <c r="U48" s="41">
        <f t="shared" si="1"/>
        <v>0</v>
      </c>
      <c r="W48" s="41">
        <v>4800</v>
      </c>
      <c r="X48" s="48"/>
      <c r="Y48" s="48"/>
      <c r="Z48" s="48"/>
    </row>
    <row r="49" spans="2:26" ht="14.25">
      <c r="B49" s="26"/>
      <c r="C49" s="11"/>
      <c r="D49" s="32"/>
      <c r="E49" s="32"/>
      <c r="F49" s="42" t="s">
        <v>30</v>
      </c>
      <c r="G49" s="780"/>
      <c r="H49" s="781"/>
      <c r="I49" s="782"/>
      <c r="J49" s="10" t="s">
        <v>41</v>
      </c>
      <c r="K49" s="11"/>
      <c r="L49" s="120"/>
      <c r="M49" s="12" t="s">
        <v>82</v>
      </c>
      <c r="S49" s="118">
        <f t="shared" si="0"/>
        <v>5000</v>
      </c>
      <c r="T49" s="41">
        <f t="shared" si="2"/>
        <v>0</v>
      </c>
      <c r="U49" s="41">
        <f t="shared" si="1"/>
        <v>0</v>
      </c>
      <c r="W49" s="41">
        <v>5000</v>
      </c>
      <c r="X49" s="48"/>
      <c r="Y49" s="48"/>
      <c r="Z49" s="48"/>
    </row>
    <row r="50" spans="2:26" ht="14.25">
      <c r="B50" s="26"/>
      <c r="C50" s="11"/>
      <c r="D50" s="19">
        <v>0</v>
      </c>
      <c r="E50" s="33">
        <v>2.2000000000000002</v>
      </c>
      <c r="F50" s="34" t="s">
        <v>340</v>
      </c>
      <c r="G50" s="11"/>
      <c r="H50" s="11"/>
      <c r="I50" s="32" t="s">
        <v>876</v>
      </c>
      <c r="J50" s="11"/>
      <c r="K50" s="11"/>
      <c r="L50" s="11"/>
      <c r="M50" s="12"/>
      <c r="S50" s="118">
        <f t="shared" si="0"/>
        <v>5200</v>
      </c>
      <c r="T50" s="41">
        <f>IF($I$9&gt;=30000,Z50,IF($I$9&gt;=10000,Y50,X50))</f>
        <v>0</v>
      </c>
      <c r="U50" s="41">
        <f t="shared" si="1"/>
        <v>0</v>
      </c>
      <c r="W50" s="41">
        <v>5200</v>
      </c>
      <c r="X50" s="48"/>
      <c r="Y50" s="48"/>
      <c r="Z50" s="48"/>
    </row>
    <row r="51" spans="2:26" ht="14.25" hidden="1">
      <c r="B51" s="26"/>
      <c r="C51" s="11"/>
      <c r="D51" s="32"/>
      <c r="E51" s="32"/>
      <c r="F51" s="42" t="s">
        <v>30</v>
      </c>
      <c r="G51" s="780"/>
      <c r="H51" s="781"/>
      <c r="I51" s="782"/>
      <c r="J51" s="10" t="s">
        <v>41</v>
      </c>
      <c r="K51" s="11"/>
      <c r="L51" s="120"/>
      <c r="M51" s="12" t="s">
        <v>82</v>
      </c>
      <c r="S51" s="118">
        <f t="shared" si="0"/>
        <v>5400</v>
      </c>
      <c r="T51" s="41">
        <f t="shared" si="2"/>
        <v>0</v>
      </c>
      <c r="U51" s="41">
        <f t="shared" si="1"/>
        <v>0</v>
      </c>
      <c r="W51" s="41">
        <v>5400</v>
      </c>
      <c r="X51" s="48"/>
      <c r="Y51" s="48"/>
      <c r="Z51" s="48"/>
    </row>
    <row r="52" spans="2:26" ht="14.25">
      <c r="B52" s="26"/>
      <c r="C52" s="49">
        <v>3</v>
      </c>
      <c r="D52" s="19">
        <v>5</v>
      </c>
      <c r="E52" s="33">
        <v>2.2999999999999998</v>
      </c>
      <c r="F52" s="34" t="s">
        <v>42</v>
      </c>
      <c r="G52" s="11"/>
      <c r="H52" s="11"/>
      <c r="I52" s="11"/>
      <c r="J52" s="11"/>
      <c r="K52" s="11"/>
      <c r="L52" s="11"/>
      <c r="M52" s="12"/>
      <c r="S52" s="121"/>
    </row>
    <row r="53" spans="2:26" ht="14.25">
      <c r="B53" s="26"/>
      <c r="C53" s="11"/>
      <c r="D53" s="32"/>
      <c r="E53" s="32"/>
      <c r="F53" s="42" t="s">
        <v>30</v>
      </c>
      <c r="G53" s="780"/>
      <c r="H53" s="781"/>
      <c r="I53" s="782"/>
      <c r="J53" s="10" t="s">
        <v>43</v>
      </c>
      <c r="K53" s="11"/>
      <c r="L53" s="120"/>
      <c r="M53" s="12" t="s">
        <v>82</v>
      </c>
    </row>
    <row r="54" spans="2:26" ht="14.25">
      <c r="B54" s="26"/>
      <c r="C54" s="56">
        <f>C48+C50+C52</f>
        <v>7</v>
      </c>
      <c r="D54" s="215">
        <f>D48+D50+D52</f>
        <v>10</v>
      </c>
      <c r="E54" s="220" t="s">
        <v>22</v>
      </c>
      <c r="F54" s="11"/>
      <c r="G54" s="3"/>
      <c r="H54" s="3"/>
      <c r="I54" s="3"/>
      <c r="J54" s="11"/>
      <c r="K54" s="11"/>
      <c r="L54" s="11"/>
      <c r="M54" s="12"/>
      <c r="S54" s="41" t="s">
        <v>96</v>
      </c>
      <c r="T54" s="41" t="s">
        <v>101</v>
      </c>
      <c r="U54" s="41" t="s">
        <v>100</v>
      </c>
    </row>
    <row r="55" spans="2:26" ht="7.15" customHeight="1">
      <c r="B55" s="29"/>
      <c r="C55" s="30"/>
      <c r="D55" s="30"/>
      <c r="E55" s="218"/>
      <c r="F55" s="30"/>
      <c r="G55" s="30"/>
      <c r="H55" s="30"/>
      <c r="I55" s="30"/>
      <c r="J55" s="30"/>
      <c r="K55" s="30"/>
      <c r="L55" s="30"/>
      <c r="M55" s="39"/>
      <c r="S55" s="57">
        <v>0</v>
      </c>
      <c r="T55" s="58"/>
      <c r="U55" s="41"/>
    </row>
    <row r="56" spans="2:26" ht="15">
      <c r="B56" s="35"/>
      <c r="C56" s="36" t="s">
        <v>44</v>
      </c>
      <c r="D56" s="37"/>
      <c r="E56" s="221"/>
      <c r="F56" s="37"/>
      <c r="G56" s="37"/>
      <c r="H56" s="37"/>
      <c r="I56" s="37"/>
      <c r="J56" s="37"/>
      <c r="K56" s="37"/>
      <c r="L56" s="37"/>
      <c r="M56" s="38"/>
      <c r="S56" s="57">
        <v>100</v>
      </c>
      <c r="T56" s="58"/>
      <c r="U56" s="41"/>
    </row>
    <row r="57" spans="2:26" ht="14.25">
      <c r="B57" s="26"/>
      <c r="C57" s="31" t="s">
        <v>24</v>
      </c>
      <c r="D57" s="10" t="s">
        <v>25</v>
      </c>
      <c r="E57" s="32"/>
      <c r="F57" s="11"/>
      <c r="G57" s="11"/>
      <c r="H57" s="11"/>
      <c r="I57" s="11"/>
      <c r="J57" s="31" t="s">
        <v>26</v>
      </c>
      <c r="K57" s="11"/>
      <c r="L57" s="31" t="s">
        <v>27</v>
      </c>
      <c r="M57" s="12"/>
      <c r="S57" s="57">
        <v>200</v>
      </c>
      <c r="T57" s="58"/>
      <c r="U57" s="41"/>
    </row>
    <row r="58" spans="2:26" ht="14.25">
      <c r="B58" s="26"/>
      <c r="C58" s="20"/>
      <c r="D58" s="11"/>
      <c r="E58" s="214" t="s">
        <v>28</v>
      </c>
      <c r="F58" s="11"/>
      <c r="G58" s="11" t="s">
        <v>878</v>
      </c>
      <c r="H58" s="11"/>
      <c r="I58" s="11"/>
      <c r="J58" s="11"/>
      <c r="K58" s="11"/>
      <c r="L58" s="11"/>
      <c r="M58" s="12"/>
      <c r="S58" s="57">
        <v>300</v>
      </c>
      <c r="T58" s="58"/>
      <c r="U58" s="41"/>
    </row>
    <row r="59" spans="2:26" ht="13.9" customHeight="1">
      <c r="B59" s="26"/>
      <c r="C59" s="11"/>
      <c r="D59" s="11"/>
      <c r="E59" s="32"/>
      <c r="F59" s="42" t="s">
        <v>30</v>
      </c>
      <c r="G59" s="824"/>
      <c r="H59" s="781"/>
      <c r="I59" s="782"/>
      <c r="J59" s="10" t="s">
        <v>45</v>
      </c>
      <c r="K59" s="11"/>
      <c r="L59" s="11"/>
      <c r="M59" s="12"/>
      <c r="S59" s="57">
        <v>400</v>
      </c>
      <c r="T59" s="58"/>
      <c r="U59" s="41"/>
    </row>
    <row r="60" spans="2:26" ht="14.25">
      <c r="B60" s="26"/>
      <c r="C60" s="56">
        <f>MAX(C61,C63)</f>
        <v>3</v>
      </c>
      <c r="D60" s="19">
        <v>5</v>
      </c>
      <c r="E60" s="33" t="s">
        <v>46</v>
      </c>
      <c r="F60" s="34" t="s">
        <v>358</v>
      </c>
      <c r="G60" s="11"/>
      <c r="H60" s="11"/>
      <c r="I60" s="32" t="s">
        <v>879</v>
      </c>
      <c r="J60" s="11"/>
      <c r="K60" s="11"/>
      <c r="L60" s="11"/>
      <c r="M60" s="12"/>
      <c r="S60" s="57">
        <v>500</v>
      </c>
      <c r="T60" s="58"/>
      <c r="U60" s="41"/>
    </row>
    <row r="61" spans="2:26" ht="14.25">
      <c r="B61" s="26"/>
      <c r="C61" s="49">
        <v>3</v>
      </c>
      <c r="D61" s="51"/>
      <c r="E61" s="52" t="s">
        <v>351</v>
      </c>
      <c r="F61" s="53" t="s">
        <v>111</v>
      </c>
      <c r="G61" s="3"/>
      <c r="H61" s="3"/>
      <c r="I61" s="3"/>
      <c r="J61" s="11"/>
      <c r="K61" s="11"/>
      <c r="L61" s="11"/>
      <c r="M61" s="12"/>
      <c r="S61" s="57">
        <v>600</v>
      </c>
      <c r="T61" s="58"/>
      <c r="U61" s="41"/>
    </row>
    <row r="62" spans="2:26" ht="14.25">
      <c r="B62" s="26"/>
      <c r="D62" s="51"/>
      <c r="E62" s="52"/>
      <c r="F62" s="42" t="s">
        <v>30</v>
      </c>
      <c r="G62" s="780"/>
      <c r="H62" s="781"/>
      <c r="I62" s="782"/>
      <c r="J62" s="11"/>
      <c r="K62" s="11"/>
      <c r="L62" s="11"/>
      <c r="M62" s="12"/>
      <c r="S62" s="57">
        <v>700</v>
      </c>
      <c r="T62" s="58"/>
      <c r="U62" s="41"/>
    </row>
    <row r="63" spans="2:26" ht="14.25">
      <c r="B63" s="26"/>
      <c r="C63" s="49">
        <v>3</v>
      </c>
      <c r="D63" s="51"/>
      <c r="E63" s="216" t="s">
        <v>352</v>
      </c>
      <c r="F63" s="53" t="s">
        <v>373</v>
      </c>
      <c r="G63" s="3"/>
      <c r="H63" s="3"/>
      <c r="I63" s="3"/>
      <c r="J63" s="11"/>
      <c r="K63" s="11"/>
      <c r="L63" s="11"/>
      <c r="M63" s="12"/>
      <c r="S63" s="57">
        <v>800</v>
      </c>
      <c r="T63" s="58"/>
      <c r="U63" s="41"/>
    </row>
    <row r="64" spans="2:26" ht="14.25">
      <c r="B64" s="26"/>
      <c r="D64" s="51"/>
      <c r="E64" s="216"/>
      <c r="F64" s="42" t="s">
        <v>30</v>
      </c>
      <c r="G64" s="780"/>
      <c r="H64" s="781"/>
      <c r="I64" s="782"/>
      <c r="J64" s="11"/>
      <c r="K64" s="11"/>
      <c r="L64" s="11"/>
      <c r="M64" s="12"/>
      <c r="S64" s="57">
        <v>900</v>
      </c>
      <c r="T64" s="58"/>
      <c r="U64" s="41"/>
    </row>
    <row r="65" spans="2:21" ht="14.25">
      <c r="B65" s="26"/>
      <c r="C65" s="56">
        <f>(C67+C68)/2+C69</f>
        <v>5</v>
      </c>
      <c r="D65" s="19">
        <v>10</v>
      </c>
      <c r="E65" s="33" t="s">
        <v>47</v>
      </c>
      <c r="F65" s="34" t="s">
        <v>342</v>
      </c>
      <c r="G65" s="3"/>
      <c r="H65" s="3"/>
      <c r="I65" s="3"/>
      <c r="J65" s="11"/>
      <c r="K65" s="11"/>
      <c r="L65" s="11"/>
      <c r="M65" s="12"/>
      <c r="S65" s="57">
        <v>1000</v>
      </c>
      <c r="T65" s="58"/>
      <c r="U65" s="41"/>
    </row>
    <row r="66" spans="2:21" ht="14.25">
      <c r="B66" s="26"/>
      <c r="E66" s="52" t="s">
        <v>343</v>
      </c>
      <c r="F66" s="53" t="s">
        <v>944</v>
      </c>
      <c r="G66" s="11"/>
      <c r="H66" s="11"/>
      <c r="I66" s="32" t="s">
        <v>880</v>
      </c>
      <c r="J66" s="11"/>
      <c r="K66" s="11"/>
      <c r="L66" s="11"/>
      <c r="M66" s="12"/>
      <c r="S66" s="57">
        <v>1100</v>
      </c>
      <c r="T66" s="58"/>
      <c r="U66" s="41"/>
    </row>
    <row r="67" spans="2:21" ht="14.25">
      <c r="B67" s="26"/>
      <c r="C67" s="49">
        <v>3</v>
      </c>
      <c r="D67" s="51"/>
      <c r="E67" s="52" t="s">
        <v>109</v>
      </c>
      <c r="F67" s="53" t="s">
        <v>121</v>
      </c>
      <c r="G67" s="780"/>
      <c r="H67" s="781"/>
      <c r="I67" s="782"/>
      <c r="J67" s="11"/>
      <c r="K67" s="11"/>
      <c r="L67" s="11"/>
      <c r="M67" s="12"/>
      <c r="S67" s="57">
        <v>1200</v>
      </c>
      <c r="T67" s="58"/>
      <c r="U67" s="41"/>
    </row>
    <row r="68" spans="2:21" ht="14.25">
      <c r="B68" s="26"/>
      <c r="C68" s="49">
        <v>1</v>
      </c>
      <c r="D68" s="51"/>
      <c r="E68" s="52" t="s">
        <v>110</v>
      </c>
      <c r="F68" s="53" t="s">
        <v>122</v>
      </c>
      <c r="G68" s="780"/>
      <c r="H68" s="781"/>
      <c r="I68" s="782"/>
      <c r="J68" s="582" t="s">
        <v>107</v>
      </c>
      <c r="K68" s="11"/>
      <c r="L68" s="119"/>
      <c r="M68" s="16" t="s">
        <v>48</v>
      </c>
      <c r="S68" s="57">
        <v>1300</v>
      </c>
      <c r="T68" s="58"/>
      <c r="U68" s="41"/>
    </row>
    <row r="69" spans="2:21" ht="14.25">
      <c r="B69" s="26"/>
      <c r="C69" s="368">
        <v>3</v>
      </c>
      <c r="E69" s="52" t="s">
        <v>344</v>
      </c>
      <c r="F69" s="123" t="s">
        <v>126</v>
      </c>
      <c r="G69" s="3"/>
      <c r="H69" s="3"/>
      <c r="I69" s="32"/>
      <c r="M69" s="16"/>
      <c r="S69" s="57">
        <v>1400</v>
      </c>
      <c r="T69" s="58"/>
      <c r="U69" s="41"/>
    </row>
    <row r="70" spans="2:21" ht="14.25">
      <c r="B70" s="26"/>
      <c r="D70" s="51"/>
      <c r="E70" s="52"/>
      <c r="F70" s="42" t="s">
        <v>30</v>
      </c>
      <c r="G70" s="824"/>
      <c r="H70" s="781"/>
      <c r="I70" s="782"/>
      <c r="J70" s="10" t="s">
        <v>367</v>
      </c>
      <c r="K70" s="11"/>
      <c r="L70" s="40"/>
      <c r="M70" s="16" t="s">
        <v>114</v>
      </c>
      <c r="S70" s="57">
        <v>1500</v>
      </c>
      <c r="T70" s="58"/>
      <c r="U70" s="41"/>
    </row>
    <row r="71" spans="2:21" ht="14.25">
      <c r="B71" s="26"/>
      <c r="C71" s="49">
        <v>3</v>
      </c>
      <c r="D71" s="19">
        <v>5</v>
      </c>
      <c r="E71" s="33" t="s">
        <v>49</v>
      </c>
      <c r="F71" s="34" t="s">
        <v>50</v>
      </c>
      <c r="G71" s="11"/>
      <c r="H71" s="11"/>
      <c r="I71" s="11"/>
      <c r="J71" s="11"/>
      <c r="K71" s="11"/>
      <c r="L71" s="11"/>
      <c r="M71" s="12"/>
      <c r="S71" s="57">
        <v>1600</v>
      </c>
      <c r="T71" s="58"/>
      <c r="U71" s="41"/>
    </row>
    <row r="72" spans="2:21" ht="14.25">
      <c r="B72" s="26"/>
      <c r="C72" s="11"/>
      <c r="D72" s="32"/>
      <c r="E72" s="32"/>
      <c r="F72" s="42" t="s">
        <v>30</v>
      </c>
      <c r="G72" s="820"/>
      <c r="H72" s="781"/>
      <c r="I72" s="782"/>
      <c r="J72" s="573" t="s">
        <v>112</v>
      </c>
      <c r="K72" s="11"/>
      <c r="L72" s="119"/>
      <c r="M72" s="16" t="s">
        <v>51</v>
      </c>
      <c r="S72" s="57">
        <v>1700</v>
      </c>
      <c r="T72" s="58"/>
      <c r="U72" s="41"/>
    </row>
    <row r="73" spans="2:21" ht="14.25">
      <c r="B73" s="26"/>
      <c r="C73" s="580">
        <f>AVERAGE(C74:C80)</f>
        <v>2.75</v>
      </c>
      <c r="D73" s="19">
        <v>5</v>
      </c>
      <c r="E73" s="33" t="s">
        <v>52</v>
      </c>
      <c r="F73" s="583" t="s">
        <v>833</v>
      </c>
      <c r="G73" s="579"/>
      <c r="H73" s="579"/>
      <c r="I73" s="725"/>
      <c r="K73" s="584" t="s">
        <v>832</v>
      </c>
      <c r="L73" s="11"/>
      <c r="M73" s="12"/>
      <c r="S73" s="57">
        <v>1800</v>
      </c>
      <c r="T73" s="58"/>
      <c r="U73" s="41"/>
    </row>
    <row r="74" spans="2:21" ht="14.25">
      <c r="B74" s="26"/>
      <c r="C74" s="49">
        <v>3</v>
      </c>
      <c r="D74" s="51"/>
      <c r="E74" s="52" t="s">
        <v>353</v>
      </c>
      <c r="F74" s="53" t="s">
        <v>350</v>
      </c>
      <c r="G74" s="3"/>
      <c r="H74" s="3"/>
      <c r="I74" s="3"/>
      <c r="M74" s="12"/>
      <c r="S74" s="57">
        <v>1900</v>
      </c>
      <c r="T74" s="58"/>
      <c r="U74" s="41"/>
    </row>
    <row r="75" spans="2:21" ht="14.25">
      <c r="B75" s="26"/>
      <c r="D75" s="51"/>
      <c r="E75" s="52"/>
      <c r="F75" s="42" t="s">
        <v>30</v>
      </c>
      <c r="G75" s="780"/>
      <c r="H75" s="781"/>
      <c r="I75" s="782"/>
      <c r="J75" s="10" t="s">
        <v>116</v>
      </c>
      <c r="K75" s="11"/>
      <c r="L75" s="119"/>
      <c r="M75" s="16" t="s">
        <v>115</v>
      </c>
      <c r="S75" s="57">
        <v>2000</v>
      </c>
      <c r="T75" s="58"/>
      <c r="U75" s="41"/>
    </row>
    <row r="76" spans="2:21" ht="14.25">
      <c r="B76" s="26"/>
      <c r="C76" s="49">
        <v>3</v>
      </c>
      <c r="D76" s="51"/>
      <c r="E76" s="52" t="s">
        <v>354</v>
      </c>
      <c r="F76" s="53" t="s">
        <v>349</v>
      </c>
      <c r="G76" s="3"/>
      <c r="H76" s="3"/>
      <c r="I76" s="3"/>
      <c r="J76" s="10"/>
      <c r="K76" s="11"/>
      <c r="M76" s="16"/>
      <c r="S76" s="57">
        <v>2100</v>
      </c>
      <c r="T76" s="58"/>
      <c r="U76" s="41"/>
    </row>
    <row r="77" spans="2:21" ht="13.9" customHeight="1">
      <c r="B77" s="26"/>
      <c r="D77" s="51"/>
      <c r="E77" s="52"/>
      <c r="F77" s="42" t="s">
        <v>361</v>
      </c>
      <c r="G77" s="820"/>
      <c r="H77" s="825"/>
      <c r="I77" s="826"/>
      <c r="J77" s="10" t="s">
        <v>84</v>
      </c>
      <c r="K77" s="11"/>
      <c r="L77" s="119"/>
      <c r="M77" s="16" t="s">
        <v>83</v>
      </c>
      <c r="S77" s="57"/>
      <c r="T77" s="58"/>
      <c r="U77" s="41"/>
    </row>
    <row r="78" spans="2:21" ht="14.25">
      <c r="B78" s="26"/>
      <c r="C78" s="49">
        <v>2</v>
      </c>
      <c r="D78" s="51"/>
      <c r="E78" s="52" t="s">
        <v>355</v>
      </c>
      <c r="F78" s="53" t="s">
        <v>113</v>
      </c>
      <c r="G78" s="3"/>
      <c r="H78" s="3"/>
      <c r="I78" s="3"/>
      <c r="J78" s="10"/>
      <c r="K78" s="11"/>
      <c r="M78" s="16"/>
      <c r="S78" s="57"/>
      <c r="T78" s="58"/>
      <c r="U78" s="41"/>
    </row>
    <row r="79" spans="2:21" ht="14.25">
      <c r="B79" s="26"/>
      <c r="D79" s="51"/>
      <c r="E79" s="52"/>
      <c r="F79" s="42" t="s">
        <v>30</v>
      </c>
      <c r="G79" s="780"/>
      <c r="H79" s="781"/>
      <c r="I79" s="782"/>
      <c r="J79" s="10" t="s">
        <v>85</v>
      </c>
      <c r="K79" s="11"/>
      <c r="L79" s="119"/>
      <c r="M79" s="16" t="s">
        <v>114</v>
      </c>
      <c r="S79" s="57">
        <v>2200</v>
      </c>
      <c r="T79" s="58"/>
      <c r="U79" s="41"/>
    </row>
    <row r="80" spans="2:21" ht="14.25">
      <c r="B80" s="26"/>
      <c r="C80" s="368">
        <v>3</v>
      </c>
      <c r="D80" s="51"/>
      <c r="E80" s="52" t="s">
        <v>381</v>
      </c>
      <c r="F80" s="53" t="s">
        <v>943</v>
      </c>
      <c r="G80" s="3"/>
      <c r="H80" s="3"/>
      <c r="I80" s="3"/>
      <c r="M80" s="16"/>
      <c r="S80" s="57">
        <v>2300</v>
      </c>
      <c r="T80" s="58"/>
      <c r="U80" s="41"/>
    </row>
    <row r="81" spans="2:22" ht="16.149999999999999" customHeight="1">
      <c r="B81" s="26"/>
      <c r="D81" s="51"/>
      <c r="E81" s="52"/>
      <c r="F81" s="42" t="s">
        <v>30</v>
      </c>
      <c r="G81" s="780"/>
      <c r="H81" s="781"/>
      <c r="I81" s="782"/>
      <c r="J81" s="10"/>
      <c r="K81" s="11"/>
      <c r="M81" s="16"/>
      <c r="S81" s="57">
        <v>2400</v>
      </c>
      <c r="T81" s="58"/>
      <c r="U81" s="41"/>
    </row>
    <row r="82" spans="2:22" ht="14.25">
      <c r="B82" s="26"/>
      <c r="C82" s="745">
        <f>C60+C65+C71+C73</f>
        <v>13.75</v>
      </c>
      <c r="D82" s="215">
        <f>D60+D65+D71+D73</f>
        <v>25</v>
      </c>
      <c r="E82" s="220" t="s">
        <v>22</v>
      </c>
      <c r="F82" s="11"/>
      <c r="G82" s="11"/>
      <c r="H82" s="11"/>
      <c r="I82" s="11"/>
      <c r="J82" s="11"/>
      <c r="K82" s="11"/>
      <c r="L82" s="11"/>
      <c r="M82" s="12"/>
      <c r="S82" s="57">
        <v>2500</v>
      </c>
      <c r="T82" s="58"/>
      <c r="U82" s="41"/>
    </row>
    <row r="83" spans="2:22" ht="6.6" customHeight="1">
      <c r="B83" s="29"/>
      <c r="C83" s="30"/>
      <c r="D83" s="30"/>
      <c r="E83" s="218"/>
      <c r="F83" s="30"/>
      <c r="G83" s="30"/>
      <c r="H83" s="30"/>
      <c r="I83" s="30"/>
      <c r="J83" s="30"/>
      <c r="K83" s="30"/>
      <c r="L83" s="30"/>
      <c r="M83" s="39"/>
      <c r="S83" s="57">
        <v>2600</v>
      </c>
      <c r="T83" s="58"/>
      <c r="U83" s="41"/>
    </row>
    <row r="84" spans="2:22" ht="17.25">
      <c r="B84" s="5"/>
      <c r="C84" s="6" t="s">
        <v>53</v>
      </c>
      <c r="D84" s="7"/>
      <c r="E84" s="219"/>
      <c r="F84" s="7"/>
      <c r="G84" s="7"/>
      <c r="H84" s="7"/>
      <c r="I84" s="7"/>
      <c r="J84" s="7"/>
      <c r="K84" s="7"/>
      <c r="L84" s="7"/>
      <c r="M84" s="8"/>
      <c r="P84" s="718" t="s">
        <v>95</v>
      </c>
      <c r="Q84" s="332"/>
    </row>
    <row r="85" spans="2:22" ht="14.25">
      <c r="B85" s="26"/>
      <c r="C85" s="31" t="s">
        <v>24</v>
      </c>
      <c r="D85" s="10" t="s">
        <v>25</v>
      </c>
      <c r="E85" s="32"/>
      <c r="F85" s="11"/>
      <c r="G85" s="11"/>
      <c r="H85" s="11"/>
      <c r="I85" s="11"/>
      <c r="J85" s="31" t="s">
        <v>26</v>
      </c>
      <c r="K85" s="11"/>
      <c r="L85" s="31" t="s">
        <v>27</v>
      </c>
      <c r="M85" s="12"/>
      <c r="P85" s="802"/>
      <c r="Q85" s="803"/>
    </row>
    <row r="86" spans="2:22" ht="14.25">
      <c r="B86" s="26"/>
      <c r="C86" s="20"/>
      <c r="D86" s="11"/>
      <c r="E86" s="214" t="s">
        <v>28</v>
      </c>
      <c r="F86" s="11"/>
      <c r="G86" s="11" t="s">
        <v>882</v>
      </c>
      <c r="H86" s="11"/>
      <c r="I86" s="11"/>
      <c r="J86" s="11"/>
      <c r="K86" s="11"/>
      <c r="L86" s="11"/>
      <c r="M86" s="12"/>
      <c r="P86" s="802"/>
      <c r="Q86" s="803"/>
    </row>
    <row r="87" spans="2:22" ht="14.25">
      <c r="B87" s="26"/>
      <c r="C87" s="11"/>
      <c r="D87" s="11"/>
      <c r="E87" s="32"/>
      <c r="F87" s="42" t="s">
        <v>30</v>
      </c>
      <c r="G87" s="780"/>
      <c r="H87" s="781"/>
      <c r="I87" s="782"/>
      <c r="J87" s="10" t="s">
        <v>45</v>
      </c>
      <c r="K87" s="11"/>
      <c r="L87" s="11"/>
      <c r="M87" s="12"/>
      <c r="P87" s="802"/>
      <c r="Q87" s="803"/>
    </row>
    <row r="88" spans="2:22" ht="14.25">
      <c r="B88" s="26"/>
      <c r="C88" s="49">
        <v>3</v>
      </c>
      <c r="D88" s="19">
        <f>IF(AND(C90&lt;&gt;"",C90=0),10,5)</f>
        <v>5</v>
      </c>
      <c r="E88" s="33" t="s">
        <v>54</v>
      </c>
      <c r="F88" s="34" t="s">
        <v>55</v>
      </c>
      <c r="G88" s="11"/>
      <c r="H88" s="11"/>
      <c r="I88" s="11"/>
      <c r="J88" s="11"/>
      <c r="K88" s="11"/>
      <c r="L88" s="11"/>
      <c r="M88" s="12"/>
      <c r="P88" s="802"/>
      <c r="Q88" s="803"/>
    </row>
    <row r="89" spans="2:22" ht="14.25">
      <c r="B89" s="26"/>
      <c r="C89" s="11"/>
      <c r="D89" s="181" t="s">
        <v>319</v>
      </c>
      <c r="E89" s="42"/>
      <c r="F89" s="42" t="s">
        <v>30</v>
      </c>
      <c r="G89" s="780"/>
      <c r="H89" s="781"/>
      <c r="I89" s="782"/>
      <c r="J89" s="573" t="s">
        <v>118</v>
      </c>
      <c r="K89" s="11"/>
      <c r="L89" s="119"/>
      <c r="M89" s="16" t="s">
        <v>114</v>
      </c>
      <c r="P89" s="802"/>
      <c r="Q89" s="803"/>
    </row>
    <row r="90" spans="2:22" ht="14.25" customHeight="1">
      <c r="B90" s="26"/>
      <c r="C90" s="49">
        <v>3</v>
      </c>
      <c r="D90" s="19">
        <f>IF(AND(C90&lt;&gt;"",C90=0),0,5)</f>
        <v>5</v>
      </c>
      <c r="E90" s="33" t="s">
        <v>56</v>
      </c>
      <c r="F90" s="34" t="s">
        <v>57</v>
      </c>
      <c r="G90" s="11"/>
      <c r="H90" s="11"/>
      <c r="I90" s="11"/>
      <c r="J90" s="11"/>
      <c r="K90" s="11"/>
      <c r="L90" s="11"/>
      <c r="M90" s="12"/>
      <c r="P90" s="802"/>
      <c r="Q90" s="803"/>
    </row>
    <row r="91" spans="2:22" ht="14.25" customHeight="1">
      <c r="B91" s="26"/>
      <c r="C91" s="11"/>
      <c r="D91" s="32" t="s">
        <v>117</v>
      </c>
      <c r="E91" s="32"/>
      <c r="F91" s="42" t="s">
        <v>30</v>
      </c>
      <c r="G91" s="780"/>
      <c r="H91" s="781"/>
      <c r="I91" s="782"/>
      <c r="J91" s="10" t="s">
        <v>45</v>
      </c>
      <c r="K91" s="11"/>
      <c r="L91" s="11"/>
      <c r="M91" s="12"/>
      <c r="P91" s="802"/>
      <c r="Q91" s="803"/>
    </row>
    <row r="92" spans="2:22" ht="14.25">
      <c r="B92" s="26"/>
      <c r="C92" s="56">
        <f>AVERAGE(C93:C95)</f>
        <v>3</v>
      </c>
      <c r="D92" s="19">
        <v>5</v>
      </c>
      <c r="E92" s="33" t="s">
        <v>58</v>
      </c>
      <c r="F92" s="34" t="s">
        <v>345</v>
      </c>
      <c r="G92" s="11"/>
      <c r="H92" s="11"/>
      <c r="I92" s="11"/>
      <c r="J92" s="11"/>
      <c r="K92" s="11"/>
      <c r="L92" s="11"/>
      <c r="M92" s="12"/>
      <c r="P92" s="802"/>
      <c r="Q92" s="803"/>
    </row>
    <row r="93" spans="2:22" ht="14.25">
      <c r="B93" s="26"/>
      <c r="C93" s="49">
        <v>3</v>
      </c>
      <c r="D93" s="51"/>
      <c r="E93" s="52" t="s">
        <v>346</v>
      </c>
      <c r="F93" s="53" t="s">
        <v>347</v>
      </c>
      <c r="G93" s="11"/>
      <c r="H93" s="11"/>
      <c r="I93" s="11"/>
      <c r="J93" s="11"/>
      <c r="K93" s="11"/>
      <c r="L93" s="11"/>
      <c r="M93" s="12"/>
      <c r="P93" s="802"/>
      <c r="Q93" s="803"/>
    </row>
    <row r="94" spans="2:22" ht="14.25">
      <c r="B94" s="26"/>
      <c r="D94" s="51"/>
      <c r="E94" s="33"/>
      <c r="F94" s="42" t="s">
        <v>30</v>
      </c>
      <c r="G94" s="780"/>
      <c r="H94" s="781"/>
      <c r="I94" s="782"/>
      <c r="J94" s="573" t="s">
        <v>368</v>
      </c>
      <c r="K94" s="11"/>
      <c r="L94" s="119"/>
      <c r="M94" s="16" t="s">
        <v>369</v>
      </c>
      <c r="P94" s="802"/>
      <c r="Q94" s="803"/>
      <c r="S94" s="59"/>
      <c r="T94" s="60"/>
      <c r="V94" s="46"/>
    </row>
    <row r="95" spans="2:22" ht="14.25" customHeight="1">
      <c r="B95" s="26"/>
      <c r="C95" s="11"/>
      <c r="D95" s="51"/>
      <c r="E95" s="52" t="s">
        <v>348</v>
      </c>
      <c r="F95" s="53" t="s">
        <v>377</v>
      </c>
      <c r="G95" s="11"/>
      <c r="H95" s="11"/>
      <c r="I95" s="32" t="s">
        <v>876</v>
      </c>
      <c r="J95" s="11"/>
      <c r="K95" s="11"/>
      <c r="L95" s="11"/>
      <c r="M95" s="12"/>
      <c r="P95" s="802"/>
      <c r="Q95" s="803"/>
      <c r="S95" s="59"/>
      <c r="T95" s="60"/>
    </row>
    <row r="96" spans="2:22" ht="14.25" hidden="1" customHeight="1">
      <c r="B96" s="26"/>
      <c r="C96" s="11"/>
      <c r="D96" s="32"/>
      <c r="E96" s="32"/>
      <c r="F96" s="42" t="s">
        <v>30</v>
      </c>
      <c r="G96" s="780"/>
      <c r="H96" s="781"/>
      <c r="I96" s="782"/>
      <c r="J96" s="10" t="s">
        <v>367</v>
      </c>
      <c r="K96" s="11"/>
      <c r="L96" s="119"/>
      <c r="M96" s="16" t="s">
        <v>83</v>
      </c>
      <c r="P96" s="802"/>
      <c r="Q96" s="803"/>
      <c r="S96" s="59"/>
      <c r="T96" s="60"/>
    </row>
    <row r="97" spans="2:17" ht="14.25" customHeight="1">
      <c r="B97" s="26"/>
      <c r="C97" s="49">
        <v>3</v>
      </c>
      <c r="D97" s="19">
        <v>5</v>
      </c>
      <c r="E97" s="33" t="s">
        <v>59</v>
      </c>
      <c r="F97" s="34" t="s">
        <v>60</v>
      </c>
      <c r="G97" s="11"/>
      <c r="H97" s="11"/>
      <c r="I97" s="11"/>
      <c r="J97" s="11"/>
      <c r="K97" s="11"/>
      <c r="L97" s="11"/>
      <c r="M97" s="12"/>
      <c r="P97" s="804"/>
      <c r="Q97" s="805"/>
    </row>
    <row r="98" spans="2:17" ht="14.25" customHeight="1">
      <c r="B98" s="26"/>
      <c r="C98" s="11"/>
      <c r="D98" s="32"/>
      <c r="E98" s="32"/>
      <c r="F98" s="42" t="s">
        <v>30</v>
      </c>
      <c r="G98" s="783"/>
      <c r="H98" s="784"/>
      <c r="I98" s="785"/>
      <c r="J98" s="10" t="s">
        <v>86</v>
      </c>
      <c r="K98" s="11"/>
      <c r="L98" s="119"/>
      <c r="M98" s="16" t="s">
        <v>87</v>
      </c>
    </row>
    <row r="99" spans="2:17" ht="14.25" customHeight="1">
      <c r="B99" s="26"/>
      <c r="C99" s="11"/>
      <c r="D99" s="11"/>
      <c r="E99" s="32"/>
      <c r="F99" s="11"/>
      <c r="G99" s="786"/>
      <c r="H99" s="787"/>
      <c r="I99" s="788"/>
      <c r="J99" s="11"/>
      <c r="K99" s="11"/>
      <c r="L99" s="11"/>
      <c r="M99" s="12"/>
    </row>
    <row r="100" spans="2:17" ht="14.25" customHeight="1">
      <c r="B100" s="26"/>
      <c r="C100" s="56">
        <f>C88+C90+C92+C97</f>
        <v>12</v>
      </c>
      <c r="D100" s="215">
        <f>D88+D90+D92+D97</f>
        <v>20</v>
      </c>
      <c r="E100" s="220" t="s">
        <v>22</v>
      </c>
      <c r="F100" s="11"/>
      <c r="G100" s="11"/>
      <c r="H100" s="11"/>
      <c r="I100" s="11"/>
      <c r="J100" s="11"/>
      <c r="K100" s="11"/>
      <c r="L100" s="11"/>
      <c r="M100" s="12"/>
    </row>
    <row r="101" spans="2:17" ht="6" customHeight="1">
      <c r="B101" s="26"/>
      <c r="C101" s="4"/>
      <c r="D101" s="4"/>
      <c r="E101" s="217"/>
      <c r="F101" s="4"/>
      <c r="G101" s="4"/>
      <c r="H101" s="4"/>
      <c r="I101" s="4"/>
      <c r="J101" s="4"/>
      <c r="K101" s="4"/>
      <c r="L101" s="4"/>
      <c r="M101" s="27"/>
    </row>
    <row r="102" spans="2:17" ht="14.25" customHeight="1">
      <c r="B102" s="692"/>
      <c r="C102" s="693" t="s">
        <v>61</v>
      </c>
      <c r="D102" s="694"/>
      <c r="E102" s="695"/>
      <c r="F102" s="694"/>
      <c r="G102" s="694"/>
      <c r="H102" s="694"/>
      <c r="I102" s="694"/>
      <c r="J102" s="694"/>
      <c r="K102" s="694"/>
      <c r="L102" s="694"/>
      <c r="M102" s="696"/>
      <c r="N102" s="1"/>
    </row>
    <row r="103" spans="2:17" ht="14.25" customHeight="1">
      <c r="B103" s="26"/>
      <c r="C103" s="31" t="s">
        <v>24</v>
      </c>
      <c r="D103" s="10" t="s">
        <v>25</v>
      </c>
      <c r="E103" s="32"/>
      <c r="F103" s="11"/>
      <c r="G103" s="11"/>
      <c r="H103" s="11"/>
      <c r="I103" s="11"/>
      <c r="J103" s="31" t="s">
        <v>26</v>
      </c>
      <c r="K103" s="11"/>
      <c r="L103" s="31" t="s">
        <v>27</v>
      </c>
      <c r="M103" s="12"/>
      <c r="N103" s="1"/>
    </row>
    <row r="104" spans="2:17" ht="14.25" customHeight="1">
      <c r="B104" s="26"/>
      <c r="C104" s="20"/>
      <c r="D104" s="11"/>
      <c r="E104" s="214" t="s">
        <v>28</v>
      </c>
      <c r="F104" s="11"/>
      <c r="G104" s="11" t="s">
        <v>883</v>
      </c>
      <c r="H104" s="11"/>
      <c r="I104" s="11"/>
      <c r="J104" s="11"/>
      <c r="K104" s="11"/>
      <c r="L104" s="11"/>
      <c r="M104" s="12"/>
      <c r="N104" s="1"/>
    </row>
    <row r="105" spans="2:17" ht="14.25" customHeight="1">
      <c r="B105" s="26"/>
      <c r="C105" s="11"/>
      <c r="D105" s="11"/>
      <c r="E105" s="32"/>
      <c r="F105" s="42" t="s">
        <v>30</v>
      </c>
      <c r="G105" s="794"/>
      <c r="H105" s="795"/>
      <c r="I105" s="796"/>
      <c r="J105" s="10" t="s">
        <v>45</v>
      </c>
      <c r="K105" s="11"/>
      <c r="L105" s="11"/>
      <c r="M105" s="12"/>
      <c r="N105" s="1"/>
    </row>
    <row r="106" spans="2:17" ht="14.25" customHeight="1">
      <c r="B106" s="26"/>
      <c r="C106" s="11"/>
      <c r="D106" s="11"/>
      <c r="E106" s="32"/>
      <c r="F106" s="11"/>
      <c r="G106" s="797"/>
      <c r="H106" s="798"/>
      <c r="I106" s="799"/>
      <c r="J106" s="11"/>
      <c r="K106" s="11"/>
      <c r="L106" s="11"/>
      <c r="M106" s="12"/>
      <c r="N106" s="1"/>
    </row>
    <row r="107" spans="2:17" ht="14.25">
      <c r="B107" s="26"/>
      <c r="C107" s="580">
        <f>IF(C108*2/3+C110*1/3&gt;D107,D107,C108*2/3+C110*1/3)</f>
        <v>3</v>
      </c>
      <c r="D107" s="19">
        <v>3</v>
      </c>
      <c r="E107" s="33" t="s">
        <v>62</v>
      </c>
      <c r="F107" s="34" t="s">
        <v>301</v>
      </c>
      <c r="G107" s="11"/>
      <c r="H107" s="11"/>
      <c r="I107" s="32" t="s">
        <v>365</v>
      </c>
      <c r="J107" s="11"/>
      <c r="K107" s="11"/>
      <c r="L107" s="11"/>
      <c r="M107" s="12"/>
      <c r="N107" s="1"/>
    </row>
    <row r="108" spans="2:17" ht="14.25" customHeight="1">
      <c r="B108" s="26"/>
      <c r="C108" s="49">
        <v>3</v>
      </c>
      <c r="D108" s="51"/>
      <c r="E108" s="52" t="s">
        <v>362</v>
      </c>
      <c r="F108" s="53" t="s">
        <v>123</v>
      </c>
      <c r="G108" s="3"/>
      <c r="H108" s="3"/>
      <c r="I108" s="3"/>
      <c r="M108" s="12"/>
      <c r="N108" s="1"/>
    </row>
    <row r="109" spans="2:17" ht="14.25" customHeight="1">
      <c r="B109" s="26"/>
      <c r="C109" s="11"/>
      <c r="D109" s="51"/>
      <c r="E109" s="52"/>
      <c r="F109" s="42" t="s">
        <v>30</v>
      </c>
      <c r="G109" s="780"/>
      <c r="H109" s="781"/>
      <c r="I109" s="782"/>
      <c r="J109" s="10" t="s">
        <v>63</v>
      </c>
      <c r="K109" s="11"/>
      <c r="L109" s="120"/>
      <c r="M109" s="16" t="s">
        <v>64</v>
      </c>
      <c r="N109" s="1"/>
    </row>
    <row r="110" spans="2:17" ht="14.25" customHeight="1">
      <c r="B110" s="26"/>
      <c r="C110" s="49">
        <v>3</v>
      </c>
      <c r="D110" s="51"/>
      <c r="E110" s="52" t="s">
        <v>363</v>
      </c>
      <c r="F110" s="53" t="s">
        <v>119</v>
      </c>
      <c r="G110" s="3"/>
      <c r="H110" s="3"/>
      <c r="I110" s="3"/>
      <c r="M110" s="12"/>
      <c r="N110" s="1"/>
    </row>
    <row r="111" spans="2:17" ht="14.25">
      <c r="B111" s="26"/>
      <c r="D111" s="51"/>
      <c r="E111" s="52"/>
      <c r="F111" s="42" t="s">
        <v>30</v>
      </c>
      <c r="G111" s="780"/>
      <c r="H111" s="781"/>
      <c r="I111" s="782"/>
      <c r="J111" s="10" t="s">
        <v>88</v>
      </c>
      <c r="K111" s="11"/>
      <c r="L111" s="119"/>
      <c r="M111" s="16" t="s">
        <v>87</v>
      </c>
      <c r="N111" s="1"/>
    </row>
    <row r="112" spans="2:17" ht="14.25">
      <c r="B112" s="26"/>
      <c r="C112" s="49">
        <v>3</v>
      </c>
      <c r="D112" s="19">
        <v>3</v>
      </c>
      <c r="E112" s="33" t="s">
        <v>65</v>
      </c>
      <c r="F112" s="34" t="s">
        <v>66</v>
      </c>
      <c r="G112" s="11"/>
      <c r="H112" s="11"/>
      <c r="I112" s="11"/>
      <c r="J112" s="11"/>
      <c r="K112" s="11"/>
      <c r="L112" s="11"/>
      <c r="M112" s="12"/>
      <c r="N112" s="1"/>
    </row>
    <row r="113" spans="2:14" ht="13.9" customHeight="1">
      <c r="B113" s="26"/>
      <c r="C113" s="11"/>
      <c r="D113" s="32"/>
      <c r="E113" s="32"/>
      <c r="F113" s="42" t="s">
        <v>30</v>
      </c>
      <c r="G113" s="820"/>
      <c r="H113" s="781"/>
      <c r="I113" s="782"/>
      <c r="J113" s="10"/>
      <c r="K113" s="11"/>
      <c r="L113" s="222"/>
      <c r="M113" s="16"/>
      <c r="N113" s="1"/>
    </row>
    <row r="114" spans="2:14" ht="14.25">
      <c r="B114" s="26"/>
      <c r="C114" s="49">
        <v>3</v>
      </c>
      <c r="D114" s="19">
        <v>2</v>
      </c>
      <c r="E114" s="33" t="s">
        <v>67</v>
      </c>
      <c r="F114" s="34" t="s">
        <v>300</v>
      </c>
      <c r="G114" s="11"/>
      <c r="H114" s="11"/>
      <c r="I114" s="11"/>
      <c r="J114" s="11"/>
      <c r="K114" s="11"/>
      <c r="L114" s="11"/>
      <c r="M114" s="12"/>
      <c r="N114" s="1"/>
    </row>
    <row r="115" spans="2:14" ht="13.9" customHeight="1">
      <c r="B115" s="26"/>
      <c r="C115" s="11"/>
      <c r="D115" s="32"/>
      <c r="E115" s="32"/>
      <c r="F115" s="42" t="s">
        <v>30</v>
      </c>
      <c r="G115" s="821"/>
      <c r="H115" s="781"/>
      <c r="I115" s="782"/>
      <c r="J115" s="10" t="s">
        <v>89</v>
      </c>
      <c r="K115" s="11"/>
      <c r="L115" s="120"/>
      <c r="M115" s="16" t="s">
        <v>90</v>
      </c>
      <c r="N115" s="1"/>
    </row>
    <row r="116" spans="2:14" ht="14.25">
      <c r="B116" s="26"/>
      <c r="C116" s="368">
        <v>2</v>
      </c>
      <c r="D116" s="19">
        <v>2</v>
      </c>
      <c r="E116" s="33">
        <v>5.4</v>
      </c>
      <c r="F116" s="34" t="s">
        <v>578</v>
      </c>
      <c r="G116" s="11"/>
      <c r="H116" s="11"/>
      <c r="I116" s="11"/>
      <c r="J116" s="11"/>
      <c r="K116" s="11"/>
      <c r="L116" s="11"/>
      <c r="M116" s="12"/>
      <c r="N116" s="1"/>
    </row>
    <row r="117" spans="2:14" ht="14.25">
      <c r="B117" s="26"/>
      <c r="C117" s="11"/>
      <c r="D117" s="32"/>
      <c r="E117" s="32"/>
      <c r="F117" s="42" t="s">
        <v>30</v>
      </c>
      <c r="G117" s="793"/>
      <c r="H117" s="781"/>
      <c r="I117" s="782"/>
      <c r="J117" s="10" t="s">
        <v>834</v>
      </c>
      <c r="K117" s="11"/>
      <c r="L117" s="735"/>
      <c r="M117" s="16" t="s">
        <v>83</v>
      </c>
      <c r="N117" s="1"/>
    </row>
    <row r="118" spans="2:14" ht="14.25" hidden="1">
      <c r="B118" s="26"/>
      <c r="F118" s="11"/>
      <c r="G118" s="11"/>
      <c r="H118" s="11"/>
      <c r="I118" s="11"/>
      <c r="J118" s="11"/>
      <c r="K118" s="11"/>
      <c r="L118" s="11"/>
      <c r="M118" s="12"/>
      <c r="N118" s="1"/>
    </row>
    <row r="119" spans="2:14" ht="14.25" hidden="1">
      <c r="B119" s="43"/>
      <c r="G119" s="3"/>
      <c r="H119" s="3"/>
      <c r="I119" s="3"/>
      <c r="M119" s="44"/>
      <c r="N119" s="1"/>
    </row>
    <row r="120" spans="2:14" ht="14.25" hidden="1">
      <c r="B120" s="43"/>
      <c r="G120" s="3"/>
      <c r="H120" s="3"/>
      <c r="I120" s="3"/>
      <c r="M120" s="44"/>
    </row>
    <row r="121" spans="2:14" ht="14.25" hidden="1">
      <c r="B121" s="43"/>
      <c r="G121" s="3"/>
      <c r="H121" s="3"/>
      <c r="I121" s="3"/>
      <c r="M121" s="44"/>
    </row>
    <row r="122" spans="2:14" ht="14.25" hidden="1">
      <c r="B122" s="43"/>
      <c r="G122" s="3"/>
      <c r="H122" s="3"/>
      <c r="I122" s="3"/>
      <c r="M122" s="44"/>
    </row>
    <row r="123" spans="2:14" ht="14.25" hidden="1">
      <c r="B123" s="43"/>
      <c r="G123" s="3"/>
      <c r="H123" s="3"/>
      <c r="I123" s="3"/>
      <c r="M123" s="44"/>
    </row>
    <row r="124" spans="2:14" ht="14.25" hidden="1">
      <c r="B124" s="43"/>
      <c r="G124" s="3"/>
      <c r="H124" s="3"/>
      <c r="I124" s="3"/>
      <c r="M124" s="44"/>
    </row>
    <row r="125" spans="2:14" ht="14.25" hidden="1">
      <c r="B125" s="43"/>
      <c r="G125" s="3"/>
      <c r="H125" s="3"/>
      <c r="I125" s="3"/>
      <c r="M125" s="44"/>
    </row>
    <row r="126" spans="2:14" ht="14.25" hidden="1">
      <c r="B126" s="43"/>
      <c r="G126" s="3"/>
      <c r="H126" s="3"/>
      <c r="I126" s="3"/>
      <c r="M126" s="44"/>
    </row>
    <row r="127" spans="2:14" ht="14.25" hidden="1">
      <c r="B127" s="43"/>
      <c r="G127" s="3"/>
      <c r="H127" s="3"/>
      <c r="I127" s="3"/>
      <c r="M127" s="44"/>
    </row>
    <row r="128" spans="2:14" ht="14.25">
      <c r="B128" s="43"/>
      <c r="C128" s="745">
        <f>C107+C112+C114+C116</f>
        <v>11</v>
      </c>
      <c r="D128" s="215">
        <f>D107+D112+D114+D116</f>
        <v>10</v>
      </c>
      <c r="E128" s="220" t="s">
        <v>22</v>
      </c>
      <c r="G128" s="3"/>
      <c r="H128" s="3"/>
      <c r="I128" s="3"/>
      <c r="M128" s="44"/>
    </row>
    <row r="129" spans="2:17" ht="6" customHeight="1">
      <c r="B129" s="698"/>
      <c r="C129" s="699"/>
      <c r="D129" s="699"/>
      <c r="E129" s="699"/>
      <c r="F129" s="699"/>
      <c r="G129" s="728"/>
      <c r="H129" s="728"/>
      <c r="I129" s="728"/>
      <c r="J129" s="699"/>
      <c r="K129" s="699"/>
      <c r="L129" s="699"/>
      <c r="M129" s="701"/>
    </row>
    <row r="130" spans="2:17" ht="15">
      <c r="B130" s="692"/>
      <c r="C130" s="693" t="s">
        <v>892</v>
      </c>
      <c r="D130" s="694"/>
      <c r="E130" s="695"/>
      <c r="F130" s="694"/>
      <c r="G130" s="694"/>
      <c r="H130" s="694"/>
      <c r="I130" s="694"/>
      <c r="J130" s="694"/>
      <c r="K130" s="694"/>
      <c r="L130" s="694"/>
      <c r="M130" s="696"/>
    </row>
    <row r="131" spans="2:17" ht="14.25">
      <c r="B131" s="26"/>
      <c r="C131" s="31" t="s">
        <v>24</v>
      </c>
      <c r="D131" s="10" t="s">
        <v>921</v>
      </c>
      <c r="E131" s="32"/>
      <c r="F131" s="11"/>
      <c r="G131" s="11"/>
      <c r="H131" s="11"/>
      <c r="I131" s="11"/>
      <c r="J131" s="31" t="s">
        <v>26</v>
      </c>
      <c r="K131" s="11"/>
      <c r="L131" s="31" t="s">
        <v>27</v>
      </c>
      <c r="M131" s="12"/>
    </row>
    <row r="132" spans="2:17" ht="14.25">
      <c r="B132" s="26"/>
      <c r="C132" s="744"/>
      <c r="D132" s="19">
        <v>5</v>
      </c>
      <c r="E132" s="214"/>
      <c r="F132" s="42" t="s">
        <v>30</v>
      </c>
      <c r="G132" s="780"/>
      <c r="H132" s="781"/>
      <c r="I132" s="782"/>
      <c r="J132" s="697" t="s">
        <v>864</v>
      </c>
      <c r="K132" s="11" t="s">
        <v>861</v>
      </c>
      <c r="L132" s="119"/>
      <c r="M132" s="16" t="s">
        <v>114</v>
      </c>
    </row>
    <row r="133" spans="2:17">
      <c r="B133" s="43"/>
      <c r="C133" s="186" t="s">
        <v>871</v>
      </c>
      <c r="E133" s="211"/>
      <c r="G133" s="780"/>
      <c r="H133" s="781"/>
      <c r="I133" s="782"/>
      <c r="K133" s="11" t="s">
        <v>924</v>
      </c>
      <c r="L133" s="119"/>
      <c r="M133" s="16" t="s">
        <v>114</v>
      </c>
    </row>
    <row r="134" spans="2:17" ht="13.9" customHeight="1">
      <c r="B134" s="43"/>
      <c r="E134" s="211"/>
      <c r="G134" s="854"/>
      <c r="H134" s="781"/>
      <c r="I134" s="782"/>
      <c r="K134" s="11" t="s">
        <v>867</v>
      </c>
      <c r="L134" s="119"/>
      <c r="M134" s="16" t="s">
        <v>114</v>
      </c>
    </row>
    <row r="135" spans="2:17">
      <c r="B135" s="43"/>
      <c r="E135" s="211"/>
      <c r="G135" s="780"/>
      <c r="H135" s="781"/>
      <c r="I135" s="782"/>
      <c r="K135" s="11" t="s">
        <v>866</v>
      </c>
      <c r="L135" s="119"/>
      <c r="M135" s="16" t="s">
        <v>114</v>
      </c>
    </row>
    <row r="136" spans="2:17" ht="5.45" customHeight="1">
      <c r="B136" s="698"/>
      <c r="C136" s="699"/>
      <c r="D136" s="699"/>
      <c r="E136" s="699"/>
      <c r="F136" s="699"/>
      <c r="G136" s="728"/>
      <c r="H136" s="728"/>
      <c r="I136" s="728"/>
      <c r="J136" s="699"/>
      <c r="K136" s="699"/>
      <c r="L136" s="699"/>
      <c r="M136" s="701"/>
    </row>
    <row r="137" spans="2:17" ht="13.5" customHeight="1">
      <c r="M137" s="736" t="str">
        <f>D7</f>
        <v>○○ショッピングセンター</v>
      </c>
    </row>
    <row r="138" spans="2:17" ht="13.5" customHeight="1">
      <c r="C138" t="s">
        <v>905</v>
      </c>
      <c r="D138" t="s">
        <v>908</v>
      </c>
      <c r="E138" s="211"/>
      <c r="N138" s="1"/>
      <c r="P138" s="716" t="s">
        <v>94</v>
      </c>
      <c r="Q138" s="717"/>
    </row>
    <row r="139" spans="2:17" ht="13.5" customHeight="1">
      <c r="C139" t="s">
        <v>903</v>
      </c>
      <c r="E139" s="211"/>
      <c r="N139" s="1"/>
      <c r="P139" s="808"/>
      <c r="Q139" s="809"/>
    </row>
    <row r="140" spans="2:17">
      <c r="D140" s="741">
        <f>ROUNDDOWN(IF(G140&gt;G144,F145,IF(G140&lt;=G143,F143,G140*H143+I143)),1)</f>
        <v>25</v>
      </c>
      <c r="E140" s="211" t="s">
        <v>900</v>
      </c>
      <c r="F140" s="739" t="s">
        <v>899</v>
      </c>
      <c r="G140" s="740"/>
      <c r="H140" t="str">
        <f>"×（"&amp;H143&amp;"）＋"&amp;I143</f>
        <v>×（-33.3333333333333）＋48.3333333333333</v>
      </c>
      <c r="N140" s="1"/>
      <c r="P140" s="716" t="s">
        <v>102</v>
      </c>
      <c r="Q140" s="717"/>
    </row>
    <row r="141" spans="2:17">
      <c r="N141" s="1"/>
      <c r="P141" s="806"/>
      <c r="Q141" s="807"/>
    </row>
    <row r="142" spans="2:17" hidden="1">
      <c r="E142" s="211"/>
      <c r="F142" t="s">
        <v>898</v>
      </c>
      <c r="G142" t="s">
        <v>893</v>
      </c>
      <c r="H142" s="52" t="s">
        <v>894</v>
      </c>
      <c r="I142" s="52" t="s">
        <v>895</v>
      </c>
      <c r="M142" s="1"/>
      <c r="N142" s="1"/>
      <c r="Q142" s="173" t="str">
        <f>D7</f>
        <v>○○ショッピングセンター</v>
      </c>
    </row>
    <row r="143" spans="2:17" hidden="1">
      <c r="E143" t="s">
        <v>896</v>
      </c>
      <c r="F143">
        <v>25</v>
      </c>
      <c r="G143">
        <v>0.7</v>
      </c>
      <c r="H143" s="53">
        <f>(F144-F143)/(G144-G143)</f>
        <v>-33.333333333333329</v>
      </c>
      <c r="I143" s="53">
        <f>F144-H143*G144</f>
        <v>48.333333333333329</v>
      </c>
      <c r="M143" s="1"/>
      <c r="N143" s="1"/>
    </row>
    <row r="144" spans="2:17" hidden="1">
      <c r="E144" s="211"/>
      <c r="F144">
        <v>16</v>
      </c>
      <c r="G144">
        <v>0.97</v>
      </c>
      <c r="N144" s="1"/>
    </row>
    <row r="145" spans="3:14" hidden="1">
      <c r="E145" t="s">
        <v>897</v>
      </c>
      <c r="F145">
        <v>15</v>
      </c>
      <c r="N145" s="1"/>
    </row>
    <row r="146" spans="3:14" hidden="1">
      <c r="E146" s="211"/>
      <c r="N146" s="1"/>
    </row>
    <row r="147" spans="3:14">
      <c r="E147" s="211"/>
      <c r="N147" s="1"/>
    </row>
    <row r="148" spans="3:14" hidden="1">
      <c r="E148" s="211"/>
      <c r="N148" s="1"/>
    </row>
    <row r="149" spans="3:14" hidden="1">
      <c r="E149" s="211"/>
      <c r="N149" s="1"/>
    </row>
    <row r="150" spans="3:14" hidden="1">
      <c r="E150" s="211"/>
      <c r="N150" s="1"/>
    </row>
    <row r="151" spans="3:14" hidden="1">
      <c r="E151" s="211"/>
      <c r="N151" s="1"/>
    </row>
    <row r="152" spans="3:14" hidden="1">
      <c r="E152" s="211"/>
      <c r="N152" s="1"/>
    </row>
    <row r="153" spans="3:14" hidden="1">
      <c r="E153" s="211"/>
      <c r="N153" s="1"/>
    </row>
    <row r="154" spans="3:14" hidden="1">
      <c r="E154" s="211"/>
      <c r="N154" s="1"/>
    </row>
    <row r="155" spans="3:14">
      <c r="E155" s="211"/>
      <c r="N155" s="1"/>
    </row>
    <row r="156" spans="3:14">
      <c r="C156" t="s">
        <v>904</v>
      </c>
      <c r="E156" s="211"/>
      <c r="N156" s="1"/>
    </row>
    <row r="157" spans="3:14">
      <c r="D157" s="741">
        <f>IF(G157&gt;G160,(ROUNDDOWN(IF(G157&gt;G163,F163,G157*H160+I160),1)),IF(OR(J157&gt;0.5,J157=""),24.9,F160))</f>
        <v>24.9</v>
      </c>
      <c r="E157" s="211" t="s">
        <v>900</v>
      </c>
      <c r="F157" s="739" t="s">
        <v>902</v>
      </c>
      <c r="G157" s="740"/>
      <c r="H157" t="str">
        <f>"×（"&amp;H160&amp;"）＋"&amp;I160</f>
        <v>×（-16.5）＋29.125</v>
      </c>
      <c r="I157" s="173" t="s">
        <v>920</v>
      </c>
      <c r="J157" s="740"/>
      <c r="N157" s="1"/>
    </row>
    <row r="158" spans="3:14">
      <c r="E158" s="211"/>
      <c r="N158" s="1"/>
    </row>
    <row r="159" spans="3:14" hidden="1">
      <c r="E159" s="211"/>
      <c r="F159" t="s">
        <v>898</v>
      </c>
      <c r="G159" t="s">
        <v>901</v>
      </c>
      <c r="H159" s="52" t="s">
        <v>894</v>
      </c>
      <c r="I159" s="52" t="s">
        <v>895</v>
      </c>
      <c r="N159" s="1"/>
    </row>
    <row r="160" spans="3:14" hidden="1">
      <c r="F160">
        <v>25</v>
      </c>
      <c r="G160">
        <v>0.25</v>
      </c>
      <c r="H160" s="48">
        <f>IF(G157&lt;=G161,H161,IF(G157&lt;=G162,H162,H163))</f>
        <v>-16.500000000000004</v>
      </c>
      <c r="I160" s="48">
        <f>IF(G157&lt;=G161,I161,IF(G157&lt;=G162,I162,I163))</f>
        <v>29.125</v>
      </c>
      <c r="N160" s="1"/>
    </row>
    <row r="161" spans="5:14" hidden="1">
      <c r="E161" s="211"/>
      <c r="F161">
        <v>21.7</v>
      </c>
      <c r="G161">
        <v>0.45</v>
      </c>
      <c r="H161" s="53">
        <f>(F161-F160)/(G161-G160)</f>
        <v>-16.500000000000004</v>
      </c>
      <c r="I161" s="53">
        <f>F161-H161*G161</f>
        <v>29.125</v>
      </c>
      <c r="N161" s="1"/>
    </row>
    <row r="162" spans="5:14" hidden="1">
      <c r="F162">
        <v>18.3</v>
      </c>
      <c r="G162">
        <v>0.65</v>
      </c>
      <c r="H162" s="53">
        <f>(F162-F161)/(G162-G161)</f>
        <v>-16.999999999999993</v>
      </c>
      <c r="I162" s="53">
        <f>F162-H162*G162</f>
        <v>29.349999999999994</v>
      </c>
      <c r="N162" s="1"/>
    </row>
    <row r="163" spans="5:14" hidden="1">
      <c r="E163" s="211"/>
      <c r="F163">
        <v>15</v>
      </c>
      <c r="G163">
        <v>0.85</v>
      </c>
      <c r="H163" s="53">
        <f>(F163-F162)/(G163-G162)</f>
        <v>-16.500000000000007</v>
      </c>
      <c r="I163" s="53">
        <f>F163-H163*G163</f>
        <v>29.025000000000006</v>
      </c>
      <c r="N163" s="1"/>
    </row>
    <row r="164" spans="5:14" hidden="1">
      <c r="E164" s="211"/>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row r="187"/>
    <row r="188"/>
    <row r="189"/>
    <row r="190"/>
    <row r="191"/>
    <row r="192"/>
    <row r="193"/>
    <row r="194"/>
    <row r="195"/>
    <row r="196"/>
    <row r="197"/>
    <row r="198"/>
    <row r="199"/>
    <row r="200"/>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sheetData>
  <sheetProtection algorithmName="SHA-512" hashValue="KZEmhCKrMaEiJbBeO2/vxuoCgFbuR1dLMIGFO/g7TK+kprgyF6y4DkGBBcR03reFR5Jl2vkth6f7XwWdgnFJdQ==" saltValue="v75zTssryFNHKeWnvQFKVw==" spinCount="100000" sheet="1" formatCells="0" formatRows="0" insertRows="0"/>
  <mergeCells count="49">
    <mergeCell ref="G39:I39"/>
    <mergeCell ref="G41:I41"/>
    <mergeCell ref="G47:I47"/>
    <mergeCell ref="G49:I49"/>
    <mergeCell ref="G35:I37"/>
    <mergeCell ref="D7:G7"/>
    <mergeCell ref="D8:G8"/>
    <mergeCell ref="L8:M8"/>
    <mergeCell ref="D9:G9"/>
    <mergeCell ref="D10:G10"/>
    <mergeCell ref="D11:G11"/>
    <mergeCell ref="L11:M11"/>
    <mergeCell ref="F12:G12"/>
    <mergeCell ref="G28:I29"/>
    <mergeCell ref="G31:I33"/>
    <mergeCell ref="F13:G13"/>
    <mergeCell ref="P139:Q139"/>
    <mergeCell ref="P141:Q141"/>
    <mergeCell ref="G132:I132"/>
    <mergeCell ref="G133:I133"/>
    <mergeCell ref="G134:I134"/>
    <mergeCell ref="G135:I135"/>
    <mergeCell ref="G51:I51"/>
    <mergeCell ref="G59:I59"/>
    <mergeCell ref="G62:I62"/>
    <mergeCell ref="G87:I87"/>
    <mergeCell ref="G53:I53"/>
    <mergeCell ref="G91:I91"/>
    <mergeCell ref="G94:I94"/>
    <mergeCell ref="G64:I64"/>
    <mergeCell ref="G67:I67"/>
    <mergeCell ref="G68:I68"/>
    <mergeCell ref="G70:I70"/>
    <mergeCell ref="P85:Q97"/>
    <mergeCell ref="G115:I115"/>
    <mergeCell ref="I2:K4"/>
    <mergeCell ref="G117:I117"/>
    <mergeCell ref="G96:I96"/>
    <mergeCell ref="G98:I99"/>
    <mergeCell ref="G105:I106"/>
    <mergeCell ref="G109:I109"/>
    <mergeCell ref="G111:I111"/>
    <mergeCell ref="G113:I113"/>
    <mergeCell ref="G72:I72"/>
    <mergeCell ref="G75:I75"/>
    <mergeCell ref="G77:I77"/>
    <mergeCell ref="G79:I79"/>
    <mergeCell ref="G81:I81"/>
    <mergeCell ref="G89:I89"/>
  </mergeCells>
  <phoneticPr fontId="3"/>
  <dataValidations disablePrompts="1" count="1">
    <dataValidation type="list" allowBlank="1" showInputMessage="1" showErrorMessage="1" sqref="C86 C27 C58 C46 C104" xr:uid="{00000000-0002-0000-0700-000000000000}">
      <formula1>$S$19:$S$20</formula1>
    </dataValidation>
  </dataValidations>
  <pageMargins left="0.86614173228346458" right="0.43307086614173229" top="0.55118110236220474" bottom="0.55118110236220474" header="0.43307086614173229" footer="0.31496062992125984"/>
  <pageSetup paperSize="9" scale="48"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3">
    <tabColor rgb="FFFFFF00"/>
  </sheetPr>
  <dimension ref="A1"/>
  <sheetViews>
    <sheetView zoomScale="145" zoomScaleNormal="145" workbookViewId="0">
      <selection activeCell="A2" sqref="A2"/>
    </sheetView>
  </sheetViews>
  <sheetFormatPr defaultRowHeight="13.5"/>
  <sheetData>
    <row r="1" spans="1:1">
      <c r="A1" t="str">
        <f>IF(建築環境SDGsチェックリスト!$D$2="実施しない","非表示","表示")</f>
        <v>非表示</v>
      </c>
    </row>
  </sheetData>
  <phoneticPr fontId="3"/>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pageSetUpPr fitToPage="1"/>
  </sheetPr>
  <dimension ref="A1:BC129"/>
  <sheetViews>
    <sheetView showGridLines="0" zoomScaleNormal="100" zoomScaleSheetLayoutView="100" zoomScalePageLayoutView="55" workbookViewId="0">
      <selection activeCell="K3" sqref="K3"/>
    </sheetView>
  </sheetViews>
  <sheetFormatPr defaultColWidth="0" defaultRowHeight="0" customHeight="1" zeroHeight="1"/>
  <cols>
    <col min="1" max="1" width="10" style="266" customWidth="1"/>
    <col min="2" max="2" width="4" style="282" customWidth="1"/>
    <col min="3" max="3" width="6.5" style="283" bestFit="1" customWidth="1"/>
    <col min="4" max="4" width="16.75" style="281" customWidth="1"/>
    <col min="5" max="5" width="35.25" style="266" customWidth="1"/>
    <col min="6" max="8" width="9.75" style="266" customWidth="1"/>
    <col min="9" max="9" width="27.5" style="266" customWidth="1"/>
    <col min="10" max="10" width="5.25" style="266" customWidth="1"/>
    <col min="11" max="11" width="4.625" style="354" customWidth="1"/>
    <col min="12" max="12" width="1.75" style="325" customWidth="1"/>
    <col min="13" max="15" width="6" style="325" hidden="1" customWidth="1"/>
    <col min="16" max="22" width="7" style="266" hidden="1" customWidth="1"/>
    <col min="23" max="29" width="3.75" style="325" hidden="1" customWidth="1"/>
    <col min="30" max="34" width="29.375" style="281" hidden="1" customWidth="1"/>
    <col min="35" max="35" width="33.375" style="266" hidden="1" customWidth="1"/>
    <col min="36" max="36" width="9" style="266" hidden="1" customWidth="1"/>
    <col min="37" max="55" width="9" hidden="1" customWidth="1"/>
    <col min="56" max="16384" width="9" style="266" hidden="1"/>
  </cols>
  <sheetData>
    <row r="1" spans="1:54" ht="20.25" thickBot="1">
      <c r="A1" s="261" t="s">
        <v>720</v>
      </c>
      <c r="B1" s="262"/>
      <c r="C1" s="263"/>
      <c r="D1" s="264"/>
      <c r="E1" s="265"/>
      <c r="F1" s="265"/>
      <c r="G1" s="265"/>
      <c r="H1" s="265"/>
      <c r="I1" s="364"/>
      <c r="J1" s="364"/>
      <c r="K1" s="364"/>
      <c r="M1" s="419"/>
      <c r="N1" s="419"/>
      <c r="O1" s="419"/>
      <c r="P1" s="420"/>
      <c r="Q1" s="421"/>
      <c r="R1" s="421"/>
      <c r="S1" s="421"/>
      <c r="T1" s="421"/>
      <c r="U1" s="421"/>
      <c r="V1" s="421"/>
      <c r="W1" s="422"/>
      <c r="X1" s="422"/>
      <c r="Y1" s="422"/>
      <c r="Z1" s="422"/>
      <c r="AA1" s="422"/>
      <c r="AB1" s="422"/>
      <c r="AC1" s="422"/>
      <c r="AD1" s="423"/>
      <c r="AE1" s="424"/>
      <c r="AF1" s="424"/>
      <c r="AH1" s="424">
        <v>20210413</v>
      </c>
      <c r="AI1" s="421"/>
    </row>
    <row r="2" spans="1:54" ht="17.25" thickBot="1">
      <c r="C2" s="341" t="s">
        <v>663</v>
      </c>
      <c r="D2" s="474" t="s">
        <v>942</v>
      </c>
      <c r="E2" s="265" t="s">
        <v>611</v>
      </c>
      <c r="F2" s="338"/>
      <c r="G2" s="265"/>
      <c r="H2" s="265"/>
      <c r="I2" s="265"/>
      <c r="J2" s="265"/>
      <c r="K2" s="365"/>
      <c r="M2" s="419"/>
      <c r="N2" s="419"/>
      <c r="O2" s="419"/>
      <c r="P2" s="421"/>
      <c r="Q2" s="421"/>
      <c r="R2" s="421"/>
      <c r="S2" s="421"/>
      <c r="T2" s="421"/>
      <c r="U2" s="421"/>
      <c r="V2" s="421"/>
      <c r="W2" s="422"/>
      <c r="X2" s="422"/>
      <c r="Y2" s="422"/>
      <c r="Z2" s="422"/>
      <c r="AA2" s="422"/>
      <c r="AB2" s="422"/>
      <c r="AC2" s="422"/>
      <c r="AD2" s="424"/>
      <c r="AE2" s="424"/>
      <c r="AF2" s="424"/>
      <c r="AG2" s="756" t="s">
        <v>941</v>
      </c>
      <c r="AH2" s="425" t="s">
        <v>594</v>
      </c>
      <c r="AI2" s="421"/>
    </row>
    <row r="3" spans="1:54" ht="16.5" thickBot="1">
      <c r="C3" s="340" t="s">
        <v>662</v>
      </c>
      <c r="D3" s="474"/>
      <c r="E3" s="337" t="s">
        <v>605</v>
      </c>
      <c r="F3" s="265"/>
      <c r="G3" s="265"/>
      <c r="H3" s="265"/>
      <c r="I3" s="265" t="str">
        <f>オフィス評価結果!J5</f>
        <v>CASBEE-不動産 2024年版</v>
      </c>
      <c r="J3" s="265"/>
      <c r="K3" s="365" t="str">
        <f>オフィス評価結果!M5</f>
        <v>v1.21</v>
      </c>
      <c r="M3" s="419"/>
      <c r="N3" s="419"/>
      <c r="O3" s="419"/>
      <c r="P3" s="421"/>
      <c r="Q3" s="421"/>
      <c r="R3" s="421"/>
      <c r="S3" s="421"/>
      <c r="T3" s="421"/>
      <c r="U3" s="421"/>
      <c r="V3" s="421"/>
      <c r="W3" s="422"/>
      <c r="X3" s="422"/>
      <c r="Y3" s="422"/>
      <c r="Z3" s="422"/>
      <c r="AA3" s="422"/>
      <c r="AB3" s="422"/>
      <c r="AC3" s="422"/>
      <c r="AD3" s="426"/>
      <c r="AE3" s="888" t="s">
        <v>382</v>
      </c>
      <c r="AF3" s="888"/>
      <c r="AG3" s="585"/>
      <c r="AH3" s="890" t="s">
        <v>940</v>
      </c>
      <c r="AI3" s="421"/>
      <c r="AK3" s="179"/>
    </row>
    <row r="4" spans="1:54" ht="16.5">
      <c r="A4" s="267"/>
      <c r="C4" s="263"/>
      <c r="D4" s="264"/>
      <c r="E4" s="265"/>
      <c r="F4" s="265"/>
      <c r="G4" s="265"/>
      <c r="H4" s="265"/>
      <c r="I4" s="265"/>
      <c r="J4" s="265"/>
      <c r="K4" s="365"/>
      <c r="M4" s="419"/>
      <c r="N4" s="419"/>
      <c r="O4" s="419"/>
      <c r="P4" s="892" t="s">
        <v>554</v>
      </c>
      <c r="Q4" s="892"/>
      <c r="R4" s="892"/>
      <c r="S4" s="892"/>
      <c r="T4" s="892"/>
      <c r="U4" s="892"/>
      <c r="V4" s="892"/>
      <c r="W4" s="422"/>
      <c r="X4" s="422"/>
      <c r="Y4" s="422"/>
      <c r="Z4" s="422"/>
      <c r="AA4" s="422"/>
      <c r="AB4" s="422"/>
      <c r="AC4" s="422"/>
      <c r="AD4" s="427"/>
      <c r="AE4" s="889" t="s">
        <v>383</v>
      </c>
      <c r="AF4" s="889"/>
      <c r="AG4" s="588"/>
      <c r="AH4" s="891"/>
      <c r="AI4" s="421"/>
      <c r="AK4" s="179"/>
    </row>
    <row r="5" spans="1:54" ht="47.25" customHeight="1">
      <c r="A5" s="906" t="s">
        <v>384</v>
      </c>
      <c r="B5" s="906" t="s">
        <v>385</v>
      </c>
      <c r="C5" s="908" t="s">
        <v>386</v>
      </c>
      <c r="D5" s="910" t="s">
        <v>387</v>
      </c>
      <c r="E5" s="912" t="s">
        <v>388</v>
      </c>
      <c r="F5" s="916" t="s">
        <v>530</v>
      </c>
      <c r="G5" s="914" t="s">
        <v>531</v>
      </c>
      <c r="H5" s="914" t="s">
        <v>604</v>
      </c>
      <c r="I5" s="914" t="s">
        <v>532</v>
      </c>
      <c r="J5" s="914" t="s">
        <v>533</v>
      </c>
      <c r="K5" s="914" t="s">
        <v>658</v>
      </c>
      <c r="M5" s="419"/>
      <c r="N5" s="419"/>
      <c r="O5" s="428"/>
      <c r="P5" s="429" t="s">
        <v>534</v>
      </c>
      <c r="Q5" s="430" t="s">
        <v>389</v>
      </c>
      <c r="R5" s="431" t="s">
        <v>338</v>
      </c>
      <c r="S5" s="590" t="s">
        <v>837</v>
      </c>
      <c r="T5" s="432" t="s">
        <v>390</v>
      </c>
      <c r="U5" s="433" t="s">
        <v>560</v>
      </c>
      <c r="V5" s="434" t="s">
        <v>701</v>
      </c>
      <c r="W5" s="435"/>
      <c r="X5" s="435"/>
      <c r="Y5" s="435"/>
      <c r="Z5" s="435"/>
      <c r="AA5" s="435"/>
      <c r="AB5" s="435"/>
      <c r="AC5" s="435"/>
      <c r="AD5" s="440" t="s">
        <v>534</v>
      </c>
      <c r="AE5" s="441" t="s">
        <v>389</v>
      </c>
      <c r="AF5" s="442" t="s">
        <v>338</v>
      </c>
      <c r="AG5" s="591" t="s">
        <v>837</v>
      </c>
      <c r="AH5" s="443" t="s">
        <v>390</v>
      </c>
      <c r="AI5" s="421"/>
    </row>
    <row r="6" spans="1:54" ht="15.75">
      <c r="A6" s="907"/>
      <c r="B6" s="907"/>
      <c r="C6" s="909"/>
      <c r="D6" s="911"/>
      <c r="E6" s="913"/>
      <c r="F6" s="917"/>
      <c r="G6" s="915"/>
      <c r="H6" s="915"/>
      <c r="I6" s="915"/>
      <c r="J6" s="915"/>
      <c r="K6" s="915"/>
      <c r="M6" s="419"/>
      <c r="N6" s="419"/>
      <c r="O6" s="436"/>
      <c r="P6" s="437" t="str">
        <f>IF($D$3=P5,"〇","")</f>
        <v/>
      </c>
      <c r="Q6" s="437" t="str">
        <f t="shared" ref="Q6:V6" si="0">IF($D$3=Q5,"〇","")</f>
        <v/>
      </c>
      <c r="R6" s="437" t="str">
        <f t="shared" si="0"/>
        <v/>
      </c>
      <c r="S6" s="437" t="str">
        <f t="shared" si="0"/>
        <v/>
      </c>
      <c r="T6" s="437" t="str">
        <f t="shared" si="0"/>
        <v/>
      </c>
      <c r="U6" s="437" t="str">
        <f t="shared" si="0"/>
        <v/>
      </c>
      <c r="V6" s="438" t="str">
        <f t="shared" si="0"/>
        <v/>
      </c>
      <c r="W6" s="439"/>
      <c r="X6" s="439"/>
      <c r="Y6" s="439"/>
      <c r="Z6" s="439"/>
      <c r="AA6" s="439"/>
      <c r="AB6" s="439"/>
      <c r="AC6" s="439"/>
      <c r="AD6" s="440"/>
      <c r="AE6" s="441"/>
      <c r="AF6" s="442"/>
      <c r="AG6" s="591"/>
      <c r="AH6" s="443"/>
      <c r="AI6" s="421"/>
      <c r="AT6" s="366"/>
      <c r="AU6" s="366"/>
      <c r="AV6" s="366"/>
      <c r="AW6" s="366"/>
      <c r="AX6" s="366"/>
      <c r="AY6" s="366"/>
      <c r="AZ6" s="366"/>
      <c r="BA6" s="366"/>
      <c r="BB6" s="366"/>
    </row>
    <row r="7" spans="1:54" ht="108" customHeight="1">
      <c r="A7" s="359" t="s">
        <v>664</v>
      </c>
      <c r="B7" s="342" t="s">
        <v>659</v>
      </c>
      <c r="C7" s="343"/>
      <c r="D7" s="344"/>
      <c r="E7" s="345"/>
      <c r="F7" s="346"/>
      <c r="G7" s="346"/>
      <c r="H7" s="346"/>
      <c r="I7" s="346"/>
      <c r="J7" s="346"/>
      <c r="K7" s="347"/>
      <c r="L7" s="327"/>
      <c r="M7" s="444"/>
      <c r="N7" s="436"/>
      <c r="O7" s="436"/>
      <c r="P7" s="417"/>
      <c r="Q7" s="417"/>
      <c r="R7" s="417"/>
      <c r="S7" s="417"/>
      <c r="T7" s="417"/>
      <c r="U7" s="417"/>
      <c r="V7" s="418"/>
      <c r="W7" s="439"/>
      <c r="X7" s="439"/>
      <c r="Y7" s="439"/>
      <c r="Z7" s="439"/>
      <c r="AA7" s="439"/>
      <c r="AB7" s="439"/>
      <c r="AC7" s="439"/>
      <c r="AD7" s="445"/>
      <c r="AE7" s="445"/>
      <c r="AF7" s="445"/>
      <c r="AG7" s="445"/>
      <c r="AH7" s="445"/>
      <c r="AI7" s="421"/>
      <c r="AT7" s="366"/>
      <c r="AU7" s="366"/>
      <c r="AV7" s="366"/>
      <c r="AW7" s="366"/>
      <c r="AX7" s="366"/>
      <c r="AY7" s="366"/>
      <c r="AZ7" s="366"/>
      <c r="BA7" s="366"/>
      <c r="BB7" s="366"/>
    </row>
    <row r="8" spans="1:54" ht="100.5" customHeight="1">
      <c r="A8" s="358" t="s">
        <v>661</v>
      </c>
      <c r="B8" s="348" t="s">
        <v>660</v>
      </c>
      <c r="C8" s="343"/>
      <c r="D8" s="344"/>
      <c r="E8" s="345"/>
      <c r="F8" s="346"/>
      <c r="G8" s="346"/>
      <c r="H8" s="346"/>
      <c r="I8" s="346"/>
      <c r="J8" s="346"/>
      <c r="K8" s="347"/>
      <c r="L8" s="327"/>
      <c r="M8" s="444"/>
      <c r="N8" s="436"/>
      <c r="O8" s="436"/>
      <c r="P8" s="417"/>
      <c r="Q8" s="417"/>
      <c r="R8" s="417"/>
      <c r="S8" s="417"/>
      <c r="T8" s="417"/>
      <c r="U8" s="417"/>
      <c r="V8" s="418"/>
      <c r="W8" s="439"/>
      <c r="X8" s="439"/>
      <c r="Y8" s="439"/>
      <c r="Z8" s="439"/>
      <c r="AA8" s="439"/>
      <c r="AB8" s="439"/>
      <c r="AC8" s="439"/>
      <c r="AD8" s="445"/>
      <c r="AE8" s="445"/>
      <c r="AF8" s="445"/>
      <c r="AG8" s="445"/>
      <c r="AH8" s="445"/>
      <c r="AI8" s="421"/>
      <c r="AT8" s="366"/>
      <c r="AU8" s="366"/>
      <c r="AV8" s="366"/>
      <c r="AW8" s="366"/>
      <c r="AX8" s="366"/>
      <c r="AY8" s="366"/>
      <c r="AZ8" s="366"/>
      <c r="BA8" s="366"/>
      <c r="BB8" s="366"/>
    </row>
    <row r="9" spans="1:54" ht="49.5" customHeight="1">
      <c r="A9" s="520" t="s">
        <v>665</v>
      </c>
      <c r="B9" s="475">
        <v>1</v>
      </c>
      <c r="C9" s="476" t="s">
        <v>391</v>
      </c>
      <c r="D9" s="335" t="s">
        <v>392</v>
      </c>
      <c r="E9" s="378" t="s">
        <v>393</v>
      </c>
      <c r="F9" s="287"/>
      <c r="G9" s="287"/>
      <c r="H9" s="287"/>
      <c r="I9" s="407"/>
      <c r="J9" s="407"/>
      <c r="K9" s="384" t="str">
        <f>IF($P$6="〇",P9,IF($Q$6="〇",Q9,IF($R$6="〇",R9,IF($S$6="〇",S9,IF($T$6="〇",T9,IF($U$6="〇",U9,IF($V$6="〇",V9,"")))))))</f>
        <v/>
      </c>
      <c r="L9" s="326"/>
      <c r="M9" s="419"/>
      <c r="N9" s="446"/>
      <c r="O9" s="446"/>
      <c r="P9" s="411">
        <f>IF(オフィス評価結果!$C$104="適合",3,1)</f>
        <v>1</v>
      </c>
      <c r="Q9" s="411">
        <f>IF(店舗評価結果!$C$104="適合",3,1)</f>
        <v>1</v>
      </c>
      <c r="R9" s="411">
        <f>IF(物流評価結果!$C$104="適合",3,1)</f>
        <v>1</v>
      </c>
      <c r="S9" s="411">
        <f>IF(ホテル評価結果!$C$104="適合",3,1)</f>
        <v>1</v>
      </c>
      <c r="T9" s="411">
        <f>IF(集合住宅評価結果!$C$104="適合",3,1)</f>
        <v>1</v>
      </c>
      <c r="U9" s="412">
        <f>IF(オフィス改修評価結果!$C$104="適合",3,1)</f>
        <v>1</v>
      </c>
      <c r="V9" s="411">
        <f>IF(店舗改修評価結果!$C$104="適合",3,1)</f>
        <v>1</v>
      </c>
      <c r="W9" s="447"/>
      <c r="X9" s="447"/>
      <c r="Y9" s="447"/>
      <c r="Z9" s="447"/>
      <c r="AA9" s="447"/>
      <c r="AB9" s="447"/>
      <c r="AC9" s="447"/>
      <c r="AD9" s="448" t="s">
        <v>394</v>
      </c>
      <c r="AE9" s="448" t="s">
        <v>394</v>
      </c>
      <c r="AF9" s="448" t="s">
        <v>394</v>
      </c>
      <c r="AG9" s="448" t="str">
        <f>AD9</f>
        <v>5. 屋内環境(必須項目)
①または②に適合→+2</v>
      </c>
      <c r="AH9" s="448" t="s">
        <v>559</v>
      </c>
      <c r="AI9" s="421"/>
      <c r="AT9" s="366"/>
      <c r="AU9" s="366"/>
      <c r="AV9" s="366"/>
      <c r="AW9" s="366"/>
      <c r="AX9" s="366"/>
      <c r="AY9" s="366"/>
      <c r="AZ9" s="366"/>
      <c r="BA9" s="366"/>
      <c r="BB9" s="366"/>
    </row>
    <row r="10" spans="1:54" ht="42" customHeight="1">
      <c r="A10" s="521"/>
      <c r="B10" s="475">
        <v>2</v>
      </c>
      <c r="C10" s="476" t="s">
        <v>620</v>
      </c>
      <c r="D10" s="335" t="s">
        <v>399</v>
      </c>
      <c r="E10" s="378" t="s">
        <v>400</v>
      </c>
      <c r="F10" s="287"/>
      <c r="G10" s="287"/>
      <c r="H10" s="287"/>
      <c r="I10" s="407"/>
      <c r="J10" s="407"/>
      <c r="K10" s="384" t="str">
        <f t="shared" ref="K10:K73" si="1">IF($P$6="〇",P10,IF($Q$6="〇",Q10,IF($R$6="〇",R10,IF($S$6="〇",S10,IF($T$6="〇",T10,IF($U$6="〇",U10,IF($V$6="〇",V10,"")))))))</f>
        <v/>
      </c>
      <c r="L10" s="326"/>
      <c r="M10" s="419"/>
      <c r="N10" s="446"/>
      <c r="O10" s="446"/>
      <c r="P10" s="411">
        <f>IF(オフィス評価結果!$C$104="適合",3,1)</f>
        <v>1</v>
      </c>
      <c r="Q10" s="411">
        <f>IF(店舗評価結果!$C$104="適合",3,1)</f>
        <v>1</v>
      </c>
      <c r="R10" s="411">
        <f>IF(物流評価結果!$C$104="適合",3,1)</f>
        <v>1</v>
      </c>
      <c r="S10" s="411">
        <f>IF(ホテル評価結果!$C$104="適合",3,1)</f>
        <v>1</v>
      </c>
      <c r="T10" s="411">
        <f>IF(集合住宅評価結果!$C$113&gt;=3,3,IF(集合住宅評価結果!$C$113&gt;=2,2,1))</f>
        <v>1</v>
      </c>
      <c r="U10" s="412">
        <f>IF(オフィス改修評価結果!$C$104="適合",3,1)</f>
        <v>1</v>
      </c>
      <c r="V10" s="411">
        <f>IF(店舗改修評価結果!$C$104="適合",3,1)</f>
        <v>1</v>
      </c>
      <c r="W10" s="447"/>
      <c r="X10" s="447"/>
      <c r="Y10" s="447"/>
      <c r="Z10" s="447"/>
      <c r="AA10" s="447"/>
      <c r="AB10" s="447"/>
      <c r="AC10" s="447"/>
      <c r="AD10" s="448" t="s">
        <v>401</v>
      </c>
      <c r="AE10" s="448" t="s">
        <v>401</v>
      </c>
      <c r="AF10" s="448" t="s">
        <v>401</v>
      </c>
      <c r="AG10" s="448" t="str">
        <f t="shared" ref="AG10:AG73" si="2">AD10</f>
        <v>5屋内環境【必須】
①または②に適合→+2</v>
      </c>
      <c r="AH10" s="448" t="s">
        <v>606</v>
      </c>
      <c r="AI10" s="450"/>
      <c r="AT10" s="366"/>
      <c r="AU10" s="366"/>
      <c r="AV10" s="366"/>
      <c r="AW10" s="366"/>
      <c r="AX10" s="366"/>
      <c r="AY10" s="366"/>
      <c r="AZ10" s="366"/>
      <c r="BA10" s="366"/>
      <c r="BB10" s="366"/>
    </row>
    <row r="11" spans="1:54" ht="42" customHeight="1">
      <c r="A11" s="521"/>
      <c r="B11" s="475">
        <v>3</v>
      </c>
      <c r="C11" s="476" t="s">
        <v>621</v>
      </c>
      <c r="D11" s="335" t="s">
        <v>714</v>
      </c>
      <c r="E11" s="378" t="s">
        <v>402</v>
      </c>
      <c r="F11" s="287"/>
      <c r="G11" s="287"/>
      <c r="H11" s="287"/>
      <c r="I11" s="407"/>
      <c r="J11" s="407"/>
      <c r="K11" s="384" t="str">
        <f t="shared" si="1"/>
        <v/>
      </c>
      <c r="L11" s="326"/>
      <c r="M11" s="419"/>
      <c r="N11" s="446"/>
      <c r="O11" s="446"/>
      <c r="P11" s="411">
        <f>IF(オフィス評価結果!$C$104="適合",3,1)</f>
        <v>1</v>
      </c>
      <c r="Q11" s="411">
        <f>IF(店舗評価結果!$C$104="適合",3,1)</f>
        <v>1</v>
      </c>
      <c r="R11" s="411">
        <f>IF(物流評価結果!$C$104="適合",3,1)</f>
        <v>1</v>
      </c>
      <c r="S11" s="411">
        <f>IF(ホテル評価結果!$C$104="適合",3,1)</f>
        <v>1</v>
      </c>
      <c r="T11" s="411">
        <f>IF(集合住宅評価結果!$C$104="適合",3,1)</f>
        <v>1</v>
      </c>
      <c r="U11" s="412">
        <f>IF(オフィス改修評価結果!$C$104="適合",3,1)</f>
        <v>1</v>
      </c>
      <c r="V11" s="411">
        <f>IF(店舗改修評価結果!$C$104="適合",3,1)</f>
        <v>1</v>
      </c>
      <c r="W11" s="447"/>
      <c r="X11" s="447"/>
      <c r="Y11" s="447"/>
      <c r="Z11" s="447"/>
      <c r="AA11" s="447"/>
      <c r="AB11" s="447"/>
      <c r="AC11" s="447"/>
      <c r="AD11" s="448" t="s">
        <v>401</v>
      </c>
      <c r="AE11" s="448" t="s">
        <v>401</v>
      </c>
      <c r="AF11" s="448" t="s">
        <v>401</v>
      </c>
      <c r="AG11" s="448" t="str">
        <f t="shared" si="2"/>
        <v>5屋内環境【必須】
①または②に適合→+2</v>
      </c>
      <c r="AH11" s="448" t="s">
        <v>559</v>
      </c>
      <c r="AI11" s="421"/>
      <c r="AT11" s="366"/>
      <c r="AU11" s="366"/>
      <c r="AV11" s="366"/>
      <c r="AW11" s="366"/>
      <c r="AX11" s="366"/>
      <c r="AY11" s="366"/>
      <c r="AZ11" s="366"/>
      <c r="BA11" s="366"/>
      <c r="BB11" s="366"/>
    </row>
    <row r="12" spans="1:54" ht="44.25" customHeight="1">
      <c r="A12" s="521"/>
      <c r="B12" s="475">
        <v>4</v>
      </c>
      <c r="C12" s="476" t="s">
        <v>772</v>
      </c>
      <c r="D12" s="335" t="s">
        <v>403</v>
      </c>
      <c r="E12" s="378" t="s">
        <v>404</v>
      </c>
      <c r="F12" s="287"/>
      <c r="G12" s="287"/>
      <c r="H12" s="287"/>
      <c r="I12" s="407"/>
      <c r="J12" s="407"/>
      <c r="K12" s="384" t="str">
        <f t="shared" si="1"/>
        <v/>
      </c>
      <c r="L12" s="326"/>
      <c r="M12" s="419"/>
      <c r="N12" s="446"/>
      <c r="O12" s="446"/>
      <c r="P12" s="411">
        <f>IF(オフィス評価結果!$C$104="適合",3,1)</f>
        <v>1</v>
      </c>
      <c r="Q12" s="411">
        <f>IF(店舗評価結果!$C$104="適合",3,1)</f>
        <v>1</v>
      </c>
      <c r="R12" s="411">
        <f>IF(物流評価結果!$C$104="適合",3,1)</f>
        <v>1</v>
      </c>
      <c r="S12" s="411">
        <f>IF(ホテル評価結果!$C$104="適合",3,1)</f>
        <v>1</v>
      </c>
      <c r="T12" s="752">
        <f>IF(集合住宅評価結果!C122&gt;=2,3,1)</f>
        <v>1</v>
      </c>
      <c r="U12" s="412">
        <f>IF(オフィス改修評価結果!$C$104="適合",3,1)</f>
        <v>1</v>
      </c>
      <c r="V12" s="411">
        <f>IF(店舗改修評価結果!$C$104="適合",3,1)</f>
        <v>1</v>
      </c>
      <c r="W12" s="447"/>
      <c r="X12" s="447"/>
      <c r="Y12" s="447"/>
      <c r="Z12" s="447"/>
      <c r="AA12" s="447"/>
      <c r="AB12" s="447"/>
      <c r="AC12" s="447"/>
      <c r="AD12" s="448" t="s">
        <v>401</v>
      </c>
      <c r="AE12" s="448" t="s">
        <v>401</v>
      </c>
      <c r="AF12" s="448" t="s">
        <v>401</v>
      </c>
      <c r="AG12" s="448" t="str">
        <f t="shared" si="2"/>
        <v>5屋内環境【必須】
①または②に適合→+2</v>
      </c>
      <c r="AH12" s="448" t="s">
        <v>607</v>
      </c>
      <c r="AI12" s="450"/>
      <c r="AT12" s="366"/>
      <c r="AU12" s="366"/>
      <c r="AV12" s="366"/>
      <c r="AW12" s="366"/>
      <c r="AX12" s="366"/>
      <c r="AY12" s="366"/>
      <c r="AZ12" s="366"/>
      <c r="BA12" s="366"/>
      <c r="BB12" s="366"/>
    </row>
    <row r="13" spans="1:54" ht="47.25" customHeight="1">
      <c r="A13" s="521"/>
      <c r="B13" s="475">
        <v>5</v>
      </c>
      <c r="C13" s="476" t="s">
        <v>773</v>
      </c>
      <c r="D13" s="376" t="s">
        <v>405</v>
      </c>
      <c r="E13" s="378" t="s">
        <v>406</v>
      </c>
      <c r="F13" s="387"/>
      <c r="G13" s="289"/>
      <c r="H13" s="387"/>
      <c r="I13" s="386" t="s">
        <v>603</v>
      </c>
      <c r="J13" s="386"/>
      <c r="K13" s="384" t="str">
        <f t="shared" si="1"/>
        <v/>
      </c>
      <c r="M13" s="419">
        <v>1</v>
      </c>
      <c r="N13" s="451" t="b">
        <v>0</v>
      </c>
      <c r="O13" s="419">
        <f>IF(N13=FALSE,IF(M13=1,1,3),IF(M13=1,2,3))</f>
        <v>1</v>
      </c>
      <c r="P13" s="413">
        <f>$O$13</f>
        <v>1</v>
      </c>
      <c r="Q13" s="413">
        <f>$O$13</f>
        <v>1</v>
      </c>
      <c r="R13" s="413">
        <f>$O$13</f>
        <v>1</v>
      </c>
      <c r="S13" s="413">
        <f>$O$13</f>
        <v>1</v>
      </c>
      <c r="T13" s="414" t="s">
        <v>579</v>
      </c>
      <c r="U13" s="413">
        <f>$O$13</f>
        <v>1</v>
      </c>
      <c r="V13" s="413">
        <f>$O$13</f>
        <v>1</v>
      </c>
      <c r="W13" s="447"/>
      <c r="X13" s="447"/>
      <c r="Y13" s="447"/>
      <c r="Z13" s="447"/>
      <c r="AA13" s="447"/>
      <c r="AB13" s="447"/>
      <c r="AC13" s="447"/>
      <c r="AD13" s="452" t="s">
        <v>382</v>
      </c>
      <c r="AE13" s="452" t="s">
        <v>382</v>
      </c>
      <c r="AF13" s="452" t="s">
        <v>382</v>
      </c>
      <c r="AG13" s="452" t="str">
        <f t="shared" si="2"/>
        <v>チェックリスト項目</v>
      </c>
      <c r="AH13" s="448" t="s">
        <v>411</v>
      </c>
      <c r="AI13" s="421"/>
      <c r="AT13" s="366"/>
      <c r="AU13" s="366"/>
      <c r="AV13" s="366"/>
      <c r="AW13" s="366"/>
      <c r="AX13" s="366"/>
      <c r="AY13" s="366"/>
      <c r="AZ13" s="366"/>
      <c r="BA13" s="366"/>
      <c r="BB13" s="366"/>
    </row>
    <row r="14" spans="1:54" ht="77.25" customHeight="1">
      <c r="A14" s="521"/>
      <c r="B14" s="475">
        <v>6</v>
      </c>
      <c r="C14" s="476" t="s">
        <v>774</v>
      </c>
      <c r="D14" s="376" t="s">
        <v>407</v>
      </c>
      <c r="E14" s="378" t="s">
        <v>408</v>
      </c>
      <c r="F14" s="288"/>
      <c r="G14" s="288"/>
      <c r="H14" s="288"/>
      <c r="I14" s="388" t="s">
        <v>535</v>
      </c>
      <c r="J14" s="389"/>
      <c r="K14" s="384" t="str">
        <f t="shared" si="1"/>
        <v/>
      </c>
      <c r="M14" s="419"/>
      <c r="N14" s="446" t="b">
        <v>0</v>
      </c>
      <c r="O14" s="419"/>
      <c r="P14" s="411">
        <f>IF(オフィス評価結果!$C$78&gt;=3,1,0)+IF($N$14=TRUE,1,0)+1</f>
        <v>1</v>
      </c>
      <c r="Q14" s="411">
        <f>IF(店舗評価結果!$C$78&gt;=3,1,0)+IF($N$14=TRUE,1,0)+1</f>
        <v>1</v>
      </c>
      <c r="R14" s="411">
        <f>IF(物流評価結果!$C$78&gt;=3,1,0)+IF($N$14=TRUE,1,0)+1</f>
        <v>1</v>
      </c>
      <c r="S14" s="411">
        <f>IF(ホテル評価結果!$C$78&gt;=3,1,0)+IF($N$14=TRUE,1,0)+1</f>
        <v>1</v>
      </c>
      <c r="T14" s="411">
        <f>IF(集合住宅評価結果!$C$78&gt;=3,1,0)+IF($N$14=TRUE,1,0)+1</f>
        <v>1</v>
      </c>
      <c r="U14" s="411">
        <f>IF(オフィス改修評価結果!$C$78&gt;=3,1,0)+IF($N$14=TRUE,1,0)+1</f>
        <v>1</v>
      </c>
      <c r="V14" s="411">
        <f>IF(店舗改修評価結果!$C$78&gt;=3,1,0)+IF($N$14=TRUE,1,0)+1</f>
        <v>1</v>
      </c>
      <c r="W14" s="447"/>
      <c r="X14" s="447"/>
      <c r="Y14" s="447"/>
      <c r="Z14" s="447"/>
      <c r="AA14" s="447"/>
      <c r="AB14" s="447"/>
      <c r="AC14" s="447"/>
      <c r="AD14" s="453" t="s">
        <v>580</v>
      </c>
      <c r="AE14" s="453" t="s">
        <v>580</v>
      </c>
      <c r="AF14" s="454" t="s">
        <v>580</v>
      </c>
      <c r="AG14" s="453" t="str">
        <f t="shared" si="2"/>
        <v>3.4.3維持管理
レベル３以上→＋１
評価する取組み、施設清掃の取組み点：
水回りの衛生（排水口、衛生器具の清掃）で加点を考慮するように修正、Ⅱ建築物衛生法以外も同様
→取組みがある場合＋1加点</v>
      </c>
      <c r="AH14" s="454" t="s">
        <v>581</v>
      </c>
      <c r="AI14" s="421"/>
      <c r="AT14" s="366"/>
      <c r="AU14" s="366"/>
      <c r="AV14" s="366"/>
      <c r="AW14" s="366"/>
      <c r="AX14" s="366"/>
      <c r="AY14" s="366"/>
      <c r="AZ14" s="366"/>
      <c r="BA14" s="366"/>
      <c r="BB14" s="366"/>
    </row>
    <row r="15" spans="1:54" ht="53.25" customHeight="1">
      <c r="A15" s="521"/>
      <c r="B15" s="475">
        <v>7</v>
      </c>
      <c r="C15" s="476" t="s">
        <v>775</v>
      </c>
      <c r="D15" s="335" t="s">
        <v>395</v>
      </c>
      <c r="E15" s="378" t="s">
        <v>396</v>
      </c>
      <c r="F15" s="287"/>
      <c r="G15" s="287"/>
      <c r="H15" s="287"/>
      <c r="I15" s="407"/>
      <c r="J15" s="407"/>
      <c r="K15" s="384" t="str">
        <f t="shared" si="1"/>
        <v/>
      </c>
      <c r="L15" s="326"/>
      <c r="M15" s="419"/>
      <c r="N15" s="446"/>
      <c r="O15" s="446"/>
      <c r="P15" s="411">
        <f>IF(オフィス評価結果!$C$108&gt;=4,1,0)+IF(オフィス評価結果!$C$110&gt;=4,1,0)+1</f>
        <v>1</v>
      </c>
      <c r="Q15" s="411">
        <f>IF(店舗評価結果!$C$108&gt;=4,1,0)+IF(店舗評価結果!$C$110&gt;=4,1,0)+1</f>
        <v>1</v>
      </c>
      <c r="R15" s="411">
        <f>IF(物流評価結果!$C$108&gt;=4,1,0)+IF(物流評価結果!$C$110&gt;=4,1,0)+1</f>
        <v>1</v>
      </c>
      <c r="S15" s="411">
        <f>IF(ホテル評価結果!$C$108&gt;=4,1,0)+IF(ホテル評価結果!$C$110&gt;=4,1,0)+1</f>
        <v>1</v>
      </c>
      <c r="T15" s="411">
        <f>IF(集合住宅評価結果!$C$109&gt;=2,1,0)+IF(集合住宅評価結果!$C$111&gt;=3,1,0)+1</f>
        <v>2</v>
      </c>
      <c r="U15" s="752">
        <f>IF(オフィス改修評価結果!$C$108&gt;=2,1,0)+IF(オフィス改修評価結果!$C$110&gt;=2,1,0)+1</f>
        <v>3</v>
      </c>
      <c r="V15" s="752">
        <f>IF(店舗改修評価結果!$C$108&gt;=3,1,0)+IF(店舗改修評価結果!$C$110&gt;=3,1,0)+1</f>
        <v>3</v>
      </c>
      <c r="W15" s="447"/>
      <c r="X15" s="447"/>
      <c r="Y15" s="447"/>
      <c r="Z15" s="447"/>
      <c r="AA15" s="447"/>
      <c r="AB15" s="447"/>
      <c r="AC15" s="447"/>
      <c r="AD15" s="754" t="s">
        <v>933</v>
      </c>
      <c r="AE15" s="754" t="s">
        <v>934</v>
      </c>
      <c r="AF15" s="449" t="s">
        <v>397</v>
      </c>
      <c r="AG15" s="449" t="s">
        <v>397</v>
      </c>
      <c r="AH15" s="448" t="s">
        <v>398</v>
      </c>
      <c r="AI15" s="421"/>
      <c r="AT15" s="366"/>
      <c r="AU15" s="366"/>
      <c r="AV15" s="366"/>
      <c r="AW15" s="366"/>
      <c r="AX15" s="366"/>
      <c r="AY15" s="366"/>
      <c r="AZ15" s="366"/>
      <c r="BA15" s="366"/>
      <c r="BB15" s="366"/>
    </row>
    <row r="16" spans="1:54" ht="31.5">
      <c r="A16" s="521"/>
      <c r="B16" s="268">
        <v>8</v>
      </c>
      <c r="C16" s="269" t="s">
        <v>771</v>
      </c>
      <c r="D16" s="335" t="s">
        <v>409</v>
      </c>
      <c r="E16" s="270" t="s">
        <v>410</v>
      </c>
      <c r="F16" s="287"/>
      <c r="G16" s="287"/>
      <c r="H16" s="287"/>
      <c r="I16" s="284"/>
      <c r="J16" s="284"/>
      <c r="K16" s="384" t="str">
        <f t="shared" si="1"/>
        <v/>
      </c>
      <c r="L16" s="362"/>
      <c r="M16" s="419"/>
      <c r="N16" s="446"/>
      <c r="O16" s="446"/>
      <c r="P16" s="414" t="s">
        <v>579</v>
      </c>
      <c r="Q16" s="414" t="s">
        <v>579</v>
      </c>
      <c r="R16" s="414" t="s">
        <v>579</v>
      </c>
      <c r="S16" s="414" t="s">
        <v>579</v>
      </c>
      <c r="T16" s="752">
        <f>IF(集合住宅評価結果!C124&gt;=2,3,1)</f>
        <v>1</v>
      </c>
      <c r="U16" s="414" t="s">
        <v>579</v>
      </c>
      <c r="V16" s="414" t="s">
        <v>579</v>
      </c>
      <c r="W16" s="447"/>
      <c r="X16" s="447"/>
      <c r="Y16" s="447"/>
      <c r="Z16" s="447"/>
      <c r="AA16" s="447"/>
      <c r="AB16" s="447"/>
      <c r="AC16" s="447"/>
      <c r="AD16" s="448" t="s">
        <v>411</v>
      </c>
      <c r="AE16" s="448" t="s">
        <v>411</v>
      </c>
      <c r="AF16" s="448" t="s">
        <v>411</v>
      </c>
      <c r="AG16" s="448" t="str">
        <f t="shared" si="2"/>
        <v>（対象外）</v>
      </c>
      <c r="AH16" s="448" t="s">
        <v>412</v>
      </c>
      <c r="AI16" s="421"/>
      <c r="AT16" s="366"/>
      <c r="AU16" s="366"/>
      <c r="AV16" s="366"/>
      <c r="AW16" s="366"/>
      <c r="AX16" s="366"/>
      <c r="AY16" s="366"/>
      <c r="AZ16" s="366"/>
      <c r="BA16" s="366"/>
      <c r="BB16" s="366"/>
    </row>
    <row r="17" spans="1:54" ht="99.75" customHeight="1">
      <c r="A17" s="521"/>
      <c r="B17" s="475">
        <v>9</v>
      </c>
      <c r="C17" s="476" t="s">
        <v>715</v>
      </c>
      <c r="D17" s="376" t="s">
        <v>721</v>
      </c>
      <c r="E17" s="378" t="s">
        <v>415</v>
      </c>
      <c r="F17" s="287"/>
      <c r="G17" s="287"/>
      <c r="H17" s="287"/>
      <c r="I17" s="390"/>
      <c r="J17" s="410"/>
      <c r="K17" s="384" t="str">
        <f t="shared" si="1"/>
        <v/>
      </c>
      <c r="L17" s="362"/>
      <c r="M17" s="419"/>
      <c r="N17" s="446"/>
      <c r="O17" s="446"/>
      <c r="P17" s="414" t="s">
        <v>579</v>
      </c>
      <c r="Q17" s="414" t="s">
        <v>579</v>
      </c>
      <c r="R17" s="414" t="s">
        <v>579</v>
      </c>
      <c r="S17" s="414" t="s">
        <v>579</v>
      </c>
      <c r="T17" s="752">
        <f>MIN(3,IF(集合住宅評価結果!C126&gt;=3,3,IF(集合住宅評価結果!C126&gt;=2,2,1)))</f>
        <v>1</v>
      </c>
      <c r="U17" s="414" t="s">
        <v>579</v>
      </c>
      <c r="V17" s="414" t="s">
        <v>579</v>
      </c>
      <c r="W17" s="447"/>
      <c r="X17" s="447"/>
      <c r="Y17" s="447"/>
      <c r="Z17" s="447"/>
      <c r="AA17" s="447"/>
      <c r="AB17" s="447"/>
      <c r="AC17" s="447"/>
      <c r="AD17" s="448" t="s">
        <v>411</v>
      </c>
      <c r="AE17" s="448" t="s">
        <v>411</v>
      </c>
      <c r="AF17" s="448" t="s">
        <v>411</v>
      </c>
      <c r="AG17" s="448" t="str">
        <f t="shared" si="2"/>
        <v>（対象外）</v>
      </c>
      <c r="AH17" s="448" t="s">
        <v>416</v>
      </c>
      <c r="AI17" s="421"/>
      <c r="AT17" s="366"/>
      <c r="AU17" s="366"/>
      <c r="AV17" s="366"/>
      <c r="AW17" s="366"/>
      <c r="AX17" s="366"/>
      <c r="AY17" s="366"/>
      <c r="AZ17" s="366"/>
      <c r="BA17" s="366"/>
      <c r="BB17" s="366"/>
    </row>
    <row r="18" spans="1:54" ht="62.25" customHeight="1">
      <c r="A18" s="522"/>
      <c r="B18" s="475">
        <v>10</v>
      </c>
      <c r="C18" s="476" t="s">
        <v>716</v>
      </c>
      <c r="D18" s="335" t="s">
        <v>413</v>
      </c>
      <c r="E18" s="378" t="s">
        <v>595</v>
      </c>
      <c r="F18" s="289"/>
      <c r="G18" s="289"/>
      <c r="H18" s="289"/>
      <c r="I18" s="387"/>
      <c r="J18" s="387"/>
      <c r="K18" s="384" t="str">
        <f t="shared" si="1"/>
        <v/>
      </c>
      <c r="L18" s="362"/>
      <c r="M18" s="419"/>
      <c r="N18" s="446"/>
      <c r="O18" s="446"/>
      <c r="P18" s="411">
        <f>IF(オフィス評価結果!$C$80&gt;=4,3,IF(オフィス評価結果!$C$80&gt;=2,2,1))</f>
        <v>2</v>
      </c>
      <c r="Q18" s="411">
        <f>IF(店舗評価結果!$C$80&gt;=4,3,IF(店舗評価結果!$C$80&gt;=2,2,1))</f>
        <v>2</v>
      </c>
      <c r="R18" s="411">
        <f>IF(物流評価結果!$C$80&gt;=4,3,IF(物流評価結果!$C$80&gt;=2,2,1))</f>
        <v>2</v>
      </c>
      <c r="S18" s="411">
        <f>IF(ホテル評価結果!$C$80&gt;=4,3,IF(ホテル評価結果!$C$80&gt;=2,2,1))</f>
        <v>2</v>
      </c>
      <c r="T18" s="411">
        <f>IF(集合住宅評価結果!$C$80&gt;=4,3,IF(集合住宅評価結果!$C$80&gt;=2,2,1))</f>
        <v>2</v>
      </c>
      <c r="U18" s="411">
        <f>IF(オフィス改修評価結果!$C$80&gt;=4,3,IF(オフィス改修評価結果!$C$80&gt;=2,2,1))</f>
        <v>2</v>
      </c>
      <c r="V18" s="411">
        <f>IF(店舗改修評価結果!$C$80&gt;=4,3,IF(店舗改修評価結果!$C$80&gt;=2,2,1))</f>
        <v>2</v>
      </c>
      <c r="W18" s="447"/>
      <c r="X18" s="447"/>
      <c r="Y18" s="447"/>
      <c r="Z18" s="447"/>
      <c r="AA18" s="447"/>
      <c r="AB18" s="447"/>
      <c r="AC18" s="447"/>
      <c r="AD18" s="448" t="s">
        <v>608</v>
      </c>
      <c r="AE18" s="448" t="s">
        <v>608</v>
      </c>
      <c r="AF18" s="448" t="s">
        <v>608</v>
      </c>
      <c r="AG18" s="448" t="str">
        <f t="shared" si="2"/>
        <v>3.4.4バリアフリー計画
レベル2,3で→＋１、レベル4,5で→＋2</v>
      </c>
      <c r="AH18" s="448" t="s">
        <v>608</v>
      </c>
      <c r="AI18" s="450"/>
      <c r="AT18" s="366"/>
      <c r="AU18" s="366"/>
      <c r="AV18" s="366"/>
      <c r="AW18" s="366"/>
      <c r="AX18" s="366"/>
      <c r="AY18" s="366"/>
      <c r="AZ18" s="366"/>
      <c r="BA18" s="366"/>
      <c r="BB18" s="366"/>
    </row>
    <row r="19" spans="1:54" ht="204" customHeight="1">
      <c r="A19" s="900" t="s">
        <v>666</v>
      </c>
      <c r="B19" s="271">
        <v>11</v>
      </c>
      <c r="C19" s="269" t="s">
        <v>622</v>
      </c>
      <c r="D19" s="379" t="s">
        <v>417</v>
      </c>
      <c r="E19" s="380" t="s">
        <v>743</v>
      </c>
      <c r="F19" s="285"/>
      <c r="G19" s="285"/>
      <c r="H19" s="285"/>
      <c r="I19" s="335"/>
      <c r="J19" s="339"/>
      <c r="K19" s="384" t="str">
        <f t="shared" si="1"/>
        <v/>
      </c>
      <c r="M19" s="419">
        <v>1</v>
      </c>
      <c r="N19" s="456"/>
      <c r="O19" s="456"/>
      <c r="P19" s="414" t="s">
        <v>579</v>
      </c>
      <c r="Q19" s="414" t="s">
        <v>579</v>
      </c>
      <c r="R19" s="414" t="s">
        <v>579</v>
      </c>
      <c r="S19" s="414" t="s">
        <v>579</v>
      </c>
      <c r="T19" s="411">
        <f>$M$19</f>
        <v>1</v>
      </c>
      <c r="U19" s="414" t="s">
        <v>579</v>
      </c>
      <c r="V19" s="414" t="s">
        <v>579</v>
      </c>
      <c r="W19" s="457"/>
      <c r="X19" s="457"/>
      <c r="Y19" s="457"/>
      <c r="Z19" s="457"/>
      <c r="AA19" s="457"/>
      <c r="AB19" s="457"/>
      <c r="AC19" s="457"/>
      <c r="AD19" s="448" t="s">
        <v>411</v>
      </c>
      <c r="AE19" s="448" t="s">
        <v>411</v>
      </c>
      <c r="AF19" s="448" t="s">
        <v>411</v>
      </c>
      <c r="AG19" s="448" t="str">
        <f t="shared" si="2"/>
        <v>（対象外）</v>
      </c>
      <c r="AH19" s="452" t="s">
        <v>382</v>
      </c>
      <c r="AI19" s="421"/>
      <c r="AT19" s="366"/>
      <c r="AU19" s="366"/>
      <c r="AV19" s="366"/>
      <c r="AW19" s="366"/>
      <c r="AX19" s="366"/>
      <c r="AY19" s="366"/>
      <c r="AZ19" s="366"/>
      <c r="BA19" s="366"/>
      <c r="BB19" s="366"/>
    </row>
    <row r="20" spans="1:54" ht="45" customHeight="1">
      <c r="A20" s="901"/>
      <c r="B20" s="477">
        <v>12</v>
      </c>
      <c r="C20" s="476" t="s">
        <v>623</v>
      </c>
      <c r="D20" s="335" t="s">
        <v>392</v>
      </c>
      <c r="E20" s="378" t="s">
        <v>393</v>
      </c>
      <c r="F20" s="287"/>
      <c r="G20" s="287"/>
      <c r="H20" s="287"/>
      <c r="I20" s="407"/>
      <c r="J20" s="407"/>
      <c r="K20" s="384" t="str">
        <f t="shared" si="1"/>
        <v/>
      </c>
      <c r="L20" s="326"/>
      <c r="M20" s="419"/>
      <c r="N20" s="446"/>
      <c r="O20" s="446"/>
      <c r="P20" s="411">
        <f>IF(オフィス評価結果!$C$104="適合",3,1)</f>
        <v>1</v>
      </c>
      <c r="Q20" s="411">
        <f>IF(店舗評価結果!$C$104="適合",3,1)</f>
        <v>1</v>
      </c>
      <c r="R20" s="411">
        <f>IF(物流評価結果!$C$104="適合",3,1)</f>
        <v>1</v>
      </c>
      <c r="S20" s="411">
        <f>IF(ホテル評価結果!$C$104="適合",3,1)</f>
        <v>1</v>
      </c>
      <c r="T20" s="411">
        <f>IF(集合住宅評価結果!$C$104="適合",3,1)</f>
        <v>1</v>
      </c>
      <c r="U20" s="412">
        <f>IF(オフィス改修評価結果!$C$104="適合",3,1)</f>
        <v>1</v>
      </c>
      <c r="V20" s="411">
        <f>IF(店舗改修評価結果!$C$104="適合",3,1)</f>
        <v>1</v>
      </c>
      <c r="W20" s="447"/>
      <c r="X20" s="447"/>
      <c r="Y20" s="447"/>
      <c r="Z20" s="447"/>
      <c r="AA20" s="447"/>
      <c r="AB20" s="447"/>
      <c r="AC20" s="447"/>
      <c r="AD20" s="448" t="s">
        <v>401</v>
      </c>
      <c r="AE20" s="448" t="s">
        <v>401</v>
      </c>
      <c r="AF20" s="448" t="s">
        <v>401</v>
      </c>
      <c r="AG20" s="448" t="str">
        <f t="shared" si="2"/>
        <v>5屋内環境【必須】
①または②に適合→+2</v>
      </c>
      <c r="AH20" s="448" t="s">
        <v>559</v>
      </c>
      <c r="AI20" s="421"/>
      <c r="AT20" s="366"/>
      <c r="AU20" s="366"/>
      <c r="AV20" s="366"/>
      <c r="AW20" s="366"/>
      <c r="AX20" s="366"/>
      <c r="AY20" s="366"/>
      <c r="AZ20" s="366"/>
      <c r="BA20" s="366"/>
      <c r="BB20" s="366"/>
    </row>
    <row r="21" spans="1:54" ht="50.25" customHeight="1">
      <c r="A21" s="901"/>
      <c r="B21" s="477">
        <v>13</v>
      </c>
      <c r="C21" s="476" t="s">
        <v>624</v>
      </c>
      <c r="D21" s="335" t="s">
        <v>399</v>
      </c>
      <c r="E21" s="378" t="s">
        <v>400</v>
      </c>
      <c r="F21" s="287"/>
      <c r="G21" s="287"/>
      <c r="H21" s="287"/>
      <c r="I21" s="407"/>
      <c r="J21" s="407"/>
      <c r="K21" s="384" t="str">
        <f t="shared" si="1"/>
        <v/>
      </c>
      <c r="L21" s="326"/>
      <c r="M21" s="419"/>
      <c r="N21" s="446"/>
      <c r="O21" s="446"/>
      <c r="P21" s="411">
        <f>IF(オフィス評価結果!$C$104="適合",3,1)</f>
        <v>1</v>
      </c>
      <c r="Q21" s="411">
        <f>IF(店舗評価結果!$C$104="適合",3,1)</f>
        <v>1</v>
      </c>
      <c r="R21" s="411">
        <f>IF(物流評価結果!$C$104="適合",3,1)</f>
        <v>1</v>
      </c>
      <c r="S21" s="411">
        <f>IF(ホテル評価結果!$C$104="適合",3,1)</f>
        <v>1</v>
      </c>
      <c r="T21" s="411">
        <f>IF(集合住宅評価結果!$C$113&gt;=2,3,1)</f>
        <v>1</v>
      </c>
      <c r="U21" s="412">
        <f>IF(オフィス改修評価結果!$C$104="適合",3,1)</f>
        <v>1</v>
      </c>
      <c r="V21" s="411">
        <f>IF(店舗改修評価結果!$C$104="適合",3,1)</f>
        <v>1</v>
      </c>
      <c r="W21" s="447"/>
      <c r="X21" s="447"/>
      <c r="Y21" s="447"/>
      <c r="Z21" s="447"/>
      <c r="AA21" s="447"/>
      <c r="AB21" s="447"/>
      <c r="AC21" s="447"/>
      <c r="AD21" s="448" t="s">
        <v>401</v>
      </c>
      <c r="AE21" s="448" t="s">
        <v>401</v>
      </c>
      <c r="AF21" s="448" t="s">
        <v>401</v>
      </c>
      <c r="AG21" s="448" t="str">
        <f t="shared" si="2"/>
        <v>5屋内環境【必須】
①または②に適合→+2</v>
      </c>
      <c r="AH21" s="458" t="s">
        <v>615</v>
      </c>
      <c r="AI21" s="450"/>
      <c r="AT21" s="366"/>
      <c r="AU21" s="366"/>
      <c r="AV21" s="366"/>
      <c r="AW21" s="366"/>
      <c r="AX21" s="366"/>
      <c r="AY21" s="366"/>
      <c r="AZ21" s="366"/>
      <c r="BA21" s="366"/>
      <c r="BB21" s="366"/>
    </row>
    <row r="22" spans="1:54" ht="50.25" customHeight="1">
      <c r="A22" s="901"/>
      <c r="B22" s="478">
        <v>14</v>
      </c>
      <c r="C22" s="476" t="s">
        <v>625</v>
      </c>
      <c r="D22" s="335" t="s">
        <v>403</v>
      </c>
      <c r="E22" s="378" t="s">
        <v>404</v>
      </c>
      <c r="F22" s="287"/>
      <c r="G22" s="287"/>
      <c r="H22" s="287"/>
      <c r="I22" s="407"/>
      <c r="J22" s="407"/>
      <c r="K22" s="384" t="str">
        <f t="shared" si="1"/>
        <v/>
      </c>
      <c r="L22" s="362"/>
      <c r="M22" s="419"/>
      <c r="N22" s="446"/>
      <c r="O22" s="446"/>
      <c r="P22" s="411">
        <f>IF(オフィス評価結果!$C$104="適合",3,1)</f>
        <v>1</v>
      </c>
      <c r="Q22" s="411">
        <f>IF(店舗評価結果!$C$104="適合",3,1)</f>
        <v>1</v>
      </c>
      <c r="R22" s="411">
        <f>IF(物流評価結果!$C$104="適合",3,1)</f>
        <v>1</v>
      </c>
      <c r="S22" s="411">
        <f>IF(ホテル評価結果!$C$104="適合",3,1)</f>
        <v>1</v>
      </c>
      <c r="T22" s="752">
        <f>IF(集合住宅評価結果!C122&gt;=2,3,1)</f>
        <v>1</v>
      </c>
      <c r="U22" s="412">
        <f>IF(オフィス改修評価結果!$C$104="適合",3,1)</f>
        <v>1</v>
      </c>
      <c r="V22" s="411">
        <f>IF(店舗改修評価結果!$C$104="適合",3,1)</f>
        <v>1</v>
      </c>
      <c r="W22" s="447"/>
      <c r="X22" s="447"/>
      <c r="Y22" s="447"/>
      <c r="Z22" s="447"/>
      <c r="AA22" s="447"/>
      <c r="AB22" s="447"/>
      <c r="AC22" s="447"/>
      <c r="AD22" s="448" t="s">
        <v>401</v>
      </c>
      <c r="AE22" s="448" t="s">
        <v>401</v>
      </c>
      <c r="AF22" s="448" t="s">
        <v>401</v>
      </c>
      <c r="AG22" s="448" t="str">
        <f t="shared" si="2"/>
        <v>5屋内環境【必須】
①または②に適合→+2</v>
      </c>
      <c r="AH22" s="458" t="s">
        <v>616</v>
      </c>
      <c r="AI22" s="450"/>
      <c r="AT22" s="366"/>
      <c r="AU22" s="366"/>
      <c r="AV22" s="366"/>
      <c r="AW22" s="366"/>
      <c r="AX22" s="366"/>
      <c r="AY22" s="366"/>
      <c r="AZ22" s="366"/>
      <c r="BA22" s="366"/>
      <c r="BB22" s="366"/>
    </row>
    <row r="23" spans="1:54" ht="42" customHeight="1">
      <c r="A23" s="901"/>
      <c r="B23" s="336">
        <v>15</v>
      </c>
      <c r="C23" s="269" t="s">
        <v>418</v>
      </c>
      <c r="D23" s="335" t="s">
        <v>409</v>
      </c>
      <c r="E23" s="270" t="s">
        <v>410</v>
      </c>
      <c r="F23" s="287"/>
      <c r="G23" s="287"/>
      <c r="H23" s="287"/>
      <c r="I23" s="284"/>
      <c r="J23" s="284"/>
      <c r="K23" s="384" t="str">
        <f t="shared" si="1"/>
        <v/>
      </c>
      <c r="L23" s="362"/>
      <c r="M23" s="419"/>
      <c r="N23" s="446"/>
      <c r="O23" s="446"/>
      <c r="P23" s="414" t="s">
        <v>579</v>
      </c>
      <c r="Q23" s="414" t="s">
        <v>579</v>
      </c>
      <c r="R23" s="414" t="s">
        <v>579</v>
      </c>
      <c r="S23" s="414" t="s">
        <v>579</v>
      </c>
      <c r="T23" s="752">
        <f>IF(集合住宅評価結果!C124&gt;=2,3,1)</f>
        <v>1</v>
      </c>
      <c r="U23" s="414" t="s">
        <v>579</v>
      </c>
      <c r="V23" s="414" t="s">
        <v>579</v>
      </c>
      <c r="W23" s="447"/>
      <c r="X23" s="447"/>
      <c r="Y23" s="447"/>
      <c r="Z23" s="447"/>
      <c r="AA23" s="447"/>
      <c r="AB23" s="447"/>
      <c r="AC23" s="447"/>
      <c r="AD23" s="448" t="s">
        <v>411</v>
      </c>
      <c r="AE23" s="448" t="s">
        <v>411</v>
      </c>
      <c r="AF23" s="448" t="s">
        <v>411</v>
      </c>
      <c r="AG23" s="448" t="str">
        <f t="shared" si="2"/>
        <v>（対象外）</v>
      </c>
      <c r="AH23" s="448" t="s">
        <v>421</v>
      </c>
      <c r="AI23" s="421"/>
      <c r="AT23" s="366"/>
      <c r="AU23" s="366"/>
      <c r="AV23" s="366"/>
      <c r="AW23" s="366"/>
      <c r="AX23" s="366"/>
      <c r="AY23" s="366"/>
      <c r="AZ23" s="366"/>
      <c r="BA23" s="366"/>
      <c r="BB23" s="366"/>
    </row>
    <row r="24" spans="1:54" ht="115.5" customHeight="1">
      <c r="A24" s="901"/>
      <c r="B24" s="477">
        <v>16</v>
      </c>
      <c r="C24" s="476" t="s">
        <v>419</v>
      </c>
      <c r="D24" s="376" t="s">
        <v>422</v>
      </c>
      <c r="E24" s="334" t="s">
        <v>810</v>
      </c>
      <c r="F24" s="391"/>
      <c r="G24" s="387"/>
      <c r="H24" s="387"/>
      <c r="I24" s="392"/>
      <c r="J24" s="392"/>
      <c r="K24" s="384" t="str">
        <f t="shared" si="1"/>
        <v/>
      </c>
      <c r="M24" s="419">
        <v>1</v>
      </c>
      <c r="N24" s="446"/>
      <c r="O24" s="446"/>
      <c r="P24" s="411">
        <f t="shared" ref="P24:V24" si="3">$M$24</f>
        <v>1</v>
      </c>
      <c r="Q24" s="411">
        <f t="shared" si="3"/>
        <v>1</v>
      </c>
      <c r="R24" s="411">
        <f t="shared" si="3"/>
        <v>1</v>
      </c>
      <c r="S24" s="411">
        <f t="shared" si="3"/>
        <v>1</v>
      </c>
      <c r="T24" s="411">
        <f t="shared" si="3"/>
        <v>1</v>
      </c>
      <c r="U24" s="411">
        <f t="shared" si="3"/>
        <v>1</v>
      </c>
      <c r="V24" s="411">
        <f t="shared" si="3"/>
        <v>1</v>
      </c>
      <c r="W24" s="447"/>
      <c r="X24" s="447"/>
      <c r="Y24" s="447"/>
      <c r="Z24" s="447"/>
      <c r="AA24" s="447"/>
      <c r="AB24" s="447"/>
      <c r="AC24" s="459"/>
      <c r="AD24" s="452" t="s">
        <v>382</v>
      </c>
      <c r="AE24" s="452" t="s">
        <v>382</v>
      </c>
      <c r="AF24" s="452" t="s">
        <v>382</v>
      </c>
      <c r="AG24" s="452" t="str">
        <f t="shared" si="2"/>
        <v>チェックリスト項目</v>
      </c>
      <c r="AH24" s="452" t="s">
        <v>382</v>
      </c>
      <c r="AI24" s="554" t="s">
        <v>809</v>
      </c>
      <c r="AT24" s="366"/>
      <c r="AU24" s="366"/>
      <c r="AV24" s="366"/>
      <c r="AW24" s="366"/>
      <c r="AX24" s="366"/>
      <c r="AY24" s="366"/>
      <c r="AZ24" s="366"/>
      <c r="BA24" s="366"/>
      <c r="BB24" s="366"/>
    </row>
    <row r="25" spans="1:54" ht="64.5" customHeight="1">
      <c r="A25" s="902"/>
      <c r="B25" s="478">
        <v>17</v>
      </c>
      <c r="C25" s="476" t="s">
        <v>420</v>
      </c>
      <c r="D25" s="335" t="s">
        <v>423</v>
      </c>
      <c r="E25" s="378" t="s">
        <v>424</v>
      </c>
      <c r="F25" s="288"/>
      <c r="G25" s="288"/>
      <c r="H25" s="288"/>
      <c r="I25" s="388" t="s">
        <v>724</v>
      </c>
      <c r="J25" s="389"/>
      <c r="K25" s="384" t="str">
        <f t="shared" si="1"/>
        <v/>
      </c>
      <c r="M25" s="419"/>
      <c r="N25" s="446" t="b">
        <v>0</v>
      </c>
      <c r="O25" s="446"/>
      <c r="P25" s="411">
        <f t="shared" ref="P25:V25" si="4">IF($N$25=TRUE,3,1)</f>
        <v>1</v>
      </c>
      <c r="Q25" s="411">
        <f t="shared" si="4"/>
        <v>1</v>
      </c>
      <c r="R25" s="411">
        <f t="shared" si="4"/>
        <v>1</v>
      </c>
      <c r="S25" s="411">
        <f t="shared" si="4"/>
        <v>1</v>
      </c>
      <c r="T25" s="411">
        <f t="shared" si="4"/>
        <v>1</v>
      </c>
      <c r="U25" s="411">
        <f t="shared" si="4"/>
        <v>1</v>
      </c>
      <c r="V25" s="411">
        <f t="shared" si="4"/>
        <v>1</v>
      </c>
      <c r="W25" s="447"/>
      <c r="X25" s="447"/>
      <c r="Y25" s="447"/>
      <c r="Z25" s="447"/>
      <c r="AA25" s="447"/>
      <c r="AB25" s="447"/>
      <c r="AC25" s="447"/>
      <c r="AD25" s="453" t="s">
        <v>425</v>
      </c>
      <c r="AE25" s="453" t="s">
        <v>425</v>
      </c>
      <c r="AF25" s="453" t="s">
        <v>425</v>
      </c>
      <c r="AG25" s="453" t="str">
        <f t="shared" si="2"/>
        <v>3.4.3維持管理
取組み6)業務員への環境等の教育あり→+2</v>
      </c>
      <c r="AH25" s="454" t="s">
        <v>425</v>
      </c>
      <c r="AI25" s="421"/>
      <c r="AT25" s="366"/>
      <c r="AU25" s="366"/>
      <c r="AV25" s="366"/>
      <c r="AW25" s="366"/>
      <c r="AX25" s="366"/>
      <c r="AY25" s="366"/>
      <c r="AZ25" s="366"/>
      <c r="BA25" s="366"/>
      <c r="BB25" s="366"/>
    </row>
    <row r="26" spans="1:54" ht="261" customHeight="1">
      <c r="A26" s="523" t="s">
        <v>667</v>
      </c>
      <c r="B26" s="478">
        <v>18</v>
      </c>
      <c r="C26" s="476" t="s">
        <v>626</v>
      </c>
      <c r="D26" s="379" t="s">
        <v>427</v>
      </c>
      <c r="E26" s="378" t="s">
        <v>811</v>
      </c>
      <c r="F26" s="391"/>
      <c r="G26" s="387"/>
      <c r="H26" s="387"/>
      <c r="I26" s="392"/>
      <c r="J26" s="328"/>
      <c r="K26" s="384" t="str">
        <f t="shared" si="1"/>
        <v/>
      </c>
      <c r="M26" s="419">
        <v>1</v>
      </c>
      <c r="N26" s="456"/>
      <c r="O26" s="456"/>
      <c r="P26" s="414" t="s">
        <v>579</v>
      </c>
      <c r="Q26" s="414" t="s">
        <v>579</v>
      </c>
      <c r="R26" s="414" t="s">
        <v>579</v>
      </c>
      <c r="S26" s="414" t="s">
        <v>579</v>
      </c>
      <c r="T26" s="411">
        <f>$M$26</f>
        <v>1</v>
      </c>
      <c r="U26" s="414" t="s">
        <v>579</v>
      </c>
      <c r="V26" s="414" t="s">
        <v>579</v>
      </c>
      <c r="W26" s="457"/>
      <c r="X26" s="457"/>
      <c r="Y26" s="457"/>
      <c r="Z26" s="457"/>
      <c r="AA26" s="457"/>
      <c r="AB26" s="457"/>
      <c r="AC26" s="457"/>
      <c r="AD26" s="448" t="s">
        <v>411</v>
      </c>
      <c r="AE26" s="448" t="s">
        <v>411</v>
      </c>
      <c r="AF26" s="448" t="s">
        <v>411</v>
      </c>
      <c r="AG26" s="448" t="str">
        <f t="shared" si="2"/>
        <v>（対象外）</v>
      </c>
      <c r="AH26" s="452" t="s">
        <v>382</v>
      </c>
      <c r="AI26" s="554" t="s">
        <v>809</v>
      </c>
      <c r="AT26" s="366"/>
      <c r="AU26" s="366"/>
      <c r="AV26" s="366"/>
      <c r="AW26" s="366"/>
      <c r="AX26" s="366"/>
      <c r="AY26" s="366"/>
      <c r="AZ26" s="366"/>
      <c r="BA26" s="366"/>
      <c r="BB26" s="366"/>
    </row>
    <row r="27" spans="1:54" ht="72" customHeight="1">
      <c r="A27" s="524"/>
      <c r="B27" s="478">
        <v>19</v>
      </c>
      <c r="C27" s="476" t="s">
        <v>627</v>
      </c>
      <c r="D27" s="335" t="s">
        <v>413</v>
      </c>
      <c r="E27" s="378" t="s">
        <v>414</v>
      </c>
      <c r="F27" s="289"/>
      <c r="G27" s="289"/>
      <c r="H27" s="289"/>
      <c r="I27" s="387"/>
      <c r="J27" s="387"/>
      <c r="K27" s="384" t="str">
        <f t="shared" si="1"/>
        <v/>
      </c>
      <c r="L27" s="326"/>
      <c r="M27" s="419"/>
      <c r="N27" s="446"/>
      <c r="O27" s="446"/>
      <c r="P27" s="411">
        <f>IF(オフィス評価結果!$C$80&gt;=4,3,IF(オフィス評価結果!$C$80&gt;=2,2,1))</f>
        <v>2</v>
      </c>
      <c r="Q27" s="411">
        <f>IF(店舗評価結果!$C$80&gt;=4,3,IF(店舗評価結果!$C$80&gt;=2,2,1))</f>
        <v>2</v>
      </c>
      <c r="R27" s="411">
        <f>IF(物流評価結果!$C$80&gt;=4,3,IF(物流評価結果!$C$80&gt;=2,2,1))</f>
        <v>2</v>
      </c>
      <c r="S27" s="411">
        <f>IF(ホテル評価結果!$C$80&gt;=4,3,IF(ホテル評価結果!$C$80&gt;=2,2,1))</f>
        <v>2</v>
      </c>
      <c r="T27" s="411">
        <f>IF(集合住宅評価結果!$C$80&gt;=4,3,IF(集合住宅評価結果!$C$80&gt;=2,2,1))</f>
        <v>2</v>
      </c>
      <c r="U27" s="411">
        <f>IF(オフィス改修評価結果!$C$80&gt;=4,3,IF(オフィス改修評価結果!$C$80&gt;=2,2,1))</f>
        <v>2</v>
      </c>
      <c r="V27" s="411">
        <f>IF(店舗改修評価結果!$C$80&gt;=4,3,IF(店舗改修評価結果!$C$80&gt;=2,2,1))</f>
        <v>2</v>
      </c>
      <c r="W27" s="447"/>
      <c r="X27" s="447"/>
      <c r="Y27" s="447"/>
      <c r="Z27" s="447"/>
      <c r="AA27" s="447"/>
      <c r="AB27" s="447"/>
      <c r="AC27" s="447"/>
      <c r="AD27" s="448" t="s">
        <v>804</v>
      </c>
      <c r="AE27" s="448" t="s">
        <v>804</v>
      </c>
      <c r="AF27" s="448" t="s">
        <v>804</v>
      </c>
      <c r="AG27" s="448" t="str">
        <f t="shared" si="2"/>
        <v>3.4.4バリアフリー対策
レベル2,3→+1
レベル4以上→+2</v>
      </c>
      <c r="AH27" s="448" t="s">
        <v>804</v>
      </c>
      <c r="AI27" s="450"/>
      <c r="AT27" s="366"/>
      <c r="AU27" s="366"/>
      <c r="AV27" s="366"/>
      <c r="AW27" s="366"/>
      <c r="AX27" s="366"/>
      <c r="AY27" s="366"/>
      <c r="AZ27" s="366"/>
      <c r="BA27" s="366"/>
      <c r="BB27" s="366"/>
    </row>
    <row r="28" spans="1:54" ht="58.5" customHeight="1">
      <c r="A28" s="525"/>
      <c r="B28" s="477">
        <v>20</v>
      </c>
      <c r="C28" s="476" t="s">
        <v>426</v>
      </c>
      <c r="D28" s="335" t="s">
        <v>428</v>
      </c>
      <c r="E28" s="378" t="s">
        <v>429</v>
      </c>
      <c r="F28" s="391"/>
      <c r="G28" s="289"/>
      <c r="H28" s="387"/>
      <c r="I28" s="386" t="s">
        <v>603</v>
      </c>
      <c r="J28" s="386"/>
      <c r="K28" s="384" t="str">
        <f t="shared" si="1"/>
        <v/>
      </c>
      <c r="M28" s="419">
        <v>1</v>
      </c>
      <c r="N28" s="446" t="b">
        <v>0</v>
      </c>
      <c r="O28" s="419">
        <f>IF(N28=FALSE,IF(M28=1,1,3),IF(M28=1,2,3))</f>
        <v>1</v>
      </c>
      <c r="P28" s="411">
        <f t="shared" ref="P28:V28" si="5">$O$28</f>
        <v>1</v>
      </c>
      <c r="Q28" s="411">
        <f t="shared" si="5"/>
        <v>1</v>
      </c>
      <c r="R28" s="411">
        <f t="shared" si="5"/>
        <v>1</v>
      </c>
      <c r="S28" s="411">
        <f t="shared" si="5"/>
        <v>1</v>
      </c>
      <c r="T28" s="411">
        <f t="shared" si="5"/>
        <v>1</v>
      </c>
      <c r="U28" s="411">
        <f t="shared" si="5"/>
        <v>1</v>
      </c>
      <c r="V28" s="411">
        <f t="shared" si="5"/>
        <v>1</v>
      </c>
      <c r="W28" s="447"/>
      <c r="X28" s="447"/>
      <c r="Y28" s="447"/>
      <c r="Z28" s="447"/>
      <c r="AA28" s="447"/>
      <c r="AB28" s="447"/>
      <c r="AC28" s="447"/>
      <c r="AD28" s="452" t="s">
        <v>382</v>
      </c>
      <c r="AE28" s="452" t="s">
        <v>382</v>
      </c>
      <c r="AF28" s="452" t="s">
        <v>382</v>
      </c>
      <c r="AG28" s="452" t="str">
        <f t="shared" si="2"/>
        <v>チェックリスト項目</v>
      </c>
      <c r="AH28" s="452" t="s">
        <v>382</v>
      </c>
      <c r="AI28" s="421"/>
      <c r="AT28" s="366"/>
      <c r="AU28" s="366"/>
      <c r="AV28" s="366"/>
      <c r="AW28" s="366"/>
      <c r="AX28" s="366"/>
      <c r="AY28" s="366"/>
      <c r="AZ28" s="366"/>
      <c r="BA28" s="366"/>
      <c r="BB28" s="366"/>
    </row>
    <row r="29" spans="1:54" ht="96.75" customHeight="1">
      <c r="A29" s="526" t="s">
        <v>668</v>
      </c>
      <c r="B29" s="479">
        <v>21</v>
      </c>
      <c r="C29" s="480" t="s">
        <v>628</v>
      </c>
      <c r="D29" s="374" t="s">
        <v>430</v>
      </c>
      <c r="E29" s="481" t="s">
        <v>431</v>
      </c>
      <c r="F29" s="321"/>
      <c r="G29" s="291"/>
      <c r="H29" s="291"/>
      <c r="I29" s="393" t="s">
        <v>583</v>
      </c>
      <c r="J29" s="394"/>
      <c r="K29" s="872" t="str">
        <f t="shared" si="1"/>
        <v/>
      </c>
      <c r="M29" s="419"/>
      <c r="N29" s="446" t="b">
        <v>0</v>
      </c>
      <c r="O29" s="446"/>
      <c r="P29" s="858">
        <f>IF(AND(AND(オフィス水計算ソフト!$E$17&gt;0,オフィス水計算ソフト!$E$17&lt;=6),AND(オフィス水計算ソフト!$E$20&gt;0,オフィス水計算ソフト!$E$20&lt;=6)),3,1)</f>
        <v>1</v>
      </c>
      <c r="Q29" s="858">
        <f>IF(AND(AND(店舗水計算ソフト!$E$21&gt;0,店舗水計算ソフト!$E$21&lt;=6),AND(店舗水計算ソフト!$E$24&gt;0,店舗水計算ソフト!$E$24&lt;=6),AND(店舗水計算ソフト!$E$33&gt;0,店舗水計算ソフト!$E$33&lt;=6),AND(店舗水計算ソフト!$E$36&gt;0,店舗水計算ソフト!$E$36&lt;=6)),3,1)</f>
        <v>1</v>
      </c>
      <c r="R29" s="858">
        <f>COUNTIF($N$29:$N$30,"true")+1</f>
        <v>1</v>
      </c>
      <c r="S29" s="858">
        <f>IF(AND(AND(ホテル水計算ソフト!$E$21&gt;0,ホテル水計算ソフト!$E$21&lt;=6),AND(ホテル水計算ソフト!$E$24&gt;0,ホテル水計算ソフト!$E$24&lt;=6),AND(ホテル水計算ソフト!$E$33&gt;0,ホテル水計算ソフト!$E$33&lt;=6),AND(ホテル水計算ソフト!$E$36&gt;0,ホテル水計算ソフト!$E$36&lt;=6)),3,1)</f>
        <v>3</v>
      </c>
      <c r="T29" s="858">
        <f>MIN(3,COUNTIF($N$29:$N$31,"true")+1)</f>
        <v>1</v>
      </c>
      <c r="U29" s="858">
        <f>IF(AND(AND(オフィス水計算ソフト!$E$17&gt;0,オフィス水計算ソフト!$E$17&lt;=6),AND(オフィス水計算ソフト!$E$20&gt;0,オフィス水計算ソフト!$E$20&lt;=6)),3,1)</f>
        <v>1</v>
      </c>
      <c r="V29" s="858">
        <f>IF(AND(AND(店舗水計算ソフト!$E$21&gt;0,店舗水計算ソフト!$E$21&lt;=6),AND(店舗水計算ソフト!$E$24&gt;0,店舗水計算ソフト!$E$24&lt;=6),AND(店舗水計算ソフト!$E$33&gt;0,店舗水計算ソフト!$E$33&lt;=6),AND(店舗水計算ソフト!$E$36&gt;0,店舗水計算ソフト!$E$36&lt;=6)),3,1)</f>
        <v>1</v>
      </c>
      <c r="W29" s="447"/>
      <c r="X29" s="447"/>
      <c r="Y29" s="447"/>
      <c r="Z29" s="447"/>
      <c r="AA29" s="447"/>
      <c r="AB29" s="447"/>
      <c r="AC29" s="459"/>
      <c r="AD29" s="460" t="s">
        <v>548</v>
      </c>
      <c r="AE29" s="460" t="s">
        <v>548</v>
      </c>
      <c r="AF29" s="461" t="s">
        <v>432</v>
      </c>
      <c r="AG29" s="460" t="str">
        <f t="shared" si="2"/>
        <v>2.1水使用量（計算値）
使用量算定ソフトで大便器の吐水量が6L/回以下→+2
（全ての便器の吐水量が６L/回以下の場合に加点とする）</v>
      </c>
      <c r="AH29" s="461" t="s">
        <v>593</v>
      </c>
      <c r="AI29" s="421"/>
      <c r="AT29" s="366"/>
      <c r="AU29" s="366"/>
      <c r="AV29" s="366"/>
      <c r="AW29" s="366"/>
      <c r="AX29" s="366"/>
      <c r="AY29" s="366"/>
      <c r="AZ29" s="366"/>
      <c r="BA29" s="366"/>
      <c r="BB29" s="366"/>
    </row>
    <row r="30" spans="1:54" ht="84.75" customHeight="1">
      <c r="A30" s="527"/>
      <c r="B30" s="482"/>
      <c r="C30" s="483"/>
      <c r="D30" s="371"/>
      <c r="E30" s="484"/>
      <c r="F30" s="322"/>
      <c r="G30" s="288"/>
      <c r="H30" s="320"/>
      <c r="I30" s="395" t="s">
        <v>536</v>
      </c>
      <c r="J30" s="396"/>
      <c r="K30" s="881" t="str">
        <f t="shared" si="1"/>
        <v/>
      </c>
      <c r="M30" s="419"/>
      <c r="N30" s="446" t="b">
        <v>0</v>
      </c>
      <c r="O30" s="446"/>
      <c r="P30" s="859"/>
      <c r="Q30" s="859"/>
      <c r="R30" s="859"/>
      <c r="S30" s="859"/>
      <c r="T30" s="859"/>
      <c r="U30" s="859"/>
      <c r="V30" s="859"/>
      <c r="W30" s="447"/>
      <c r="X30" s="447"/>
      <c r="Y30" s="447"/>
      <c r="Z30" s="447"/>
      <c r="AA30" s="447"/>
      <c r="AB30" s="447"/>
      <c r="AC30" s="447"/>
      <c r="AD30" s="462"/>
      <c r="AE30" s="462"/>
      <c r="AF30" s="463"/>
      <c r="AG30" s="462">
        <f t="shared" si="2"/>
        <v>0</v>
      </c>
      <c r="AH30" s="463"/>
      <c r="AI30" s="421"/>
      <c r="AT30" s="366"/>
      <c r="AU30" s="366"/>
      <c r="AV30" s="366"/>
      <c r="AW30" s="366"/>
      <c r="AX30" s="366"/>
      <c r="AY30" s="366"/>
      <c r="AZ30" s="366"/>
      <c r="BA30" s="366"/>
      <c r="BB30" s="366"/>
    </row>
    <row r="31" spans="1:54" ht="84.75" customHeight="1">
      <c r="A31" s="527"/>
      <c r="B31" s="485"/>
      <c r="C31" s="486"/>
      <c r="D31" s="372"/>
      <c r="E31" s="487"/>
      <c r="F31" s="323"/>
      <c r="G31" s="292"/>
      <c r="H31" s="293"/>
      <c r="I31" s="397" t="s">
        <v>582</v>
      </c>
      <c r="J31" s="396"/>
      <c r="K31" s="873" t="str">
        <f t="shared" si="1"/>
        <v/>
      </c>
      <c r="M31" s="419"/>
      <c r="N31" s="446" t="b">
        <v>0</v>
      </c>
      <c r="O31" s="446"/>
      <c r="P31" s="860"/>
      <c r="Q31" s="860"/>
      <c r="R31" s="860"/>
      <c r="S31" s="860"/>
      <c r="T31" s="860"/>
      <c r="U31" s="860"/>
      <c r="V31" s="860"/>
      <c r="W31" s="447"/>
      <c r="X31" s="447"/>
      <c r="Y31" s="447"/>
      <c r="Z31" s="447"/>
      <c r="AA31" s="447"/>
      <c r="AB31" s="447"/>
      <c r="AC31" s="447"/>
      <c r="AD31" s="464"/>
      <c r="AE31" s="464"/>
      <c r="AF31" s="465"/>
      <c r="AG31" s="464">
        <f t="shared" si="2"/>
        <v>0</v>
      </c>
      <c r="AH31" s="465"/>
      <c r="AI31" s="421"/>
      <c r="AT31" s="366"/>
      <c r="AU31" s="366"/>
      <c r="AV31" s="366"/>
      <c r="AW31" s="366"/>
      <c r="AX31" s="366"/>
      <c r="AY31" s="366"/>
      <c r="AZ31" s="366"/>
      <c r="BA31" s="366"/>
      <c r="BB31" s="366"/>
    </row>
    <row r="32" spans="1:54" ht="98.25" customHeight="1">
      <c r="A32" s="527"/>
      <c r="B32" s="475">
        <v>22</v>
      </c>
      <c r="C32" s="476" t="s">
        <v>433</v>
      </c>
      <c r="D32" s="566" t="s">
        <v>744</v>
      </c>
      <c r="E32" s="488" t="s">
        <v>596</v>
      </c>
      <c r="F32" s="289"/>
      <c r="G32" s="289"/>
      <c r="H32" s="289"/>
      <c r="I32" s="398" t="s">
        <v>537</v>
      </c>
      <c r="J32" s="394"/>
      <c r="K32" s="384" t="str">
        <f t="shared" si="1"/>
        <v/>
      </c>
      <c r="M32" s="419"/>
      <c r="N32" s="446" t="b">
        <v>0</v>
      </c>
      <c r="O32" s="446"/>
      <c r="P32" s="411">
        <f>IF(オフィス水計算ソフト!$H$50&gt;0,3,1)</f>
        <v>1</v>
      </c>
      <c r="Q32" s="411">
        <f>IF(店舗水計算ソフト!$H$68&gt;0,3,1)</f>
        <v>1</v>
      </c>
      <c r="R32" s="415">
        <f>IF($N$32=TRUE,3,1)</f>
        <v>1</v>
      </c>
      <c r="S32" s="411">
        <f>IF(ホテル水計算ソフト!$H$75&gt;0,3,1)</f>
        <v>1</v>
      </c>
      <c r="T32" s="415">
        <f>IF($N$32=TRUE,3,1)</f>
        <v>1</v>
      </c>
      <c r="U32" s="411">
        <f>IF(オフィス水計算ソフト!$H$50&gt;0,3,1)</f>
        <v>1</v>
      </c>
      <c r="V32" s="411">
        <f>IF(店舗水計算ソフト!$H$68&gt;0,3,1)</f>
        <v>1</v>
      </c>
      <c r="W32" s="447"/>
      <c r="X32" s="447"/>
      <c r="Y32" s="447"/>
      <c r="Z32" s="447"/>
      <c r="AA32" s="447"/>
      <c r="AB32" s="447"/>
      <c r="AC32" s="447"/>
      <c r="AD32" s="448" t="s">
        <v>435</v>
      </c>
      <c r="AE32" s="448" t="s">
        <v>435</v>
      </c>
      <c r="AF32" s="454" t="s">
        <v>436</v>
      </c>
      <c r="AG32" s="448" t="str">
        <f t="shared" si="2"/>
        <v>2.1水使用量（計算値）
使用量算定ソフトで雨水・排水再利用あり→+2</v>
      </c>
      <c r="AH32" s="454" t="s">
        <v>437</v>
      </c>
      <c r="AI32" s="421"/>
      <c r="AT32" s="366"/>
      <c r="AU32" s="366"/>
      <c r="AV32" s="366"/>
      <c r="AW32" s="366"/>
      <c r="AX32" s="366"/>
      <c r="AY32" s="366"/>
      <c r="AZ32" s="366"/>
      <c r="BA32" s="366"/>
      <c r="BB32" s="366"/>
    </row>
    <row r="33" spans="1:54" ht="60.75" customHeight="1">
      <c r="A33" s="527"/>
      <c r="B33" s="475">
        <v>23</v>
      </c>
      <c r="C33" s="476" t="s">
        <v>629</v>
      </c>
      <c r="D33" s="376" t="s">
        <v>745</v>
      </c>
      <c r="E33" s="380" t="s">
        <v>708</v>
      </c>
      <c r="F33" s="391"/>
      <c r="G33" s="289"/>
      <c r="H33" s="387"/>
      <c r="I33" s="392"/>
      <c r="J33" s="399"/>
      <c r="K33" s="384" t="str">
        <f t="shared" si="1"/>
        <v/>
      </c>
      <c r="M33" s="419">
        <v>1</v>
      </c>
      <c r="N33" s="456"/>
      <c r="O33" s="456">
        <f>IF(M33=1,1,3)</f>
        <v>1</v>
      </c>
      <c r="P33" s="411">
        <f t="shared" ref="P33:V33" si="6">$O$33</f>
        <v>1</v>
      </c>
      <c r="Q33" s="411">
        <f t="shared" si="6"/>
        <v>1</v>
      </c>
      <c r="R33" s="411">
        <f t="shared" si="6"/>
        <v>1</v>
      </c>
      <c r="S33" s="411">
        <f t="shared" si="6"/>
        <v>1</v>
      </c>
      <c r="T33" s="411">
        <f t="shared" si="6"/>
        <v>1</v>
      </c>
      <c r="U33" s="411">
        <f t="shared" si="6"/>
        <v>1</v>
      </c>
      <c r="V33" s="411">
        <f t="shared" si="6"/>
        <v>1</v>
      </c>
      <c r="W33" s="457"/>
      <c r="X33" s="457"/>
      <c r="Y33" s="457"/>
      <c r="Z33" s="457"/>
      <c r="AA33" s="457"/>
      <c r="AB33" s="457"/>
      <c r="AC33" s="457"/>
      <c r="AD33" s="452" t="s">
        <v>382</v>
      </c>
      <c r="AE33" s="452" t="s">
        <v>382</v>
      </c>
      <c r="AF33" s="452" t="s">
        <v>382</v>
      </c>
      <c r="AG33" s="452" t="str">
        <f t="shared" si="2"/>
        <v>チェックリスト項目</v>
      </c>
      <c r="AH33" s="452" t="s">
        <v>382</v>
      </c>
      <c r="AI33" s="421"/>
      <c r="AT33" s="366"/>
      <c r="AU33" s="366"/>
      <c r="AV33" s="366"/>
      <c r="AW33" s="366"/>
      <c r="AX33" s="366"/>
      <c r="AY33" s="366"/>
      <c r="AZ33" s="366"/>
      <c r="BA33" s="366"/>
      <c r="BB33" s="366"/>
    </row>
    <row r="34" spans="1:54" ht="63">
      <c r="A34" s="527"/>
      <c r="B34" s="268">
        <v>24</v>
      </c>
      <c r="C34" s="269" t="s">
        <v>630</v>
      </c>
      <c r="D34" s="335" t="s">
        <v>440</v>
      </c>
      <c r="E34" s="285" t="s">
        <v>441</v>
      </c>
      <c r="F34" s="300"/>
      <c r="G34" s="290"/>
      <c r="H34" s="290"/>
      <c r="I34" s="272"/>
      <c r="J34" s="272"/>
      <c r="K34" s="384" t="str">
        <f t="shared" si="1"/>
        <v/>
      </c>
      <c r="L34" s="362"/>
      <c r="M34" s="419"/>
      <c r="N34" s="446"/>
      <c r="O34" s="446"/>
      <c r="P34" s="411">
        <f>IF(オフィス評価結果!$C$90=0,"対象外",IF(オフィス評価結果!$C$90&gt;=4,3,1))</f>
        <v>1</v>
      </c>
      <c r="Q34" s="411">
        <f>IF(店舗評価結果!$C$90=0,"対象外",IF(店舗評価結果!$C$90&gt;=4,3,1))</f>
        <v>1</v>
      </c>
      <c r="R34" s="411">
        <f>IF(物流評価結果!$C$90=0,"対象外",IF(物流評価結果!$C$90&gt;=4,3,1))</f>
        <v>1</v>
      </c>
      <c r="S34" s="411">
        <f>IF(ホテル評価結果!$C$90=0,"対象外",IF(ホテル評価結果!$C$90&gt;=4,3,1))</f>
        <v>1</v>
      </c>
      <c r="T34" s="411">
        <f>IF(集合住宅評価結果!$C$90=0,"対象外",IF(集合住宅評価結果!$C$90&gt;=4,3,1))</f>
        <v>1</v>
      </c>
      <c r="U34" s="411">
        <f>IF(オフィス改修評価結果!$C$90=0,"対象外",IF(オフィス改修評価結果!$C$90&gt;=4,3,1))</f>
        <v>1</v>
      </c>
      <c r="V34" s="411">
        <f>IF(店舗改修評価結果!$C$90=0,"対象外",IF(店舗改修評価結果!$C$90&gt;=4,3,1))</f>
        <v>1</v>
      </c>
      <c r="W34" s="447"/>
      <c r="X34" s="447"/>
      <c r="Y34" s="447"/>
      <c r="Z34" s="447"/>
      <c r="AA34" s="447"/>
      <c r="AB34" s="447"/>
      <c r="AC34" s="459"/>
      <c r="AD34" s="448" t="s">
        <v>442</v>
      </c>
      <c r="AE34" s="448" t="s">
        <v>442</v>
      </c>
      <c r="AF34" s="448" t="s">
        <v>442</v>
      </c>
      <c r="AG34" s="448" t="str">
        <f t="shared" si="2"/>
        <v>4.2土壌環境品質・ブラウンフィールド再生
レベル4以上→+2
対象外の場合は分母から除外</v>
      </c>
      <c r="AH34" s="448" t="s">
        <v>442</v>
      </c>
      <c r="AI34" s="421"/>
    </row>
    <row r="35" spans="1:54" ht="84" customHeight="1">
      <c r="A35" s="527"/>
      <c r="B35" s="478">
        <v>25</v>
      </c>
      <c r="C35" s="476" t="s">
        <v>631</v>
      </c>
      <c r="D35" s="376" t="s">
        <v>443</v>
      </c>
      <c r="E35" s="378" t="s">
        <v>408</v>
      </c>
      <c r="F35" s="287"/>
      <c r="G35" s="287"/>
      <c r="H35" s="287"/>
      <c r="I35" s="311" t="s">
        <v>824</v>
      </c>
      <c r="J35" s="313"/>
      <c r="K35" s="384" t="str">
        <f t="shared" si="1"/>
        <v/>
      </c>
      <c r="L35" s="326"/>
      <c r="M35" s="419"/>
      <c r="N35" s="446"/>
      <c r="O35" s="446"/>
      <c r="P35" s="411">
        <f t="shared" ref="P35:V35" si="7">P14</f>
        <v>1</v>
      </c>
      <c r="Q35" s="411">
        <f>Q14</f>
        <v>1</v>
      </c>
      <c r="R35" s="411">
        <f t="shared" si="7"/>
        <v>1</v>
      </c>
      <c r="S35" s="411">
        <f>S14</f>
        <v>1</v>
      </c>
      <c r="T35" s="411">
        <f t="shared" si="7"/>
        <v>1</v>
      </c>
      <c r="U35" s="411">
        <f t="shared" si="7"/>
        <v>1</v>
      </c>
      <c r="V35" s="411">
        <f t="shared" si="7"/>
        <v>1</v>
      </c>
      <c r="W35" s="447"/>
      <c r="X35" s="447"/>
      <c r="Y35" s="447"/>
      <c r="Z35" s="447"/>
      <c r="AA35" s="447"/>
      <c r="AB35" s="447"/>
      <c r="AC35" s="447"/>
      <c r="AD35" s="454" t="s">
        <v>584</v>
      </c>
      <c r="AE35" s="454" t="s">
        <v>584</v>
      </c>
      <c r="AF35" s="454" t="s">
        <v>584</v>
      </c>
      <c r="AG35" s="454" t="str">
        <f t="shared" si="2"/>
        <v>3.4.3維持管理
レベル3以上→＋１
評価する取組みに施設清掃の取組み点を追加：水回りの衛生（排水口、衛生器具の清掃）→＋1加点</v>
      </c>
      <c r="AH35" s="454" t="s">
        <v>584</v>
      </c>
      <c r="AI35" s="421"/>
    </row>
    <row r="36" spans="1:54" ht="93.75" customHeight="1">
      <c r="A36" s="528"/>
      <c r="B36" s="478">
        <v>26</v>
      </c>
      <c r="C36" s="476" t="s">
        <v>632</v>
      </c>
      <c r="D36" s="376" t="s">
        <v>444</v>
      </c>
      <c r="E36" s="378" t="s">
        <v>445</v>
      </c>
      <c r="F36" s="287"/>
      <c r="G36" s="287"/>
      <c r="H36" s="287"/>
      <c r="I36" s="387" t="s">
        <v>541</v>
      </c>
      <c r="J36" s="401"/>
      <c r="K36" s="384" t="str">
        <f t="shared" si="1"/>
        <v/>
      </c>
      <c r="M36" s="419"/>
      <c r="N36" s="446" t="b">
        <v>0</v>
      </c>
      <c r="O36" s="446"/>
      <c r="P36" s="411">
        <f t="shared" ref="P36:V36" si="8">IF($N$36=TRUE,3,1)</f>
        <v>1</v>
      </c>
      <c r="Q36" s="411">
        <f t="shared" si="8"/>
        <v>1</v>
      </c>
      <c r="R36" s="411">
        <f t="shared" si="8"/>
        <v>1</v>
      </c>
      <c r="S36" s="411">
        <f t="shared" si="8"/>
        <v>1</v>
      </c>
      <c r="T36" s="411">
        <f t="shared" si="8"/>
        <v>1</v>
      </c>
      <c r="U36" s="411">
        <f t="shared" si="8"/>
        <v>1</v>
      </c>
      <c r="V36" s="411">
        <f t="shared" si="8"/>
        <v>1</v>
      </c>
      <c r="W36" s="447"/>
      <c r="X36" s="447"/>
      <c r="Y36" s="447"/>
      <c r="Z36" s="447"/>
      <c r="AA36" s="447"/>
      <c r="AB36" s="447"/>
      <c r="AC36" s="447"/>
      <c r="AD36" s="454" t="s">
        <v>719</v>
      </c>
      <c r="AE36" s="454" t="s">
        <v>719</v>
      </c>
      <c r="AF36" s="454" t="s">
        <v>719</v>
      </c>
      <c r="AG36" s="454" t="str">
        <f t="shared" si="2"/>
        <v>3.4.3維持管理
評価する取組み、3)業務手順、設備管理における業務標準手順書で加点を考慮するように修正、Ⅱ建築物衛生法以外も同様
→＋2</v>
      </c>
      <c r="AH36" s="454" t="s">
        <v>719</v>
      </c>
      <c r="AI36" s="421"/>
    </row>
    <row r="37" spans="1:54" ht="80.25" customHeight="1">
      <c r="A37" s="529" t="s">
        <v>669</v>
      </c>
      <c r="B37" s="478">
        <v>27</v>
      </c>
      <c r="C37" s="476" t="s">
        <v>633</v>
      </c>
      <c r="D37" s="339" t="s">
        <v>447</v>
      </c>
      <c r="E37" s="380" t="s">
        <v>448</v>
      </c>
      <c r="F37" s="301"/>
      <c r="G37" s="301"/>
      <c r="H37" s="301"/>
      <c r="I37" s="402"/>
      <c r="J37" s="402"/>
      <c r="K37" s="384" t="str">
        <f t="shared" si="1"/>
        <v/>
      </c>
      <c r="L37" s="324"/>
      <c r="M37" s="419"/>
      <c r="N37" s="456"/>
      <c r="O37" s="456"/>
      <c r="P37" s="416">
        <f>MIN(3,IF(オフィス評価結果!$C$30&gt;=22,3,IF(オフィス評価結果!$C$30&gt;=18,2,1))*25/30+IF(オフィス評価結果!$C$34&gt;=4,3,IF(オフィス評価結果!$C$34&gt;=3,2,1))*5/30)</f>
        <v>1.1666666666666667</v>
      </c>
      <c r="Q37" s="416">
        <f>MIN(3,IF(店舗評価結果!$C$30&gt;=22,3,IF(店舗評価結果!$C$30&gt;=18,2,1))*25/30+IF(店舗評価結果!$C$34&gt;=4,3,IF(店舗評価結果!$C$34&gt;=3,2,1))*5/30)</f>
        <v>1.1666666666666667</v>
      </c>
      <c r="R37" s="755">
        <f>MIN(3,IF(物流評価結果!$C$30+物流評価結果!$C$38&gt;=22,3,IF(物流評価結果!$C$30+物流評価結果!$C$38&gt;=18,2,1))*25/30+IF(物流評価結果!$C$34&gt;=4,3,IF(物流評価結果!$C$34&gt;=3,2,1))*5/30)</f>
        <v>2</v>
      </c>
      <c r="S37" s="416">
        <f>MIN(3,IF(ホテル評価結果!$C$30&gt;=22,3,IF(ホテル評価結果!$C$30&gt;=18,2,1))*25/30+IF(ホテル評価結果!$C$34&gt;=4,3,IF(ホテル評価結果!$C$34&gt;=3,2,1))*5/30)</f>
        <v>2</v>
      </c>
      <c r="T37" s="755">
        <f>MIN(3,IF(集合住宅評価結果!$C$30+集合住宅評価結果!$C$38&gt;=17,3,IF(集合住宅評価結果!$C$30+集合住宅評価結果!$C$38&gt;=13,2,1))*20/25+IF(集合住宅評価結果!$C$34&gt;=4,3,IF(集合住宅評価結果!$C$34&gt;=3,2,1))*5/25)</f>
        <v>2.2000000000000002</v>
      </c>
      <c r="U37" s="416">
        <f>MIN(3,IF(オフィス改修評価結果!$C$30&gt;=22,3,IF(オフィス改修評価結果!$C$30&gt;=18,2,1))*25/30+IF(オフィス改修評価結果!$C$34&gt;=4,3,IF(オフィス改修評価結果!$C$34&gt;=3,2,1))*5/30)</f>
        <v>1.1666666666666667</v>
      </c>
      <c r="V37" s="416">
        <f>MIN(3,IF(店舗改修評価結果!$C$30&gt;=22,3,IF(店舗改修評価結果!$C$30&gt;=18,2,1))*25/30+IF(店舗改修評価結果!$C$34&gt;=4,3,IF(店舗改修評価結果!$C$34&gt;=3,2,1))*5/30)</f>
        <v>1.1666666666666667</v>
      </c>
      <c r="W37" s="422" t="s">
        <v>935</v>
      </c>
      <c r="X37" s="457"/>
      <c r="Y37" s="457"/>
      <c r="Z37" s="457"/>
      <c r="AA37" s="457"/>
      <c r="AB37" s="457"/>
      <c r="AC37" s="457"/>
      <c r="AD37" s="458" t="s">
        <v>585</v>
      </c>
      <c r="AE37" s="458" t="s">
        <v>585</v>
      </c>
      <c r="AF37" s="753" t="s">
        <v>938</v>
      </c>
      <c r="AG37" s="458" t="str">
        <f t="shared" si="2"/>
        <v>1.1エネルギー使用（計算値）
→22点以上で＋2、18点以上で＋1
1.2エネルギー（実績値）
→レベル4以上で＋2、レベル3以上で＋1
1.1と1.2の得点を25：５で加重平均</v>
      </c>
      <c r="AH37" s="753" t="s">
        <v>936</v>
      </c>
      <c r="AI37" s="450"/>
    </row>
    <row r="38" spans="1:54" ht="54.75" customHeight="1">
      <c r="A38" s="530"/>
      <c r="B38" s="478">
        <v>28</v>
      </c>
      <c r="C38" s="476" t="s">
        <v>634</v>
      </c>
      <c r="D38" s="339" t="s">
        <v>825</v>
      </c>
      <c r="E38" s="380" t="s">
        <v>597</v>
      </c>
      <c r="F38" s="302"/>
      <c r="G38" s="302"/>
      <c r="H38" s="302"/>
      <c r="I38" s="402"/>
      <c r="J38" s="399"/>
      <c r="K38" s="384" t="str">
        <f t="shared" si="1"/>
        <v/>
      </c>
      <c r="L38" s="324"/>
      <c r="M38" s="419"/>
      <c r="N38" s="456"/>
      <c r="O38" s="456"/>
      <c r="P38" s="411">
        <f>(IF(オフィス評価結果!$C$30&gt;=22,2,IF(オフィス評価結果!$C$30&gt;=18,1,0)))+1</f>
        <v>1</v>
      </c>
      <c r="Q38" s="411">
        <f>(IF(店舗評価結果!$C$30&gt;=22,2,IF(店舗評価結果!$C$30&gt;=18,1,0)))+1</f>
        <v>1</v>
      </c>
      <c r="R38" s="752">
        <f>(IF(物流評価結果!$C$30+物流評価結果!$C$38&gt;=22,2,IF(物流評価結果!$C$30+物流評価結果!$C$38&gt;=18,1,0)))+1</f>
        <v>2</v>
      </c>
      <c r="S38" s="411">
        <f>(IF(ホテル評価結果!$C$30&gt;=22,2,IF(ホテル評価結果!$C$30&gt;=18,1,0)))+1</f>
        <v>2</v>
      </c>
      <c r="T38" s="752">
        <f>(IF(集合住宅評価結果!$C$30+集合住宅評価結果!$C$38&gt;=17,2,IF(集合住宅評価結果!$C$30+集合住宅評価結果!$C$38&gt;=13,1,0)))+1</f>
        <v>2</v>
      </c>
      <c r="U38" s="412">
        <f>(IF(オフィス改修評価結果!$C$30&gt;=22,2,IF(オフィス改修評価結果!$C$30&gt;=18,1,0)))+1</f>
        <v>1</v>
      </c>
      <c r="V38" s="411">
        <f>(IF(店舗改修評価結果!$C$30&gt;=22,2,IF(店舗改修評価結果!$C$30&gt;=18,1,0)))+1</f>
        <v>1</v>
      </c>
      <c r="W38" s="457"/>
      <c r="X38" s="457"/>
      <c r="Y38" s="457"/>
      <c r="Z38" s="457"/>
      <c r="AA38" s="457"/>
      <c r="AB38" s="457"/>
      <c r="AC38" s="457"/>
      <c r="AD38" s="458" t="s">
        <v>586</v>
      </c>
      <c r="AE38" s="458" t="s">
        <v>586</v>
      </c>
      <c r="AF38" s="753" t="s">
        <v>939</v>
      </c>
      <c r="AG38" s="458" t="str">
        <f t="shared" si="2"/>
        <v>1.1エネルギー使用・排出原単位(計算値)
→22点以上で＋2、18点以上で＋1</v>
      </c>
      <c r="AH38" s="753" t="s">
        <v>937</v>
      </c>
      <c r="AI38" s="450"/>
    </row>
    <row r="39" spans="1:54" ht="75" customHeight="1">
      <c r="A39" s="530"/>
      <c r="B39" s="478">
        <v>29</v>
      </c>
      <c r="C39" s="476" t="s">
        <v>449</v>
      </c>
      <c r="D39" s="339" t="s">
        <v>450</v>
      </c>
      <c r="E39" s="380" t="s">
        <v>451</v>
      </c>
      <c r="F39" s="302"/>
      <c r="G39" s="302"/>
      <c r="H39" s="302"/>
      <c r="I39" s="386" t="s">
        <v>603</v>
      </c>
      <c r="J39" s="403"/>
      <c r="K39" s="384" t="str">
        <f t="shared" si="1"/>
        <v/>
      </c>
      <c r="M39" s="419"/>
      <c r="N39" s="456" t="b">
        <v>0</v>
      </c>
      <c r="O39" s="456"/>
      <c r="P39" s="411">
        <f>MIN(3,IF(オフィス評価結果!$C$128&gt;=11,3,IF(オフィス評価結果!$C$128&gt;=6,2,1))+IF($N$39=TRUE,1,0))</f>
        <v>2</v>
      </c>
      <c r="Q39" s="411">
        <f>MIN(3,IF(店舗評価結果!$C$128&gt;=8,3,IF(店舗評価結果!$C$128&gt;=5,2,1))+IF(N39=TRUE,1,0))</f>
        <v>3</v>
      </c>
      <c r="R39" s="411">
        <f>MIN(3,IF(物流評価結果!$C$128&gt;=11,3,IF(物流評価結果!$C$128&gt;=6,2,1))+IF($N$39=TRUE,1,0))</f>
        <v>2</v>
      </c>
      <c r="S39" s="411">
        <f>MIN(3,IF(ホテル評価結果!$C$128&gt;=11,3,IF(ホテル評価結果!$C$128&gt;=6,2,1))+IF($N$39=TRUE,1,0))</f>
        <v>2</v>
      </c>
      <c r="T39" s="752">
        <f>MIN(3,IF(集合住宅評価結果!C108+集合住宅評価結果!C113+集合住宅評価結果!C115&gt;=7,3,IF(集合住宅評価結果!C108+集合住宅評価結果!C113+集合住宅評価結果!C115&gt;=4,2,1))+IF($N$39=TRUE,1,0))</f>
        <v>2</v>
      </c>
      <c r="U39" s="752">
        <f>MIN(3,IF(オフィス改修評価結果!C107+オフィス改修評価結果!C112+オフィス改修評価結果!C114&gt;=7,3,IF(オフィス改修評価結果!C107+オフィス改修評価結果!C112+オフィス改修評価結果!C114&gt;=4,2,1))+IF($N$39=TRUE,1,0))</f>
        <v>3</v>
      </c>
      <c r="V39" s="752">
        <f>MIN(3,IF(店舗改修評価結果!C107+店舗改修評価結果!C112+店舗改修評価結果!C114&gt;=6,3,IF(店舗改修評価結果!C107+店舗改修評価結果!C112+店舗改修評価結果!C114&gt;=3,2,1))+IF($N$39=TRUE,1,0))</f>
        <v>3</v>
      </c>
      <c r="W39" s="457"/>
      <c r="X39" s="457"/>
      <c r="Y39" s="457"/>
      <c r="Z39" s="457"/>
      <c r="AA39" s="457"/>
      <c r="AB39" s="457"/>
      <c r="AC39" s="457"/>
      <c r="AD39" s="753" t="s">
        <v>931</v>
      </c>
      <c r="AE39" s="753" t="s">
        <v>932</v>
      </c>
      <c r="AF39" s="458" t="s">
        <v>928</v>
      </c>
      <c r="AG39" s="458" t="s">
        <v>929</v>
      </c>
      <c r="AH39" s="753" t="s">
        <v>930</v>
      </c>
      <c r="AI39" s="450"/>
    </row>
    <row r="40" spans="1:54" ht="154.5" customHeight="1">
      <c r="A40" s="530"/>
      <c r="B40" s="478">
        <v>30</v>
      </c>
      <c r="C40" s="476" t="s">
        <v>452</v>
      </c>
      <c r="D40" s="339" t="s">
        <v>749</v>
      </c>
      <c r="E40" s="380" t="s">
        <v>747</v>
      </c>
      <c r="F40" s="532"/>
      <c r="G40" s="532"/>
      <c r="H40" s="532"/>
      <c r="I40" s="386" t="s">
        <v>603</v>
      </c>
      <c r="J40" s="403"/>
      <c r="K40" s="384" t="str">
        <f t="shared" si="1"/>
        <v/>
      </c>
      <c r="M40" s="419">
        <v>1</v>
      </c>
      <c r="N40" s="456" t="b">
        <v>0</v>
      </c>
      <c r="O40" s="456">
        <f>IF(N40=FALSE,M40,IF(M40=1,2,3))</f>
        <v>1</v>
      </c>
      <c r="P40" s="411">
        <f t="shared" ref="P40:V40" si="9">$O$40</f>
        <v>1</v>
      </c>
      <c r="Q40" s="411">
        <f t="shared" si="9"/>
        <v>1</v>
      </c>
      <c r="R40" s="411">
        <f t="shared" si="9"/>
        <v>1</v>
      </c>
      <c r="S40" s="411">
        <f t="shared" si="9"/>
        <v>1</v>
      </c>
      <c r="T40" s="411">
        <f t="shared" si="9"/>
        <v>1</v>
      </c>
      <c r="U40" s="411">
        <f t="shared" si="9"/>
        <v>1</v>
      </c>
      <c r="V40" s="411">
        <f t="shared" si="9"/>
        <v>1</v>
      </c>
      <c r="W40" s="457"/>
      <c r="X40" s="457"/>
      <c r="Y40" s="457"/>
      <c r="Z40" s="457"/>
      <c r="AA40" s="457"/>
      <c r="AB40" s="457"/>
      <c r="AC40" s="457"/>
      <c r="AD40" s="448" t="s">
        <v>453</v>
      </c>
      <c r="AE40" s="448" t="s">
        <v>453</v>
      </c>
      <c r="AF40" s="448" t="s">
        <v>453</v>
      </c>
      <c r="AG40" s="448" t="str">
        <f t="shared" si="2"/>
        <v>1.4自然エネルギー
レベル3→+1
レベル4,5→+2</v>
      </c>
      <c r="AH40" s="448" t="s">
        <v>587</v>
      </c>
      <c r="AI40" s="421"/>
    </row>
    <row r="41" spans="1:54" ht="121.5" customHeight="1">
      <c r="A41" s="530"/>
      <c r="B41" s="478">
        <v>31</v>
      </c>
      <c r="C41" s="476" t="s">
        <v>776</v>
      </c>
      <c r="D41" s="339" t="s">
        <v>748</v>
      </c>
      <c r="E41" s="380" t="s">
        <v>746</v>
      </c>
      <c r="F41" s="532"/>
      <c r="G41" s="532"/>
      <c r="H41" s="532"/>
      <c r="I41" s="386" t="s">
        <v>603</v>
      </c>
      <c r="J41" s="403"/>
      <c r="K41" s="384" t="str">
        <f t="shared" si="1"/>
        <v/>
      </c>
      <c r="M41" s="419">
        <v>1</v>
      </c>
      <c r="N41" s="456" t="b">
        <v>0</v>
      </c>
      <c r="O41" s="456">
        <f>IF(N41=FALSE,M41,IF(M41=1,2,3))</f>
        <v>1</v>
      </c>
      <c r="P41" s="411">
        <f t="shared" ref="P41:V41" si="10">$O$41</f>
        <v>1</v>
      </c>
      <c r="Q41" s="411">
        <f t="shared" si="10"/>
        <v>1</v>
      </c>
      <c r="R41" s="411">
        <f t="shared" si="10"/>
        <v>1</v>
      </c>
      <c r="S41" s="411">
        <f t="shared" si="10"/>
        <v>1</v>
      </c>
      <c r="T41" s="411">
        <f t="shared" si="10"/>
        <v>1</v>
      </c>
      <c r="U41" s="411">
        <f t="shared" si="10"/>
        <v>1</v>
      </c>
      <c r="V41" s="411">
        <f t="shared" si="10"/>
        <v>1</v>
      </c>
      <c r="W41" s="457"/>
      <c r="X41" s="457"/>
      <c r="Y41" s="457"/>
      <c r="Z41" s="457"/>
      <c r="AA41" s="457"/>
      <c r="AB41" s="457"/>
      <c r="AC41" s="457"/>
      <c r="AD41" s="448"/>
      <c r="AE41" s="448"/>
      <c r="AF41" s="448"/>
      <c r="AG41" s="448">
        <f t="shared" si="2"/>
        <v>0</v>
      </c>
      <c r="AH41" s="448"/>
      <c r="AI41" s="421"/>
    </row>
    <row r="42" spans="1:54" ht="101.25" customHeight="1">
      <c r="A42" s="530"/>
      <c r="B42" s="478">
        <v>32</v>
      </c>
      <c r="C42" s="476" t="s">
        <v>777</v>
      </c>
      <c r="D42" s="339" t="s">
        <v>454</v>
      </c>
      <c r="E42" s="380" t="s">
        <v>752</v>
      </c>
      <c r="F42" s="301"/>
      <c r="G42" s="301"/>
      <c r="H42" s="301"/>
      <c r="I42" s="399" t="s">
        <v>542</v>
      </c>
      <c r="J42" s="401"/>
      <c r="K42" s="384" t="str">
        <f t="shared" si="1"/>
        <v/>
      </c>
      <c r="M42" s="419"/>
      <c r="N42" s="456" t="b">
        <v>0</v>
      </c>
      <c r="O42" s="456"/>
      <c r="P42" s="411">
        <f t="shared" ref="P42:V42" si="11">IF($N$42=TRUE,3,1)</f>
        <v>1</v>
      </c>
      <c r="Q42" s="411">
        <f t="shared" si="11"/>
        <v>1</v>
      </c>
      <c r="R42" s="411">
        <f t="shared" si="11"/>
        <v>1</v>
      </c>
      <c r="S42" s="411">
        <f t="shared" si="11"/>
        <v>1</v>
      </c>
      <c r="T42" s="411">
        <f t="shared" si="11"/>
        <v>1</v>
      </c>
      <c r="U42" s="411">
        <f t="shared" si="11"/>
        <v>1</v>
      </c>
      <c r="V42" s="411">
        <f t="shared" si="11"/>
        <v>1</v>
      </c>
      <c r="W42" s="457"/>
      <c r="X42" s="457"/>
      <c r="Y42" s="457"/>
      <c r="Z42" s="457"/>
      <c r="AA42" s="457"/>
      <c r="AB42" s="457"/>
      <c r="AC42" s="457"/>
      <c r="AD42" s="454" t="s">
        <v>598</v>
      </c>
      <c r="AE42" s="454" t="s">
        <v>598</v>
      </c>
      <c r="AF42" s="454" t="s">
        <v>598</v>
      </c>
      <c r="AG42" s="454" t="str">
        <f t="shared" si="2"/>
        <v>1エネルギー【必須】
②エネルギー消費量の目標設定
③モニタリングの実施
④運用管理体制の構築
の確認→+2</v>
      </c>
      <c r="AH42" s="454" t="s">
        <v>598</v>
      </c>
      <c r="AI42" s="421"/>
    </row>
    <row r="43" spans="1:54" ht="73.5" customHeight="1">
      <c r="A43" s="530"/>
      <c r="B43" s="478">
        <v>33</v>
      </c>
      <c r="C43" s="476" t="s">
        <v>778</v>
      </c>
      <c r="D43" s="339" t="s">
        <v>457</v>
      </c>
      <c r="E43" s="380" t="s">
        <v>599</v>
      </c>
      <c r="F43" s="302"/>
      <c r="G43" s="302"/>
      <c r="H43" s="302"/>
      <c r="I43" s="399"/>
      <c r="J43" s="399"/>
      <c r="K43" s="384" t="str">
        <f t="shared" si="1"/>
        <v/>
      </c>
      <c r="L43" s="324"/>
      <c r="M43" s="419"/>
      <c r="N43" s="456"/>
      <c r="O43" s="456"/>
      <c r="P43" s="411">
        <f>(IF(オフィス評価結果!$C$76&gt;=3,2,IF(オフィス評価結果!$C$76&gt;=2,1,0)))+1</f>
        <v>3</v>
      </c>
      <c r="Q43" s="411">
        <f>(IF(店舗評価結果!$C$76&gt;=3,2,IF(店舗評価結果!$C$76&gt;=2,1,0)))+1</f>
        <v>3</v>
      </c>
      <c r="R43" s="411">
        <f>(IF(物流評価結果!$C$76&gt;=3,2,IF(物流評価結果!$C$76&gt;=2,1,0)))+1</f>
        <v>3</v>
      </c>
      <c r="S43" s="411">
        <f>(IF(ホテル評価結果!$C$76&gt;=3,2,IF(ホテル評価結果!$C$76&gt;=2,1,0)))+1</f>
        <v>3</v>
      </c>
      <c r="T43" s="411">
        <f>(IF(集合住宅評価結果!$C$76&gt;=3,2,IF(集合住宅評価結果!$C$76&gt;=2,1,0)))+1</f>
        <v>1</v>
      </c>
      <c r="U43" s="411">
        <f>(IF(オフィス改修評価結果!$C$76&gt;=3,2,IF(オフィス改修評価結果!$C$76&gt;=2,1,0)))+1</f>
        <v>3</v>
      </c>
      <c r="V43" s="411">
        <f>(IF(店舗改修評価結果!$C$76&gt;=3,2,IF(店舗改修評価結果!$C$76&gt;=2,1,0)))+1</f>
        <v>3</v>
      </c>
      <c r="W43" s="457"/>
      <c r="X43" s="457"/>
      <c r="Y43" s="457"/>
      <c r="Z43" s="457"/>
      <c r="AA43" s="457"/>
      <c r="AB43" s="457"/>
      <c r="AC43" s="457"/>
      <c r="AD43" s="448" t="s">
        <v>458</v>
      </c>
      <c r="AE43" s="448" t="s">
        <v>458</v>
      </c>
      <c r="AF43" s="448" t="s">
        <v>458</v>
      </c>
      <c r="AG43" s="448" t="str">
        <f t="shared" si="2"/>
        <v>3.4.2設備(電力等)の自給率向上
レベル2→+1
レベル3～5→+2</v>
      </c>
      <c r="AH43" s="458" t="s">
        <v>458</v>
      </c>
      <c r="AI43" s="421"/>
    </row>
    <row r="44" spans="1:54" ht="73.5" customHeight="1">
      <c r="A44" s="530"/>
      <c r="B44" s="478">
        <v>34</v>
      </c>
      <c r="C44" s="476" t="s">
        <v>779</v>
      </c>
      <c r="D44" s="339" t="s">
        <v>750</v>
      </c>
      <c r="E44" s="380" t="s">
        <v>751</v>
      </c>
      <c r="F44" s="328"/>
      <c r="G44" s="302"/>
      <c r="H44" s="328"/>
      <c r="I44" s="399"/>
      <c r="J44" s="533"/>
      <c r="K44" s="384" t="str">
        <f t="shared" si="1"/>
        <v/>
      </c>
      <c r="L44" s="324"/>
      <c r="M44" s="419">
        <v>1</v>
      </c>
      <c r="N44" s="456"/>
      <c r="O44" s="419">
        <f>IF(N44=FALSE,IF(M44=1,1,3),IF(M44=1,2,3))</f>
        <v>1</v>
      </c>
      <c r="P44" s="411">
        <f>$O$44</f>
        <v>1</v>
      </c>
      <c r="Q44" s="411">
        <f>$O$44</f>
        <v>1</v>
      </c>
      <c r="R44" s="411">
        <f>$O$44</f>
        <v>1</v>
      </c>
      <c r="S44" s="411">
        <f>$O$44</f>
        <v>1</v>
      </c>
      <c r="T44" s="414" t="s">
        <v>579</v>
      </c>
      <c r="U44" s="411">
        <f>$O$44</f>
        <v>1</v>
      </c>
      <c r="V44" s="411">
        <f>$O$44</f>
        <v>1</v>
      </c>
      <c r="W44" s="457"/>
      <c r="X44" s="457"/>
      <c r="Y44" s="457"/>
      <c r="Z44" s="457"/>
      <c r="AA44" s="457"/>
      <c r="AB44" s="457"/>
      <c r="AC44" s="457"/>
      <c r="AD44" s="448"/>
      <c r="AE44" s="448"/>
      <c r="AF44" s="448"/>
      <c r="AG44" s="448">
        <f t="shared" si="2"/>
        <v>0</v>
      </c>
      <c r="AH44" s="458"/>
      <c r="AI44" s="421"/>
    </row>
    <row r="45" spans="1:54" ht="78.75" customHeight="1">
      <c r="A45" s="531"/>
      <c r="B45" s="478">
        <v>35</v>
      </c>
      <c r="C45" s="476" t="s">
        <v>780</v>
      </c>
      <c r="D45" s="339" t="s">
        <v>826</v>
      </c>
      <c r="E45" s="380" t="s">
        <v>459</v>
      </c>
      <c r="F45" s="302"/>
      <c r="G45" s="302"/>
      <c r="H45" s="302"/>
      <c r="I45" s="386" t="s">
        <v>603</v>
      </c>
      <c r="J45" s="403"/>
      <c r="K45" s="384" t="str">
        <f t="shared" si="1"/>
        <v/>
      </c>
      <c r="M45" s="419"/>
      <c r="N45" s="456" t="b">
        <v>0</v>
      </c>
      <c r="O45" s="456"/>
      <c r="P45" s="416">
        <f>MIN(3,IF(AND(オフィス評価結果!$L$33&gt;0,オフィス評価結果!$L$37&gt;0),P37,1)+IF($N$45=TRUE,1,0))</f>
        <v>1</v>
      </c>
      <c r="Q45" s="416">
        <f>MIN(3,IF(AND(店舗評価結果!$L$33&gt;0,店舗評価結果!$L$37&gt;0),Q37,1)+IF($N$45=TRUE,1,0))</f>
        <v>1</v>
      </c>
      <c r="R45" s="416">
        <f>MIN(3,IF(物流評価結果!$L$33&gt;0,R37,1)+IF($N$45=TRUE,1,0))</f>
        <v>1</v>
      </c>
      <c r="S45" s="416">
        <f>MIN(3,IF(AND(ホテル評価結果!$L$33&gt;0,ホテル評価結果!$L$37&gt;0),S37,1)+IF($N$45=TRUE,1,0))</f>
        <v>1</v>
      </c>
      <c r="T45" s="416">
        <f>MIN(3,IF(AND(集合住宅評価結果!$L$33&gt;0,集合住宅評価結果!$L$37&gt;0),T37,1)+IF($N$45=TRUE,1,0))</f>
        <v>1</v>
      </c>
      <c r="U45" s="416">
        <f>MIN(3,IF(AND(オフィス改修評価結果!$L$33&gt;0,オフィス改修評価結果!$L$37&gt;0),U37,1)+IF($N$45=TRUE,1,0))</f>
        <v>1</v>
      </c>
      <c r="V45" s="416">
        <f>MIN(3,IF(AND(店舗改修評価結果!$L$33&gt;0,店舗改修評価結果!$L$37&gt;0),V37,1)+IF($N$45=TRUE,1,0))</f>
        <v>1</v>
      </c>
      <c r="W45" s="422" t="s">
        <v>619</v>
      </c>
      <c r="X45" s="457"/>
      <c r="Y45" s="457"/>
      <c r="Z45" s="457"/>
      <c r="AA45" s="457"/>
      <c r="AB45" s="457"/>
      <c r="AC45" s="457"/>
      <c r="AD45" s="448" t="s">
        <v>588</v>
      </c>
      <c r="AE45" s="448" t="s">
        <v>588</v>
      </c>
      <c r="AF45" s="458" t="s">
        <v>589</v>
      </c>
      <c r="AG45" s="448" t="str">
        <f>AD45</f>
        <v>1.1.エネルギー使用（計算値）と1.2.エネルギー使用（実績値）のCO2排出欄の記載がある場合に、7-1の点数で評価</v>
      </c>
      <c r="AH45" s="448" t="s">
        <v>588</v>
      </c>
      <c r="AI45" s="450"/>
    </row>
    <row r="46" spans="1:54" ht="154.5" customHeight="1">
      <c r="A46" s="534" t="s">
        <v>670</v>
      </c>
      <c r="B46" s="478">
        <v>36</v>
      </c>
      <c r="C46" s="476" t="s">
        <v>635</v>
      </c>
      <c r="D46" s="376" t="s">
        <v>466</v>
      </c>
      <c r="E46" s="380" t="s">
        <v>709</v>
      </c>
      <c r="F46" s="391"/>
      <c r="G46" s="387"/>
      <c r="H46" s="387"/>
      <c r="I46" s="386" t="s">
        <v>603</v>
      </c>
      <c r="J46" s="404"/>
      <c r="K46" s="384" t="str">
        <f t="shared" si="1"/>
        <v/>
      </c>
      <c r="L46" s="363"/>
      <c r="M46" s="419">
        <v>1</v>
      </c>
      <c r="N46" s="456" t="b">
        <v>0</v>
      </c>
      <c r="O46" s="419">
        <f>IF(N46=FALSE,M46,IF(M46=1,2,3))</f>
        <v>1</v>
      </c>
      <c r="P46" s="411">
        <f>$O$46</f>
        <v>1</v>
      </c>
      <c r="Q46" s="414" t="s">
        <v>579</v>
      </c>
      <c r="R46" s="414" t="s">
        <v>579</v>
      </c>
      <c r="S46" s="414" t="s">
        <v>579</v>
      </c>
      <c r="T46" s="414" t="s">
        <v>579</v>
      </c>
      <c r="U46" s="411">
        <f>$O$46</f>
        <v>1</v>
      </c>
      <c r="V46" s="414" t="s">
        <v>579</v>
      </c>
      <c r="W46" s="457"/>
      <c r="X46" s="457"/>
      <c r="Y46" s="457"/>
      <c r="Z46" s="457"/>
      <c r="AA46" s="457"/>
      <c r="AB46" s="457"/>
      <c r="AC46" s="457"/>
      <c r="AD46" s="452" t="s">
        <v>382</v>
      </c>
      <c r="AE46" s="448" t="s">
        <v>467</v>
      </c>
      <c r="AF46" s="448" t="s">
        <v>467</v>
      </c>
      <c r="AG46" s="448" t="s">
        <v>467</v>
      </c>
      <c r="AH46" s="448" t="s">
        <v>467</v>
      </c>
      <c r="AI46" s="421"/>
    </row>
    <row r="47" spans="1:54" ht="63" customHeight="1">
      <c r="A47" s="535"/>
      <c r="B47" s="478">
        <v>37</v>
      </c>
      <c r="C47" s="476" t="s">
        <v>636</v>
      </c>
      <c r="D47" s="335" t="s">
        <v>717</v>
      </c>
      <c r="E47" s="378" t="s">
        <v>393</v>
      </c>
      <c r="F47" s="287"/>
      <c r="G47" s="287"/>
      <c r="H47" s="287"/>
      <c r="I47" s="407"/>
      <c r="J47" s="407"/>
      <c r="K47" s="384" t="str">
        <f t="shared" si="1"/>
        <v/>
      </c>
      <c r="L47" s="326"/>
      <c r="M47" s="419"/>
      <c r="N47" s="446"/>
      <c r="O47" s="446"/>
      <c r="P47" s="411">
        <f>IF(オフィス評価結果!$C$104="適合",3,1)</f>
        <v>1</v>
      </c>
      <c r="Q47" s="411">
        <f>IF(店舗評価結果!$C$104="適合",3,1)</f>
        <v>1</v>
      </c>
      <c r="R47" s="411">
        <f>IF(物流評価結果!$C$104="適合",3,1)</f>
        <v>1</v>
      </c>
      <c r="S47" s="411">
        <f>IF(ホテル評価結果!$C$104="適合",3,1)</f>
        <v>1</v>
      </c>
      <c r="T47" s="411">
        <f>IF(集合住宅評価結果!$C$104="適合",3,1)</f>
        <v>1</v>
      </c>
      <c r="U47" s="412">
        <f>IF(オフィス改修評価結果!$C$104="適合",3,1)</f>
        <v>1</v>
      </c>
      <c r="V47" s="411">
        <f>IF(店舗改修評価結果!$C$104="適合",3,1)</f>
        <v>1</v>
      </c>
      <c r="W47" s="447"/>
      <c r="X47" s="447"/>
      <c r="Y47" s="447"/>
      <c r="Z47" s="447"/>
      <c r="AA47" s="447"/>
      <c r="AB47" s="447"/>
      <c r="AC47" s="447"/>
      <c r="AD47" s="448" t="s">
        <v>394</v>
      </c>
      <c r="AE47" s="448" t="s">
        <v>394</v>
      </c>
      <c r="AF47" s="448" t="s">
        <v>394</v>
      </c>
      <c r="AG47" s="448" t="str">
        <f t="shared" si="2"/>
        <v>5. 屋内環境(必須項目)
①または②に適合→+2</v>
      </c>
      <c r="AH47" s="448" t="s">
        <v>559</v>
      </c>
      <c r="AI47" s="421"/>
    </row>
    <row r="48" spans="1:54" ht="57" customHeight="1">
      <c r="A48" s="535"/>
      <c r="B48" s="478">
        <v>38</v>
      </c>
      <c r="C48" s="476" t="s">
        <v>781</v>
      </c>
      <c r="D48" s="335" t="s">
        <v>718</v>
      </c>
      <c r="E48" s="378" t="s">
        <v>396</v>
      </c>
      <c r="F48" s="287"/>
      <c r="G48" s="287"/>
      <c r="H48" s="287"/>
      <c r="I48" s="407"/>
      <c r="J48" s="407"/>
      <c r="K48" s="384" t="str">
        <f t="shared" si="1"/>
        <v/>
      </c>
      <c r="L48" s="326"/>
      <c r="M48" s="419"/>
      <c r="N48" s="446"/>
      <c r="O48" s="446"/>
      <c r="P48" s="411">
        <f>(IF(オフィス評価結果!$C$108&gt;=4,1,0)+IF(オフィス評価結果!$C$110&gt;=4,1,0))+1</f>
        <v>1</v>
      </c>
      <c r="Q48" s="411">
        <f>(IF(店舗評価結果!$C$108&gt;=4,1,0)+IF(店舗評価結果!$C$110&gt;=4,1,0))+1</f>
        <v>1</v>
      </c>
      <c r="R48" s="411">
        <f>(IF(物流評価結果!$C$108&gt;=4,1,0)+IF(物流評価結果!$C$110&gt;=4,1,0))+1</f>
        <v>1</v>
      </c>
      <c r="S48" s="411">
        <f>(IF(ホテル評価結果!$C$108&gt;=4,1,0)+IF(ホテル評価結果!$C$110&gt;=4,1,0))+1</f>
        <v>1</v>
      </c>
      <c r="T48" s="411">
        <f>(IF(集合住宅評価結果!$C$109&gt;=2,1,0)+IF(集合住宅評価結果!$C$111&gt;=3,1,0))+1</f>
        <v>2</v>
      </c>
      <c r="U48" s="411">
        <f>(IF(オフィス改修評価結果!$C$108&gt;=4,1,0)+IF(オフィス改修評価結果!$C$110&gt;=4,1,0))+1</f>
        <v>1</v>
      </c>
      <c r="V48" s="411">
        <f>(IF(店舗改修評価結果!$C$108&gt;=4,1,0)+IF(店舗改修評価結果!$C$110&gt;=4,1,0))+1</f>
        <v>1</v>
      </c>
      <c r="W48" s="447"/>
      <c r="X48" s="447"/>
      <c r="Y48" s="447"/>
      <c r="Z48" s="447"/>
      <c r="AA48" s="447"/>
      <c r="AB48" s="447"/>
      <c r="AC48" s="447"/>
      <c r="AD48" s="448" t="s">
        <v>460</v>
      </c>
      <c r="AE48" s="448" t="s">
        <v>460</v>
      </c>
      <c r="AF48" s="448" t="s">
        <v>460</v>
      </c>
      <c r="AG48" s="448" t="str">
        <f t="shared" si="2"/>
        <v>5.1.1自然採光　レベル4以上→+1
5.1.2昼光利用設備　レベル4以上→+1</v>
      </c>
      <c r="AH48" s="448" t="s">
        <v>461</v>
      </c>
      <c r="AI48" s="421"/>
    </row>
    <row r="49" spans="1:35" ht="58.5" customHeight="1">
      <c r="A49" s="535"/>
      <c r="B49" s="478">
        <v>39</v>
      </c>
      <c r="C49" s="476" t="s">
        <v>782</v>
      </c>
      <c r="D49" s="335" t="s">
        <v>462</v>
      </c>
      <c r="E49" s="378" t="s">
        <v>400</v>
      </c>
      <c r="F49" s="287"/>
      <c r="G49" s="287"/>
      <c r="H49" s="287"/>
      <c r="I49" s="407"/>
      <c r="J49" s="407"/>
      <c r="K49" s="384" t="str">
        <f t="shared" si="1"/>
        <v/>
      </c>
      <c r="L49" s="326"/>
      <c r="M49" s="419"/>
      <c r="N49" s="446"/>
      <c r="O49" s="446"/>
      <c r="P49" s="411">
        <f>IF(オフィス評価結果!$C$104="適合",3,1)</f>
        <v>1</v>
      </c>
      <c r="Q49" s="411">
        <f>IF(店舗評価結果!$C$104="適合",3,1)</f>
        <v>1</v>
      </c>
      <c r="R49" s="411">
        <f>IF(物流評価結果!$C$104="適合",3,1)</f>
        <v>1</v>
      </c>
      <c r="S49" s="411">
        <f>IF(ホテル評価結果!$C$104="適合",3,1)</f>
        <v>1</v>
      </c>
      <c r="T49" s="411">
        <f>IF(集合住宅評価結果!$C$104="適合",3,1)</f>
        <v>1</v>
      </c>
      <c r="U49" s="412">
        <f>IF(オフィス改修評価結果!$C$104="適合",3,1)</f>
        <v>1</v>
      </c>
      <c r="V49" s="411">
        <f>IF(店舗改修評価結果!$C$104="適合",3,1)</f>
        <v>1</v>
      </c>
      <c r="W49" s="447"/>
      <c r="X49" s="447"/>
      <c r="Y49" s="447"/>
      <c r="Z49" s="447"/>
      <c r="AA49" s="447"/>
      <c r="AB49" s="447"/>
      <c r="AC49" s="447"/>
      <c r="AD49" s="448" t="s">
        <v>394</v>
      </c>
      <c r="AE49" s="448" t="s">
        <v>394</v>
      </c>
      <c r="AF49" s="448" t="s">
        <v>394</v>
      </c>
      <c r="AG49" s="448" t="str">
        <f t="shared" si="2"/>
        <v>5. 屋内環境(必須項目)
①または②に適合→+2</v>
      </c>
      <c r="AH49" s="448" t="s">
        <v>559</v>
      </c>
      <c r="AI49" s="421"/>
    </row>
    <row r="50" spans="1:35" ht="57.75" customHeight="1">
      <c r="A50" s="535"/>
      <c r="B50" s="478">
        <v>40</v>
      </c>
      <c r="C50" s="476" t="s">
        <v>783</v>
      </c>
      <c r="D50" s="335" t="s">
        <v>463</v>
      </c>
      <c r="E50" s="378" t="s">
        <v>404</v>
      </c>
      <c r="F50" s="287"/>
      <c r="G50" s="287"/>
      <c r="H50" s="287"/>
      <c r="I50" s="407"/>
      <c r="J50" s="407"/>
      <c r="K50" s="384" t="str">
        <f t="shared" si="1"/>
        <v/>
      </c>
      <c r="L50" s="326"/>
      <c r="M50" s="419"/>
      <c r="N50" s="446"/>
      <c r="O50" s="446"/>
      <c r="P50" s="411">
        <f>IF(オフィス評価結果!$C$104="適合",3,1)</f>
        <v>1</v>
      </c>
      <c r="Q50" s="411">
        <f>IF(店舗評価結果!$C$104="適合",3,1)</f>
        <v>1</v>
      </c>
      <c r="R50" s="411">
        <f>IF(物流評価結果!$C$104="適合",3,1)</f>
        <v>1</v>
      </c>
      <c r="S50" s="411">
        <f>IF(ホテル評価結果!$C$104="適合",3,1)</f>
        <v>1</v>
      </c>
      <c r="T50" s="752">
        <f>IF(集合住宅評価結果!C122&gt;=2,3,1)</f>
        <v>1</v>
      </c>
      <c r="U50" s="412">
        <f>IF(オフィス改修評価結果!$C$104="適合",3,1)</f>
        <v>1</v>
      </c>
      <c r="V50" s="411">
        <f>IF(店舗改修評価結果!$C$104="適合",3,1)</f>
        <v>1</v>
      </c>
      <c r="W50" s="447"/>
      <c r="X50" s="447"/>
      <c r="Y50" s="447"/>
      <c r="Z50" s="447"/>
      <c r="AA50" s="447"/>
      <c r="AB50" s="447"/>
      <c r="AC50" s="447"/>
      <c r="AD50" s="448" t="s">
        <v>394</v>
      </c>
      <c r="AE50" s="448" t="s">
        <v>394</v>
      </c>
      <c r="AF50" s="448" t="s">
        <v>394</v>
      </c>
      <c r="AG50" s="448" t="str">
        <f t="shared" si="2"/>
        <v>5. 屋内環境(必須項目)
①または②に適合→+2</v>
      </c>
      <c r="AH50" s="458" t="s">
        <v>607</v>
      </c>
      <c r="AI50" s="450"/>
    </row>
    <row r="51" spans="1:35" ht="31.5" customHeight="1">
      <c r="A51" s="535"/>
      <c r="B51" s="271">
        <v>41</v>
      </c>
      <c r="C51" s="269" t="s">
        <v>784</v>
      </c>
      <c r="D51" s="335" t="s">
        <v>409</v>
      </c>
      <c r="E51" s="375" t="s">
        <v>410</v>
      </c>
      <c r="F51" s="303"/>
      <c r="G51" s="303"/>
      <c r="H51" s="303"/>
      <c r="I51" s="286"/>
      <c r="J51" s="286"/>
      <c r="K51" s="384" t="str">
        <f t="shared" si="1"/>
        <v/>
      </c>
      <c r="L51" s="362"/>
      <c r="M51" s="419"/>
      <c r="N51" s="446"/>
      <c r="O51" s="446"/>
      <c r="P51" s="414" t="s">
        <v>579</v>
      </c>
      <c r="Q51" s="414" t="s">
        <v>579</v>
      </c>
      <c r="R51" s="414" t="s">
        <v>579</v>
      </c>
      <c r="S51" s="414" t="s">
        <v>579</v>
      </c>
      <c r="T51" s="752">
        <f>IF(集合住宅評価結果!C124&gt;=2,3,1)</f>
        <v>1</v>
      </c>
      <c r="U51" s="414" t="s">
        <v>579</v>
      </c>
      <c r="V51" s="414" t="s">
        <v>579</v>
      </c>
      <c r="W51" s="447"/>
      <c r="X51" s="447"/>
      <c r="Y51" s="447"/>
      <c r="Z51" s="447"/>
      <c r="AA51" s="447"/>
      <c r="AB51" s="447"/>
      <c r="AC51" s="459"/>
      <c r="AD51" s="555" t="s">
        <v>464</v>
      </c>
      <c r="AE51" s="467" t="s">
        <v>464</v>
      </c>
      <c r="AF51" s="467" t="s">
        <v>464</v>
      </c>
      <c r="AG51" s="555" t="str">
        <f t="shared" si="2"/>
        <v>(対象外)</v>
      </c>
      <c r="AH51" s="448" t="s">
        <v>412</v>
      </c>
      <c r="AI51" s="421"/>
    </row>
    <row r="52" spans="1:35" ht="113.25" customHeight="1">
      <c r="A52" s="535"/>
      <c r="B52" s="478">
        <v>42</v>
      </c>
      <c r="C52" s="476" t="s">
        <v>465</v>
      </c>
      <c r="D52" s="339" t="s">
        <v>610</v>
      </c>
      <c r="E52" s="380" t="s">
        <v>609</v>
      </c>
      <c r="F52" s="302"/>
      <c r="G52" s="302"/>
      <c r="H52" s="302"/>
      <c r="I52" s="399" t="s">
        <v>590</v>
      </c>
      <c r="J52" s="389"/>
      <c r="K52" s="384" t="str">
        <f t="shared" si="1"/>
        <v/>
      </c>
      <c r="M52" s="419"/>
      <c r="N52" s="456" t="b">
        <v>0</v>
      </c>
      <c r="O52" s="456"/>
      <c r="P52" s="411">
        <f t="shared" ref="P52:V52" si="12">IF($N$52=TRUE,2,1)</f>
        <v>1</v>
      </c>
      <c r="Q52" s="411">
        <f t="shared" si="12"/>
        <v>1</v>
      </c>
      <c r="R52" s="411">
        <f t="shared" si="12"/>
        <v>1</v>
      </c>
      <c r="S52" s="411">
        <f t="shared" si="12"/>
        <v>1</v>
      </c>
      <c r="T52" s="411">
        <f t="shared" si="12"/>
        <v>1</v>
      </c>
      <c r="U52" s="411">
        <f t="shared" si="12"/>
        <v>1</v>
      </c>
      <c r="V52" s="411">
        <f t="shared" si="12"/>
        <v>1</v>
      </c>
      <c r="W52" s="457"/>
      <c r="X52" s="457"/>
      <c r="Y52" s="457"/>
      <c r="Z52" s="457"/>
      <c r="AA52" s="457"/>
      <c r="AB52" s="457"/>
      <c r="AC52" s="457"/>
      <c r="AD52" s="454" t="s">
        <v>591</v>
      </c>
      <c r="AE52" s="454" t="s">
        <v>591</v>
      </c>
      <c r="AF52" s="454" t="s">
        <v>591</v>
      </c>
      <c r="AG52" s="454" t="str">
        <f t="shared" si="2"/>
        <v>3.2.1再生材利用率・地域材・木材利用
①躯体材料におけるリサイクル材の使用
既存建築躯体を含める評価基準の修正
→既存建築躯体を使用している場合＋１</v>
      </c>
      <c r="AH52" s="454" t="s">
        <v>591</v>
      </c>
      <c r="AI52" s="450"/>
    </row>
    <row r="53" spans="1:35" ht="66.75" customHeight="1">
      <c r="A53" s="535"/>
      <c r="B53" s="478">
        <v>43</v>
      </c>
      <c r="C53" s="476" t="s">
        <v>637</v>
      </c>
      <c r="D53" s="339" t="s">
        <v>472</v>
      </c>
      <c r="E53" s="380" t="s">
        <v>473</v>
      </c>
      <c r="F53" s="302"/>
      <c r="G53" s="302"/>
      <c r="H53" s="302"/>
      <c r="I53" s="399"/>
      <c r="J53" s="399"/>
      <c r="K53" s="384" t="str">
        <f t="shared" si="1"/>
        <v/>
      </c>
      <c r="L53" s="324"/>
      <c r="M53" s="419"/>
      <c r="N53" s="456"/>
      <c r="O53" s="456"/>
      <c r="P53" s="411">
        <f>IF(オフィス評価結果!$C$67&gt;=4,2,1)</f>
        <v>1</v>
      </c>
      <c r="Q53" s="411">
        <f>IF(店舗評価結果!$C$67&gt;=4,2,1)</f>
        <v>1</v>
      </c>
      <c r="R53" s="411">
        <f>IF(物流評価結果!$C$67&gt;=4,2,1)</f>
        <v>1</v>
      </c>
      <c r="S53" s="411">
        <f>IF(ホテル評価結果!$C$67&gt;=4,2,1)</f>
        <v>1</v>
      </c>
      <c r="T53" s="411">
        <f>IF(集合住宅評価結果!$C$67&gt;=4,2,1)</f>
        <v>1</v>
      </c>
      <c r="U53" s="411">
        <f>IF(オフィス改修評価結果!$C$67=4,2,1)</f>
        <v>1</v>
      </c>
      <c r="V53" s="411">
        <f>IF(店舗改修評価結果!$C$67&gt;=4,2,1)</f>
        <v>1</v>
      </c>
      <c r="W53" s="457"/>
      <c r="X53" s="457"/>
      <c r="Y53" s="457"/>
      <c r="Z53" s="457"/>
      <c r="AA53" s="457"/>
      <c r="AB53" s="457"/>
      <c r="AC53" s="457"/>
      <c r="AD53" s="448" t="s">
        <v>592</v>
      </c>
      <c r="AE53" s="448" t="s">
        <v>592</v>
      </c>
      <c r="AF53" s="448" t="s">
        <v>592</v>
      </c>
      <c r="AG53" s="448" t="str">
        <f t="shared" si="2"/>
        <v>3.2.1再生材利用率・地域材・木材利用
①躯体材料におけるリサイクル材の使用
レベル4以上→＋1</v>
      </c>
      <c r="AH53" s="448" t="s">
        <v>592</v>
      </c>
      <c r="AI53" s="421"/>
    </row>
    <row r="54" spans="1:35" ht="66.75" customHeight="1">
      <c r="A54" s="535"/>
      <c r="B54" s="478">
        <v>44</v>
      </c>
      <c r="C54" s="476" t="s">
        <v>468</v>
      </c>
      <c r="D54" s="379" t="s">
        <v>474</v>
      </c>
      <c r="E54" s="380" t="s">
        <v>475</v>
      </c>
      <c r="F54" s="302"/>
      <c r="G54" s="302"/>
      <c r="H54" s="302"/>
      <c r="I54" s="399"/>
      <c r="J54" s="399"/>
      <c r="K54" s="384" t="str">
        <f t="shared" si="1"/>
        <v/>
      </c>
      <c r="L54" s="324"/>
      <c r="M54" s="419"/>
      <c r="N54" s="456"/>
      <c r="O54" s="456"/>
      <c r="P54" s="411">
        <f>(IF(オフィス評価結果!$C$68&gt;=4,2,IF(オフィス評価結果!$C$68&gt;=3,1,0)))+1</f>
        <v>1</v>
      </c>
      <c r="Q54" s="411">
        <f>(IF(店舗評価結果!$C$68&gt;=4,2,IF(店舗評価結果!$C$68&gt;=3,1,0)))+1</f>
        <v>1</v>
      </c>
      <c r="R54" s="411">
        <f>(IF(物流評価結果!$C$68&gt;=4,2,IF(物流評価結果!$C$68&gt;=3,1,0)))+1</f>
        <v>1</v>
      </c>
      <c r="S54" s="411">
        <f>(IF(ホテル評価結果!$C$68&gt;=4,2,IF(ホテル評価結果!$C$68&gt;=3,1,0)))+1</f>
        <v>1</v>
      </c>
      <c r="T54" s="411">
        <f>(IF(集合住宅評価結果!$C$68&gt;=4,2,IF(集合住宅評価結果!$C$68&gt;=3,1,0)))+1</f>
        <v>1</v>
      </c>
      <c r="U54" s="411">
        <f>(IF(オフィス改修評価結果!$C$68&gt;=4,2,IF(オフィス改修評価結果!$C$68&gt;=3,1,0)))+1</f>
        <v>1</v>
      </c>
      <c r="V54" s="411">
        <f>(IF(店舗改修評価結果!$C$68&gt;=4,2,IF(店舗改修評価結果!$C$68&gt;=3,1,0)))+1</f>
        <v>1</v>
      </c>
      <c r="W54" s="457"/>
      <c r="X54" s="457"/>
      <c r="Y54" s="457"/>
      <c r="Z54" s="457"/>
      <c r="AA54" s="457"/>
      <c r="AB54" s="457"/>
      <c r="AC54" s="457"/>
      <c r="AD54" s="448" t="s">
        <v>476</v>
      </c>
      <c r="AE54" s="448" t="s">
        <v>476</v>
      </c>
      <c r="AF54" s="448" t="s">
        <v>476</v>
      </c>
      <c r="AG54" s="448" t="str">
        <f t="shared" si="2"/>
        <v>3.2.1再生材利用率・地域材・木材利用
②非構造材料におけるリサイクル材・地域材・木材の使用
レベル3→+1、レベル4以上→+2</v>
      </c>
      <c r="AH54" s="448" t="s">
        <v>476</v>
      </c>
      <c r="AI54" s="421"/>
    </row>
    <row r="55" spans="1:35" ht="87.75" customHeight="1">
      <c r="A55" s="535"/>
      <c r="B55" s="479">
        <v>45</v>
      </c>
      <c r="C55" s="480" t="s">
        <v>471</v>
      </c>
      <c r="D55" s="382" t="s">
        <v>477</v>
      </c>
      <c r="E55" s="490" t="s">
        <v>478</v>
      </c>
      <c r="F55" s="304"/>
      <c r="G55" s="304"/>
      <c r="H55" s="305"/>
      <c r="I55" s="405" t="s">
        <v>543</v>
      </c>
      <c r="J55" s="394"/>
      <c r="K55" s="872" t="str">
        <f t="shared" si="1"/>
        <v/>
      </c>
      <c r="M55" s="419"/>
      <c r="N55" s="456" t="b">
        <v>0</v>
      </c>
      <c r="O55" s="456"/>
      <c r="P55" s="858">
        <f>IF(OR(W55&gt;=3,W56&gt;=3),IF(W55&gt;W56,IF(W55&gt;=4,3,IF(W55&gt;=3,2,1)),IF(W56&gt;=4,3,IF(W56&gt;=3,2,1))),1)</f>
        <v>1</v>
      </c>
      <c r="Q55" s="858">
        <f>IF(OR(X55&gt;=3,X56&gt;=3),IF(X55&gt;X56,IF(X55&gt;=4,3,IF(X55&gt;=3,2,1)),IF(X56&gt;=4,3,IF(X56&gt;=3,2,1))),1)</f>
        <v>1</v>
      </c>
      <c r="R55" s="858">
        <f>IF(OR(Y55&gt;=3,Y56&gt;=3),IF(Y55&gt;Y56,IF(Y55&gt;=4,3,IF(Y55&gt;=3,2,1)),IF(Y56&gt;=4,3,IF(Y56&gt;=3,2,1))),1)</f>
        <v>1</v>
      </c>
      <c r="S55" s="858">
        <f>IF(OR(Z55&gt;=3,Z56&gt;=3),IF(Z55&gt;Z56,IF(Z55&gt;=4,3,IF(Z55&gt;=3,2,1)),IF(Z56&gt;=4,3,IF(Z56&gt;=3,2,1))),1)</f>
        <v>1</v>
      </c>
      <c r="T55" s="858">
        <f>IF(OR(Z55&gt;=3,Z56&gt;=3),IF(Z55&gt;Z56,IF(Z55&gt;=4,3,IF(Z55&gt;=3,2,1)),IF(Z56&gt;=4,3,IF(Z56&gt;=3,2,1))),1)</f>
        <v>1</v>
      </c>
      <c r="U55" s="858">
        <f>IF(OR(AA55&gt;=3,AA56&gt;=3),IF(AA55&gt;AA56,IF(AA55&gt;=4,3,IF(AA55&gt;=3,2,1)),IF(AA56&gt;=4,3,IF(AA56&gt;=3,2,1))),1)</f>
        <v>1</v>
      </c>
      <c r="V55" s="858">
        <f>IF(OR(AB55&gt;=3,AB56&gt;=3),IF(AB55&gt;AB56,IF(AB55&gt;=4,3,IF(AB55&gt;=3,2,1)),IF(AB56&gt;=4,3,IF(AB56&gt;=3,2,1))),1)</f>
        <v>1</v>
      </c>
      <c r="W55" s="457">
        <f>IF($N$55=TRUE,オフィス評価結果!$C$67,0)</f>
        <v>0</v>
      </c>
      <c r="X55" s="457">
        <f>IF($N$55=TRUE,店舗評価結果!$C$67,0)</f>
        <v>0</v>
      </c>
      <c r="Y55" s="457">
        <f>IF($N$55=TRUE,物流評価結果!$C$67,0)</f>
        <v>0</v>
      </c>
      <c r="Z55" s="457">
        <f>IF($N$55=TRUE,集合住宅評価結果!$C$67,0)</f>
        <v>0</v>
      </c>
      <c r="AA55" s="457">
        <f>IF($N$55=TRUE,オフィス改修評価結果!$C$67,0)</f>
        <v>0</v>
      </c>
      <c r="AB55" s="457">
        <f>IF($N$55=TRUE,店舗改修評価結果!$C$67,0)</f>
        <v>0</v>
      </c>
      <c r="AC55" s="457"/>
      <c r="AD55" s="454" t="s">
        <v>550</v>
      </c>
      <c r="AE55" s="454" t="s">
        <v>550</v>
      </c>
      <c r="AF55" s="454" t="s">
        <v>550</v>
      </c>
      <c r="AG55" s="454" t="str">
        <f t="shared" si="2"/>
        <v>3.2.1①木材の加点の工夫
3.2.1②木材の加点の工夫
①と②のレベル大きな方をとる
レベル3→+1、レベル4以上→+2</v>
      </c>
      <c r="AH55" s="454" t="s">
        <v>550</v>
      </c>
      <c r="AI55" s="421"/>
    </row>
    <row r="56" spans="1:35" ht="87.75" customHeight="1">
      <c r="A56" s="535"/>
      <c r="B56" s="485"/>
      <c r="C56" s="486"/>
      <c r="D56" s="373"/>
      <c r="E56" s="491"/>
      <c r="F56" s="306"/>
      <c r="G56" s="306"/>
      <c r="H56" s="307"/>
      <c r="I56" s="406" t="s">
        <v>544</v>
      </c>
      <c r="J56" s="401"/>
      <c r="K56" s="873" t="str">
        <f t="shared" si="1"/>
        <v/>
      </c>
      <c r="M56" s="419"/>
      <c r="N56" s="456" t="b">
        <v>0</v>
      </c>
      <c r="O56" s="456"/>
      <c r="P56" s="860"/>
      <c r="Q56" s="860"/>
      <c r="R56" s="860"/>
      <c r="S56" s="860"/>
      <c r="T56" s="860"/>
      <c r="U56" s="860"/>
      <c r="V56" s="860"/>
      <c r="W56" s="457">
        <f>IF($N$56=TRUE,オフィス評価結果!$C$68,0)</f>
        <v>0</v>
      </c>
      <c r="X56" s="457">
        <f>IF($N$56=TRUE,店舗評価結果!$C$68,0)</f>
        <v>0</v>
      </c>
      <c r="Y56" s="457">
        <f>IF($N$56=TRUE,物流評価結果!$C$68,0)</f>
        <v>0</v>
      </c>
      <c r="Z56" s="457">
        <f>IF($N$56=TRUE,集合住宅評価結果!$C$68,0)</f>
        <v>0</v>
      </c>
      <c r="AA56" s="457">
        <f>IF($N$56=TRUE,オフィス改修評価結果!$C$68,0)</f>
        <v>0</v>
      </c>
      <c r="AB56" s="457">
        <f>IF($N$56=TRUE,店舗改修評価結果!$C$68,0)</f>
        <v>0</v>
      </c>
      <c r="AC56" s="457"/>
      <c r="AD56" s="454"/>
      <c r="AE56" s="454"/>
      <c r="AF56" s="454"/>
      <c r="AG56" s="454">
        <f t="shared" si="2"/>
        <v>0</v>
      </c>
      <c r="AH56" s="454"/>
      <c r="AI56" s="421"/>
    </row>
    <row r="57" spans="1:35" ht="45" customHeight="1">
      <c r="A57" s="535"/>
      <c r="B57" s="478">
        <v>46</v>
      </c>
      <c r="C57" s="476" t="s">
        <v>706</v>
      </c>
      <c r="D57" s="335" t="s">
        <v>479</v>
      </c>
      <c r="E57" s="380" t="s">
        <v>480</v>
      </c>
      <c r="F57" s="301"/>
      <c r="G57" s="301"/>
      <c r="H57" s="301"/>
      <c r="I57" s="402"/>
      <c r="J57" s="402"/>
      <c r="K57" s="384" t="str">
        <f t="shared" si="1"/>
        <v/>
      </c>
      <c r="L57" s="324"/>
      <c r="M57" s="419"/>
      <c r="N57" s="456"/>
      <c r="O57" s="456"/>
      <c r="P57" s="411">
        <f>(IF(オフィス評価結果!$C$71&gt;=4,2,IF(オフィス評価結果!$C$71&gt;=3,1,0)))+1</f>
        <v>2</v>
      </c>
      <c r="Q57" s="411">
        <f>(IF(店舗評価結果!$C$71&gt;=4,2,IF(店舗評価結果!$C$71&gt;=3,1,0)))+1</f>
        <v>2</v>
      </c>
      <c r="R57" s="411">
        <f>(IF(物流評価結果!$C$71&gt;=4,2,IF(物流評価結果!$C$71&gt;=3,1,0)))+1</f>
        <v>2</v>
      </c>
      <c r="S57" s="411">
        <f>(IF(ホテル評価結果!$C$71&gt;=4,2,IF(ホテル評価結果!$C$71&gt;=3,1,0)))+1</f>
        <v>2</v>
      </c>
      <c r="T57" s="411">
        <f>(IF(集合住宅評価結果!$C$71&gt;=4,2,IF(集合住宅評価結果!$C$71&gt;=3,1,0)))+1</f>
        <v>2</v>
      </c>
      <c r="U57" s="411">
        <f>(IF(オフィス改修評価結果!$C$71&gt;=4,2,IF(オフィス改修評価結果!$C$71&gt;=3,1,0)))+1</f>
        <v>2</v>
      </c>
      <c r="V57" s="411">
        <f>(IF(店舗改修評価結果!$C$71&gt;=4,2,IF(店舗改修評価結果!$C$71&gt;=3,1,0)))+1</f>
        <v>2</v>
      </c>
      <c r="W57" s="457"/>
      <c r="X57" s="457"/>
      <c r="Y57" s="457"/>
      <c r="Z57" s="457"/>
      <c r="AA57" s="457"/>
      <c r="AB57" s="457"/>
      <c r="AC57" s="457"/>
      <c r="AD57" s="448" t="s">
        <v>481</v>
      </c>
      <c r="AE57" s="448" t="s">
        <v>481</v>
      </c>
      <c r="AF57" s="448" t="s">
        <v>481</v>
      </c>
      <c r="AG57" s="448" t="str">
        <f t="shared" si="2"/>
        <v>3.3躯体材料の耐用年数
レベル3→+1
レベル4,5→+2</v>
      </c>
      <c r="AH57" s="448" t="s">
        <v>481</v>
      </c>
      <c r="AI57" s="421"/>
    </row>
    <row r="58" spans="1:35" ht="82.5" customHeight="1">
      <c r="A58" s="536"/>
      <c r="B58" s="478">
        <v>47</v>
      </c>
      <c r="C58" s="476" t="s">
        <v>707</v>
      </c>
      <c r="D58" s="335" t="s">
        <v>482</v>
      </c>
      <c r="E58" s="378" t="s">
        <v>483</v>
      </c>
      <c r="F58" s="287"/>
      <c r="G58" s="287"/>
      <c r="H58" s="287"/>
      <c r="I58" s="407"/>
      <c r="J58" s="407"/>
      <c r="K58" s="384" t="str">
        <f t="shared" si="1"/>
        <v/>
      </c>
      <c r="L58" s="326"/>
      <c r="M58" s="419"/>
      <c r="N58" s="446"/>
      <c r="O58" s="446"/>
      <c r="P58" s="411">
        <f>(IF(オフィス評価結果!$C$97&gt;=4,2,IF(オフィス評価結果!$C$97&gt;=3,1,0)))+1</f>
        <v>2</v>
      </c>
      <c r="Q58" s="411">
        <f>(IF(店舗評価結果!$C$97&gt;=4,2,IF(店舗評価結果!$C$97&gt;=3,1,0)))+1</f>
        <v>2</v>
      </c>
      <c r="R58" s="411">
        <f>(IF(物流評価結果!$C$97&gt;=4,2,IF(物流評価結果!$C$97&gt;=3,1,0)))+1</f>
        <v>2</v>
      </c>
      <c r="S58" s="411">
        <f>(IF(ホテル評価結果!$C$97&gt;=4,2,IF(ホテル評価結果!$C$97&gt;=3,1,0)))+1</f>
        <v>2</v>
      </c>
      <c r="T58" s="411">
        <f>(IF(集合住宅評価結果!$C$97&gt;=4,2,IF(集合住宅評価結果!$C$97&gt;=3,1,0)))+1</f>
        <v>2</v>
      </c>
      <c r="U58" s="411">
        <f>(IF(オフィス改修評価結果!$C$97&gt;=4,2,IF(オフィス改修評価結果!$C$97&gt;=3,1,0)))+1</f>
        <v>2</v>
      </c>
      <c r="V58" s="411">
        <f>(IF(店舗改修評価結果!$C$97&gt;=4,2,IF(店舗改修評価結果!$C$97&gt;=3,1,0)))+1</f>
        <v>2</v>
      </c>
      <c r="W58" s="447"/>
      <c r="X58" s="447"/>
      <c r="Y58" s="447"/>
      <c r="Z58" s="447"/>
      <c r="AA58" s="447"/>
      <c r="AB58" s="447"/>
      <c r="AC58" s="447"/>
      <c r="AD58" s="448" t="s">
        <v>484</v>
      </c>
      <c r="AE58" s="448" t="s">
        <v>484</v>
      </c>
      <c r="AF58" s="448" t="s">
        <v>484</v>
      </c>
      <c r="AG58" s="448" t="str">
        <f t="shared" si="2"/>
        <v>4.4自然災害リスク対策
レベル3→+1
レベル4,5→+2</v>
      </c>
      <c r="AH58" s="448" t="s">
        <v>484</v>
      </c>
      <c r="AI58" s="421"/>
    </row>
    <row r="59" spans="1:35" ht="132.75" customHeight="1">
      <c r="A59" s="537" t="s">
        <v>671</v>
      </c>
      <c r="B59" s="475">
        <v>47</v>
      </c>
      <c r="C59" s="476" t="s">
        <v>638</v>
      </c>
      <c r="D59" s="376" t="s">
        <v>485</v>
      </c>
      <c r="E59" s="378" t="s">
        <v>486</v>
      </c>
      <c r="F59" s="391"/>
      <c r="G59" s="387"/>
      <c r="H59" s="387"/>
      <c r="I59" s="386" t="s">
        <v>603</v>
      </c>
      <c r="J59" s="386"/>
      <c r="K59" s="384" t="str">
        <f t="shared" si="1"/>
        <v/>
      </c>
      <c r="L59" s="326"/>
      <c r="M59" s="419">
        <v>1</v>
      </c>
      <c r="N59" s="446" t="b">
        <v>0</v>
      </c>
      <c r="O59" s="419">
        <f>IF(N59=FALSE,M59,IF(M59=1,2,3))</f>
        <v>1</v>
      </c>
      <c r="P59" s="411">
        <f t="shared" ref="P59:V59" si="13">$O$59</f>
        <v>1</v>
      </c>
      <c r="Q59" s="411">
        <f t="shared" si="13"/>
        <v>1</v>
      </c>
      <c r="R59" s="411">
        <f t="shared" si="13"/>
        <v>1</v>
      </c>
      <c r="S59" s="411">
        <f t="shared" si="13"/>
        <v>1</v>
      </c>
      <c r="T59" s="411">
        <f t="shared" si="13"/>
        <v>1</v>
      </c>
      <c r="U59" s="411">
        <f t="shared" si="13"/>
        <v>1</v>
      </c>
      <c r="V59" s="411">
        <f t="shared" si="13"/>
        <v>1</v>
      </c>
      <c r="W59" s="447"/>
      <c r="X59" s="447"/>
      <c r="Y59" s="447"/>
      <c r="Z59" s="447"/>
      <c r="AA59" s="447"/>
      <c r="AB59" s="447"/>
      <c r="AC59" s="447"/>
      <c r="AD59" s="452" t="s">
        <v>382</v>
      </c>
      <c r="AE59" s="452" t="s">
        <v>382</v>
      </c>
      <c r="AF59" s="452" t="s">
        <v>382</v>
      </c>
      <c r="AG59" s="452" t="str">
        <f t="shared" si="2"/>
        <v>チェックリスト項目</v>
      </c>
      <c r="AH59" s="452" t="s">
        <v>382</v>
      </c>
      <c r="AI59" s="421"/>
    </row>
    <row r="60" spans="1:35" ht="49.5" customHeight="1">
      <c r="A60" s="538"/>
      <c r="B60" s="475">
        <v>48</v>
      </c>
      <c r="C60" s="476" t="s">
        <v>639</v>
      </c>
      <c r="D60" s="376" t="s">
        <v>487</v>
      </c>
      <c r="E60" s="378" t="s">
        <v>488</v>
      </c>
      <c r="F60" s="391"/>
      <c r="G60" s="387"/>
      <c r="H60" s="387"/>
      <c r="I60" s="386" t="s">
        <v>603</v>
      </c>
      <c r="J60" s="386"/>
      <c r="K60" s="384" t="str">
        <f t="shared" si="1"/>
        <v/>
      </c>
      <c r="L60" s="326"/>
      <c r="M60" s="419">
        <v>1</v>
      </c>
      <c r="N60" s="446" t="b">
        <v>0</v>
      </c>
      <c r="O60" s="419">
        <f>IF(N60=FALSE,M60,IF(M60=1,2,3))</f>
        <v>1</v>
      </c>
      <c r="P60" s="411">
        <f t="shared" ref="P60:V60" si="14">$O$60</f>
        <v>1</v>
      </c>
      <c r="Q60" s="411">
        <f t="shared" si="14"/>
        <v>1</v>
      </c>
      <c r="R60" s="411">
        <f t="shared" si="14"/>
        <v>1</v>
      </c>
      <c r="S60" s="411">
        <f t="shared" si="14"/>
        <v>1</v>
      </c>
      <c r="T60" s="414" t="s">
        <v>579</v>
      </c>
      <c r="U60" s="411">
        <f t="shared" si="14"/>
        <v>1</v>
      </c>
      <c r="V60" s="411">
        <f t="shared" si="14"/>
        <v>1</v>
      </c>
      <c r="W60" s="447"/>
      <c r="X60" s="447"/>
      <c r="Y60" s="447"/>
      <c r="Z60" s="447"/>
      <c r="AA60" s="447"/>
      <c r="AB60" s="447"/>
      <c r="AC60" s="447"/>
      <c r="AD60" s="452" t="s">
        <v>382</v>
      </c>
      <c r="AE60" s="452" t="s">
        <v>382</v>
      </c>
      <c r="AF60" s="452" t="s">
        <v>382</v>
      </c>
      <c r="AG60" s="452" t="str">
        <f t="shared" si="2"/>
        <v>チェックリスト項目</v>
      </c>
      <c r="AH60" s="467" t="s">
        <v>579</v>
      </c>
      <c r="AI60" s="541" t="s">
        <v>805</v>
      </c>
    </row>
    <row r="61" spans="1:35" ht="198" customHeight="1">
      <c r="A61" s="538"/>
      <c r="B61" s="475">
        <v>49</v>
      </c>
      <c r="C61" s="476" t="s">
        <v>785</v>
      </c>
      <c r="D61" s="376" t="s">
        <v>753</v>
      </c>
      <c r="E61" s="378" t="s">
        <v>754</v>
      </c>
      <c r="F61" s="540"/>
      <c r="G61" s="387"/>
      <c r="H61" s="387"/>
      <c r="I61" s="386" t="s">
        <v>603</v>
      </c>
      <c r="J61" s="386"/>
      <c r="K61" s="384" t="str">
        <f t="shared" si="1"/>
        <v/>
      </c>
      <c r="L61" s="326"/>
      <c r="M61" s="419">
        <v>1</v>
      </c>
      <c r="N61" s="446" t="b">
        <v>0</v>
      </c>
      <c r="O61" s="419">
        <f>IF(N61=FALSE,M61,IF(M61=1,2,3))</f>
        <v>1</v>
      </c>
      <c r="P61" s="411">
        <f t="shared" ref="P61:V61" si="15">$O$61</f>
        <v>1</v>
      </c>
      <c r="Q61" s="411">
        <f t="shared" si="15"/>
        <v>1</v>
      </c>
      <c r="R61" s="411">
        <f t="shared" si="15"/>
        <v>1</v>
      </c>
      <c r="S61" s="411">
        <f t="shared" si="15"/>
        <v>1</v>
      </c>
      <c r="T61" s="414" t="s">
        <v>579</v>
      </c>
      <c r="U61" s="411">
        <f t="shared" si="15"/>
        <v>1</v>
      </c>
      <c r="V61" s="411">
        <f t="shared" si="15"/>
        <v>1</v>
      </c>
      <c r="W61" s="447"/>
      <c r="X61" s="447"/>
      <c r="Y61" s="447"/>
      <c r="Z61" s="447"/>
      <c r="AA61" s="447"/>
      <c r="AB61" s="447"/>
      <c r="AC61" s="447"/>
      <c r="AD61" s="452" t="s">
        <v>382</v>
      </c>
      <c r="AE61" s="452" t="s">
        <v>382</v>
      </c>
      <c r="AF61" s="452" t="s">
        <v>382</v>
      </c>
      <c r="AG61" s="452" t="str">
        <f t="shared" si="2"/>
        <v>チェックリスト項目</v>
      </c>
      <c r="AH61" s="467" t="s">
        <v>579</v>
      </c>
      <c r="AI61" s="541" t="s">
        <v>806</v>
      </c>
    </row>
    <row r="62" spans="1:35" ht="48" customHeight="1">
      <c r="A62" s="538"/>
      <c r="B62" s="475">
        <v>50</v>
      </c>
      <c r="C62" s="476" t="s">
        <v>786</v>
      </c>
      <c r="D62" s="335" t="s">
        <v>755</v>
      </c>
      <c r="E62" s="380" t="s">
        <v>756</v>
      </c>
      <c r="F62" s="301"/>
      <c r="G62" s="301"/>
      <c r="H62" s="301"/>
      <c r="I62" s="402"/>
      <c r="J62" s="402"/>
      <c r="K62" s="384" t="str">
        <f t="shared" si="1"/>
        <v/>
      </c>
      <c r="L62" s="324"/>
      <c r="M62" s="419"/>
      <c r="N62" s="456"/>
      <c r="O62" s="456"/>
      <c r="P62" s="411">
        <f>(IF(オフィス評価結果!$C$76&gt;=4,3,IF(オフィス評価結果!$C$76&gt;=3,2,1)))</f>
        <v>2</v>
      </c>
      <c r="Q62" s="411">
        <f>(IF(店舗評価結果!$C$76&gt;=4,3,IF(店舗評価結果!$C$76&gt;=3,2,1)))</f>
        <v>2</v>
      </c>
      <c r="R62" s="411">
        <f>(IF(物流評価結果!$C$76&gt;=4,3,IF(物流評価結果!$C$76&gt;=3,2,1)))</f>
        <v>2</v>
      </c>
      <c r="S62" s="411">
        <f>(IF(ホテル評価結果!$C$76&gt;=4,3,IF(ホテル評価結果!$C$76&gt;=3,2,1)))</f>
        <v>2</v>
      </c>
      <c r="T62" s="411">
        <f>(IF(集合住宅評価結果!$C$76&gt;=4,3,IF(集合住宅評価結果!$C$76&gt;=3,2,1)))</f>
        <v>1</v>
      </c>
      <c r="U62" s="411">
        <f>(IF(オフィス改修評価結果!$C$76&gt;=4,3,IF(オフィス改修評価結果!$C$76&gt;=3,2,1)))</f>
        <v>2</v>
      </c>
      <c r="V62" s="411">
        <f>(IF(店舗改修評価結果!$C$76&gt;=4,3,IF(店舗改修評価結果!$C$76&gt;=3,2,1)))</f>
        <v>2</v>
      </c>
      <c r="W62" s="457"/>
      <c r="X62" s="457"/>
      <c r="Y62" s="457"/>
      <c r="Z62" s="457"/>
      <c r="AA62" s="457"/>
      <c r="AB62" s="457"/>
      <c r="AC62" s="457"/>
      <c r="AD62" s="458" t="s">
        <v>757</v>
      </c>
      <c r="AE62" s="458" t="s">
        <v>757</v>
      </c>
      <c r="AF62" s="458" t="s">
        <v>757</v>
      </c>
      <c r="AG62" s="458" t="str">
        <f t="shared" si="2"/>
        <v>3.4.2設備(電力等の自給率向上)
レベル3→＋1
レベル4，5→＋2</v>
      </c>
      <c r="AH62" s="458" t="s">
        <v>757</v>
      </c>
      <c r="AI62" s="450" t="s">
        <v>758</v>
      </c>
    </row>
    <row r="63" spans="1:35" ht="48" customHeight="1">
      <c r="A63" s="538"/>
      <c r="B63" s="475">
        <v>51</v>
      </c>
      <c r="C63" s="476" t="s">
        <v>787</v>
      </c>
      <c r="D63" s="335" t="s">
        <v>489</v>
      </c>
      <c r="E63" s="378" t="s">
        <v>490</v>
      </c>
      <c r="F63" s="287"/>
      <c r="G63" s="287"/>
      <c r="H63" s="287"/>
      <c r="I63" s="407"/>
      <c r="J63" s="407"/>
      <c r="K63" s="384" t="str">
        <f t="shared" si="1"/>
        <v/>
      </c>
      <c r="L63" s="326"/>
      <c r="M63" s="419"/>
      <c r="N63" s="446"/>
      <c r="O63" s="446"/>
      <c r="P63" s="411">
        <f>(IF(オフィス評価結果!$C$74&gt;=4,2,IF(オフィス評価結果!$C$74&gt;=3,1,0)))+1</f>
        <v>2</v>
      </c>
      <c r="Q63" s="411">
        <f>(IF(店舗評価結果!$C$74&gt;=4,2,IF(店舗評価結果!$C$74&gt;=3,1,0)))+1</f>
        <v>2</v>
      </c>
      <c r="R63" s="411">
        <f>(IF(物流評価結果!$C$74&gt;=4,2,IF(物流評価結果!$C$74&gt;=3,1,0)))+1</f>
        <v>2</v>
      </c>
      <c r="S63" s="411">
        <f>(IF(ホテル評価結果!$C$74&gt;=4,2,IF(ホテル評価結果!$C$74&gt;=3,1,0)))+1</f>
        <v>2</v>
      </c>
      <c r="T63" s="411">
        <f>(IF(集合住宅評価結果!$C$74&gt;=4,2,IF(集合住宅評価結果!$C$74&gt;=3,1,0)))+1</f>
        <v>2</v>
      </c>
      <c r="U63" s="411">
        <f>(IF(オフィス改修評価結果!$C$74&gt;=4,2,IF(オフィス改修評価結果!$C$74&gt;=3,1,0)))+1</f>
        <v>2</v>
      </c>
      <c r="V63" s="411">
        <f>(IF(店舗改修評価結果!$C$74&gt;=4,2,IF(店舗改修評価結果!$C$74&gt;=3,1,0)))+1</f>
        <v>2</v>
      </c>
      <c r="W63" s="447"/>
      <c r="X63" s="447"/>
      <c r="Y63" s="447"/>
      <c r="Z63" s="447"/>
      <c r="AA63" s="447"/>
      <c r="AB63" s="447"/>
      <c r="AC63" s="447"/>
      <c r="AD63" s="448" t="s">
        <v>491</v>
      </c>
      <c r="AE63" s="448" t="s">
        <v>491</v>
      </c>
      <c r="AF63" s="448" t="s">
        <v>491</v>
      </c>
      <c r="AG63" s="448" t="str">
        <f t="shared" si="2"/>
        <v>3.4.1主要設備の更新必要間隔
レベル3→+1
レベル4,5→+2</v>
      </c>
      <c r="AH63" s="448" t="s">
        <v>491</v>
      </c>
      <c r="AI63" s="421"/>
    </row>
    <row r="64" spans="1:35" ht="91.5" customHeight="1">
      <c r="A64" s="539"/>
      <c r="B64" s="475">
        <v>52</v>
      </c>
      <c r="C64" s="476" t="s">
        <v>788</v>
      </c>
      <c r="D64" s="335" t="s">
        <v>492</v>
      </c>
      <c r="E64" s="378" t="s">
        <v>483</v>
      </c>
      <c r="F64" s="287"/>
      <c r="G64" s="287"/>
      <c r="H64" s="287"/>
      <c r="I64" s="407"/>
      <c r="J64" s="407"/>
      <c r="K64" s="384" t="str">
        <f t="shared" si="1"/>
        <v/>
      </c>
      <c r="L64" s="326"/>
      <c r="M64" s="419"/>
      <c r="N64" s="446"/>
      <c r="O64" s="446"/>
      <c r="P64" s="411">
        <f>(IF(オフィス評価結果!$C$97&gt;=4,2,IF(オフィス評価結果!$C$97&gt;=3,1,0)))+1</f>
        <v>2</v>
      </c>
      <c r="Q64" s="411">
        <f>(IF(店舗評価結果!$C$97&gt;=4,2,IF(店舗評価結果!$C$97&gt;=3,1,0)))+1</f>
        <v>2</v>
      </c>
      <c r="R64" s="411">
        <f>(IF(物流評価結果!$C$97&gt;=4,2,IF(物流評価結果!$C$97&gt;=3,1,0)))+1</f>
        <v>2</v>
      </c>
      <c r="S64" s="411">
        <f>(IF(ホテル評価結果!$C$97&gt;=4,2,IF(ホテル評価結果!$C$97&gt;=3,1,0)))+1</f>
        <v>2</v>
      </c>
      <c r="T64" s="411">
        <f>(IF(集合住宅評価結果!$C$97&gt;=4,2,IF(集合住宅評価結果!$C$97&gt;=3,1,0)))+1</f>
        <v>2</v>
      </c>
      <c r="U64" s="411">
        <f>(IF(オフィス改修評価結果!$C$97&gt;=4,2,IF(オフィス改修評価結果!$C$97&gt;=3,1,0)))+1</f>
        <v>2</v>
      </c>
      <c r="V64" s="411">
        <f>(IF(店舗改修評価結果!$C$97&gt;=4,2,IF(店舗改修評価結果!$C$97&gt;=3,1,0)))+1</f>
        <v>2</v>
      </c>
      <c r="W64" s="447"/>
      <c r="X64" s="447"/>
      <c r="Y64" s="447"/>
      <c r="Z64" s="447"/>
      <c r="AA64" s="447"/>
      <c r="AB64" s="447"/>
      <c r="AC64" s="447"/>
      <c r="AD64" s="448" t="s">
        <v>493</v>
      </c>
      <c r="AE64" s="448" t="s">
        <v>493</v>
      </c>
      <c r="AF64" s="448" t="s">
        <v>493</v>
      </c>
      <c r="AG64" s="448" t="str">
        <f t="shared" si="2"/>
        <v>4.4自然災害リスク対策
レベル3→+1
レベル4,5→+2</v>
      </c>
      <c r="AH64" s="448" t="s">
        <v>493</v>
      </c>
      <c r="AI64" s="421"/>
    </row>
    <row r="65" spans="1:35" ht="120" customHeight="1">
      <c r="A65" s="355" t="s">
        <v>672</v>
      </c>
      <c r="B65" s="350" t="s">
        <v>703</v>
      </c>
      <c r="C65" s="351"/>
      <c r="D65" s="349"/>
      <c r="E65" s="352"/>
      <c r="F65" s="353"/>
      <c r="G65" s="353"/>
      <c r="H65" s="353"/>
      <c r="I65" s="353"/>
      <c r="J65" s="353"/>
      <c r="K65" s="349"/>
      <c r="L65" s="327"/>
      <c r="M65" s="444"/>
      <c r="N65" s="436"/>
      <c r="O65" s="436"/>
      <c r="P65" s="417"/>
      <c r="Q65" s="417"/>
      <c r="R65" s="417"/>
      <c r="S65" s="417"/>
      <c r="T65" s="417"/>
      <c r="U65" s="417"/>
      <c r="V65" s="418"/>
      <c r="W65" s="447"/>
      <c r="X65" s="447"/>
      <c r="Y65" s="447"/>
      <c r="Z65" s="447"/>
      <c r="AA65" s="447"/>
      <c r="AB65" s="447"/>
      <c r="AC65" s="447"/>
      <c r="AD65" s="466"/>
      <c r="AE65" s="466"/>
      <c r="AF65" s="466"/>
      <c r="AG65" s="466">
        <f t="shared" si="2"/>
        <v>0</v>
      </c>
      <c r="AH65" s="467"/>
      <c r="AI65" s="421"/>
    </row>
    <row r="66" spans="1:35" ht="63" customHeight="1">
      <c r="A66" s="903" t="s">
        <v>673</v>
      </c>
      <c r="B66" s="882">
        <v>53</v>
      </c>
      <c r="C66" s="884" t="s">
        <v>494</v>
      </c>
      <c r="D66" s="885" t="s">
        <v>759</v>
      </c>
      <c r="E66" s="492" t="s">
        <v>396</v>
      </c>
      <c r="F66" s="288"/>
      <c r="G66" s="288"/>
      <c r="H66" s="288"/>
      <c r="I66" s="389"/>
      <c r="J66" s="389"/>
      <c r="K66" s="872" t="str">
        <f t="shared" si="1"/>
        <v/>
      </c>
      <c r="L66" s="362"/>
      <c r="M66" s="419"/>
      <c r="N66" s="446"/>
      <c r="O66" s="446"/>
      <c r="P66" s="855">
        <f>(((IF(オフィス評価結果!$C$108&gt;=4,1,0)+IF(オフィス評価結果!$C$110&gt;=4,1,0))+1)+(IF(オフィス評価結果!$C$104="適合",3,1))+(MIN(3,IF(オフィス評価結果!$C$74&gt;=4,3,IF(オフィス評価結果!$C$74&gt;=3,2,1))+IF($N$68=TRUE,1,0))))/3</f>
        <v>1.3333333333333333</v>
      </c>
      <c r="Q66" s="855">
        <f>(((IF(店舗評価結果!$C$108&gt;=4,1,0)+IF(店舗評価結果!$C$110&gt;=4,1,0))+1)+(IF(店舗評価結果!$C$104="適合",3,1))+(MIN(3,IF(店舗評価結果!$C$74&gt;=4,3,IF(店舗評価結果!$C$74&gt;=3,2,1))+IF($N$68=TRUE,1,0))))/3</f>
        <v>1.3333333333333333</v>
      </c>
      <c r="R66" s="855">
        <f>(((IF(物流評価結果!$C$108&gt;=4,1,0)+IF(物流評価結果!$C$110&gt;=4,1,0))+1)+(IF(物流評価結果!$C$104="適合",3,1))+(MIN(3,IF(物流評価結果!$C$74&gt;=4,3,IF(物流評価結果!$C$74&gt;=3,2,1))+IF($N$68=TRUE,1,0))))/3</f>
        <v>1.3333333333333333</v>
      </c>
      <c r="S66" s="855">
        <f>(((IF(ホテル評価結果!$C$108&gt;=4,1,0)+IF(ホテル評価結果!$C$110&gt;=4,1,0))+1)+(IF(ホテル評価結果!$C$104="適合",3,1))+(MIN(3,IF(ホテル評価結果!$C$74&gt;=4,3,IF(ホテル評価結果!$C$74&gt;=3,2,1))+IF($N$68=TRUE,1,0))))/3</f>
        <v>1.3333333333333333</v>
      </c>
      <c r="T66" s="893">
        <f>(((IF(集合住宅評価結果!$C$109&gt;=2,1,0)+IF(集合住宅評価結果!$C$111&gt;=3,1,0))+1)+(IF(集合住宅評価結果!$C$113&gt;=2,3,1))+(MIN(3,IF(集合住宅評価結果!$C$74&gt;=4,3,IF(集合住宅評価結果!$C$74&gt;=3,2,1))+IF($N$68=TRUE,1,0))))/3</f>
        <v>1.6666666666666667</v>
      </c>
      <c r="U66" s="893">
        <f>(((IF(オフィス改修評価結果!$C$108&gt;=2,1,0)+IF(オフィス改修評価結果!$C$110&gt;=2,1,0))+1)+(IF(オフィス改修評価結果!$C$104="適合",3,1))+(MIN(3,IF(オフィス改修評価結果!$C$74&gt;=3,2,IF(オフィス改修評価結果!$C$74&gt;=3,2,1))+IF($N$68=TRUE,1,0))))/3</f>
        <v>2</v>
      </c>
      <c r="V66" s="893">
        <f>(((IF(店舗改修評価結果!$C$108&gt;=3,1,0)+IF(店舗改修評価結果!$C$110&gt;=3,1,0))+1)+(IF(店舗改修評価結果!$C$104="適合",3,1))+(MIN(3,IF(店舗改修評価結果!$C$74&gt;=4,3,IF(店舗改修評価結果!$C$74&gt;=3,2,1))+IF($N$68=TRUE,1,0))))/3</f>
        <v>2</v>
      </c>
      <c r="W66" s="447"/>
      <c r="X66" s="447"/>
      <c r="Y66" s="447"/>
      <c r="Z66" s="447"/>
      <c r="AA66" s="447"/>
      <c r="AB66" s="447"/>
      <c r="AC66" s="447"/>
      <c r="AD66" s="754" t="s">
        <v>933</v>
      </c>
      <c r="AE66" s="754" t="s">
        <v>934</v>
      </c>
      <c r="AF66" s="449" t="s">
        <v>397</v>
      </c>
      <c r="AG66" s="449" t="s">
        <v>397</v>
      </c>
      <c r="AH66" s="754" t="s">
        <v>398</v>
      </c>
      <c r="AI66" s="421"/>
    </row>
    <row r="67" spans="1:35" ht="55.5" customHeight="1">
      <c r="A67" s="904"/>
      <c r="B67" s="883"/>
      <c r="C67" s="875"/>
      <c r="D67" s="886"/>
      <c r="E67" s="378" t="s">
        <v>612</v>
      </c>
      <c r="F67" s="287"/>
      <c r="G67" s="287"/>
      <c r="H67" s="287"/>
      <c r="I67" s="407"/>
      <c r="J67" s="407"/>
      <c r="K67" s="881" t="str">
        <f t="shared" si="1"/>
        <v/>
      </c>
      <c r="L67" s="362"/>
      <c r="M67" s="419"/>
      <c r="N67" s="446"/>
      <c r="O67" s="446"/>
      <c r="P67" s="856"/>
      <c r="Q67" s="856"/>
      <c r="R67" s="856"/>
      <c r="S67" s="856"/>
      <c r="T67" s="894"/>
      <c r="U67" s="894"/>
      <c r="V67" s="894"/>
      <c r="W67" s="447"/>
      <c r="X67" s="447"/>
      <c r="Y67" s="447"/>
      <c r="Z67" s="447"/>
      <c r="AA67" s="447"/>
      <c r="AB67" s="447"/>
      <c r="AC67" s="447"/>
      <c r="AD67" s="448" t="s">
        <v>394</v>
      </c>
      <c r="AE67" s="448" t="s">
        <v>394</v>
      </c>
      <c r="AF67" s="448" t="s">
        <v>394</v>
      </c>
      <c r="AG67" s="448" t="str">
        <f t="shared" si="2"/>
        <v>5. 屋内環境(必須項目)
①または②に適合→+2</v>
      </c>
      <c r="AH67" s="448" t="s">
        <v>617</v>
      </c>
      <c r="AI67" s="450"/>
    </row>
    <row r="68" spans="1:35" ht="68.25" customHeight="1">
      <c r="A68" s="904"/>
      <c r="B68" s="883"/>
      <c r="C68" s="875"/>
      <c r="D68" s="887"/>
      <c r="E68" s="378" t="s">
        <v>710</v>
      </c>
      <c r="F68" s="287"/>
      <c r="G68" s="287"/>
      <c r="H68" s="287"/>
      <c r="I68" s="390" t="s">
        <v>618</v>
      </c>
      <c r="J68" s="408"/>
      <c r="K68" s="873" t="str">
        <f t="shared" si="1"/>
        <v/>
      </c>
      <c r="L68" s="364"/>
      <c r="M68" s="419"/>
      <c r="N68" s="446" t="b">
        <v>0</v>
      </c>
      <c r="O68" s="446"/>
      <c r="P68" s="857"/>
      <c r="Q68" s="857"/>
      <c r="R68" s="857"/>
      <c r="S68" s="857"/>
      <c r="T68" s="895"/>
      <c r="U68" s="895"/>
      <c r="V68" s="895"/>
      <c r="W68" s="447"/>
      <c r="X68" s="447"/>
      <c r="Y68" s="447"/>
      <c r="Z68" s="447"/>
      <c r="AA68" s="447"/>
      <c r="AB68" s="447"/>
      <c r="AC68" s="447"/>
      <c r="AD68" s="448" t="s">
        <v>495</v>
      </c>
      <c r="AE68" s="448" t="s">
        <v>495</v>
      </c>
      <c r="AF68" s="448" t="s">
        <v>495</v>
      </c>
      <c r="AG68" s="448" t="str">
        <f t="shared" si="2"/>
        <v>3.4.1主要設備の更新必要間隔
レベル3→+1
レベル4,5→+2</v>
      </c>
      <c r="AH68" s="448" t="s">
        <v>495</v>
      </c>
      <c r="AI68" s="421"/>
    </row>
    <row r="69" spans="1:35" ht="45" customHeight="1">
      <c r="A69" s="904"/>
      <c r="B69" s="478">
        <v>54</v>
      </c>
      <c r="C69" s="476" t="s">
        <v>496</v>
      </c>
      <c r="D69" s="335" t="s">
        <v>497</v>
      </c>
      <c r="E69" s="378" t="s">
        <v>498</v>
      </c>
      <c r="F69" s="287"/>
      <c r="G69" s="287"/>
      <c r="H69" s="287"/>
      <c r="I69" s="407"/>
      <c r="J69" s="407"/>
      <c r="K69" s="384" t="str">
        <f t="shared" si="1"/>
        <v/>
      </c>
      <c r="L69" s="326"/>
      <c r="M69" s="419"/>
      <c r="N69" s="446"/>
      <c r="O69" s="446"/>
      <c r="P69" s="411">
        <f>(IF(オフィス評価結果!$C$93=5,2,IF(オフィス評価結果!$C$93&gt;=3,1,0)))+1</f>
        <v>2</v>
      </c>
      <c r="Q69" s="411">
        <f>(IF(店舗評価結果!$C$93=5,2,IF(店舗評価結果!$C$93&gt;=3,1,0)))+1</f>
        <v>2</v>
      </c>
      <c r="R69" s="411">
        <f>(IF(物流評価結果!$C$93=5,2,IF(物流評価結果!$C$93&gt;=3,1,0)))+1</f>
        <v>2</v>
      </c>
      <c r="S69" s="411">
        <f>(IF(ホテル評価結果!$C$93=5,2,IF(ホテル評価結果!$C$93&gt;=3,1,0)))+1</f>
        <v>2</v>
      </c>
      <c r="T69" s="411">
        <f>(IF(集合住宅評価結果!$C$93=5,2,IF(集合住宅評価結果!$C$93&gt;=3,1,0)))+1</f>
        <v>2</v>
      </c>
      <c r="U69" s="411">
        <f>(IF(オフィス改修評価結果!$C$93=5,2,IF(オフィス改修評価結果!$C$93&gt;=3,1,0)))+1</f>
        <v>2</v>
      </c>
      <c r="V69" s="411">
        <f>(IF(店舗改修評価結果!$C$93=5,2,IF(店舗改修評価結果!$C$93&gt;=3,1,0)))+1</f>
        <v>2</v>
      </c>
      <c r="W69" s="447"/>
      <c r="X69" s="447"/>
      <c r="Y69" s="447"/>
      <c r="Z69" s="447"/>
      <c r="AA69" s="447"/>
      <c r="AB69" s="447"/>
      <c r="AC69" s="447"/>
      <c r="AD69" s="392" t="s">
        <v>499</v>
      </c>
      <c r="AE69" s="392" t="s">
        <v>499</v>
      </c>
      <c r="AF69" s="392" t="s">
        <v>499</v>
      </c>
      <c r="AG69" s="392" t="str">
        <f t="shared" si="2"/>
        <v>4.3.1公共交通機関の接近性
レベル3→+1
レベル5→+2</v>
      </c>
      <c r="AH69" s="392" t="s">
        <v>545</v>
      </c>
      <c r="AI69" s="421"/>
    </row>
    <row r="70" spans="1:35" ht="45" customHeight="1">
      <c r="A70" s="904"/>
      <c r="B70" s="478">
        <v>55</v>
      </c>
      <c r="C70" s="476" t="s">
        <v>640</v>
      </c>
      <c r="D70" s="335" t="s">
        <v>815</v>
      </c>
      <c r="E70" s="378" t="s">
        <v>434</v>
      </c>
      <c r="F70" s="289"/>
      <c r="G70" s="289"/>
      <c r="H70" s="289"/>
      <c r="I70" s="312" t="s">
        <v>553</v>
      </c>
      <c r="J70" s="314"/>
      <c r="K70" s="384" t="str">
        <f t="shared" si="1"/>
        <v/>
      </c>
      <c r="L70" s="326"/>
      <c r="M70" s="419"/>
      <c r="N70" s="446"/>
      <c r="O70" s="446"/>
      <c r="P70" s="411">
        <f t="shared" ref="P70:V70" si="16">P32</f>
        <v>1</v>
      </c>
      <c r="Q70" s="411">
        <f t="shared" si="16"/>
        <v>1</v>
      </c>
      <c r="R70" s="415">
        <f t="shared" si="16"/>
        <v>1</v>
      </c>
      <c r="S70" s="411">
        <f>S32</f>
        <v>1</v>
      </c>
      <c r="T70" s="415">
        <f t="shared" si="16"/>
        <v>1</v>
      </c>
      <c r="U70" s="412">
        <f t="shared" si="16"/>
        <v>1</v>
      </c>
      <c r="V70" s="411">
        <f t="shared" si="16"/>
        <v>1</v>
      </c>
      <c r="W70" s="447"/>
      <c r="X70" s="447"/>
      <c r="Y70" s="447"/>
      <c r="Z70" s="447"/>
      <c r="AA70" s="447"/>
      <c r="AB70" s="447"/>
      <c r="AC70" s="447"/>
      <c r="AD70" s="448" t="s">
        <v>435</v>
      </c>
      <c r="AE70" s="448" t="s">
        <v>435</v>
      </c>
      <c r="AF70" s="454" t="s">
        <v>500</v>
      </c>
      <c r="AG70" s="448" t="str">
        <f>AD70</f>
        <v>2.1水使用量（計算値）
使用量算定ソフトで雨水・排水再利用あり→+2</v>
      </c>
      <c r="AH70" s="454" t="s">
        <v>437</v>
      </c>
      <c r="AI70" s="421"/>
    </row>
    <row r="71" spans="1:35" ht="63">
      <c r="A71" s="904"/>
      <c r="B71" s="271">
        <v>56</v>
      </c>
      <c r="C71" s="269" t="s">
        <v>641</v>
      </c>
      <c r="D71" s="335" t="s">
        <v>812</v>
      </c>
      <c r="E71" s="285" t="s">
        <v>441</v>
      </c>
      <c r="F71" s="300"/>
      <c r="G71" s="290"/>
      <c r="H71" s="290"/>
      <c r="I71" s="272"/>
      <c r="J71" s="272"/>
      <c r="K71" s="384" t="str">
        <f t="shared" si="1"/>
        <v/>
      </c>
      <c r="L71" s="326"/>
      <c r="M71" s="419"/>
      <c r="N71" s="446"/>
      <c r="O71" s="446"/>
      <c r="P71" s="411">
        <f>IF(オフィス評価結果!$C$90=0,"対象外",IF(オフィス評価結果!$C$90&gt;=4,3,1))</f>
        <v>1</v>
      </c>
      <c r="Q71" s="411">
        <f>IF(店舗評価結果!$C$90=0,"対象外",IF(店舗評価結果!$C$90=0&gt;=4,3,1))</f>
        <v>3</v>
      </c>
      <c r="R71" s="411">
        <f>IF(物流評価結果!$C$90=0,"対象外",IF(物流評価結果!$C$90&gt;=4,3,1))</f>
        <v>1</v>
      </c>
      <c r="S71" s="411">
        <f>IF(ホテル評価結果!$C$90=0,"対象外",IF(ホテル評価結果!$C$90&gt;=4,3,1))</f>
        <v>1</v>
      </c>
      <c r="T71" s="411">
        <f>IF(集合住宅評価結果!$C$90=0,"対象外",IF(集合住宅評価結果!$C$90&gt;=4,3,1))</f>
        <v>1</v>
      </c>
      <c r="U71" s="411">
        <f>IF(オフィス改修評価結果!$C$90=0,"対象外",IF(オフィス改修評価結果!$C$90&gt;=4,3,1))</f>
        <v>1</v>
      </c>
      <c r="V71" s="411">
        <f>IF(店舗改修評価結果!$C$90=0,"対象外",IF(店舗改修評価結果!$C$90&gt;=4,3,1))</f>
        <v>1</v>
      </c>
      <c r="W71" s="447"/>
      <c r="X71" s="447"/>
      <c r="Y71" s="447"/>
      <c r="Z71" s="447"/>
      <c r="AA71" s="447"/>
      <c r="AB71" s="447"/>
      <c r="AC71" s="459"/>
      <c r="AD71" s="448" t="s">
        <v>501</v>
      </c>
      <c r="AE71" s="448" t="s">
        <v>501</v>
      </c>
      <c r="AF71" s="448" t="s">
        <v>501</v>
      </c>
      <c r="AG71" s="448" t="str">
        <f t="shared" si="2"/>
        <v>4.2土壌環境品質・ブラウンフィールド再生
レベル4以上→+2
(対象外の場合は分母から除外)</v>
      </c>
      <c r="AH71" s="448" t="s">
        <v>501</v>
      </c>
      <c r="AI71" s="421"/>
    </row>
    <row r="72" spans="1:35" ht="47.25">
      <c r="A72" s="904"/>
      <c r="B72" s="478">
        <v>57</v>
      </c>
      <c r="C72" s="476" t="s">
        <v>789</v>
      </c>
      <c r="D72" s="335" t="s">
        <v>489</v>
      </c>
      <c r="E72" s="378" t="s">
        <v>490</v>
      </c>
      <c r="F72" s="287"/>
      <c r="G72" s="287"/>
      <c r="H72" s="287"/>
      <c r="I72" s="386" t="s">
        <v>603</v>
      </c>
      <c r="J72" s="409"/>
      <c r="K72" s="384" t="str">
        <f t="shared" si="1"/>
        <v/>
      </c>
      <c r="L72" s="326"/>
      <c r="M72" s="419"/>
      <c r="N72" s="446" t="b">
        <v>0</v>
      </c>
      <c r="O72" s="446"/>
      <c r="P72" s="411">
        <f>MIN(3,(IF(オフィス評価結果!$C$74&gt;=4,3,IF(オフィス評価結果!$C$74&gt;=3,2,1)))+IF($N$72=TRUE,1,0))</f>
        <v>2</v>
      </c>
      <c r="Q72" s="411">
        <f>MIN(3,(IF(店舗評価結果!$C$74&gt;=4,3,IF(店舗評価結果!$C$74&gt;=3,2,1)))+IF($N$72=TRUE,1,0))</f>
        <v>2</v>
      </c>
      <c r="R72" s="411">
        <f>MIN(3,(IF(物流評価結果!$C$74&gt;=4,3,IF(物流評価結果!$C$74&gt;=3,2,1)))+IF($N$72=TRUE,1,0))</f>
        <v>2</v>
      </c>
      <c r="S72" s="411">
        <f>MIN(3,(IF(ホテル評価結果!$C$74&gt;=4,3,IF(ホテル評価結果!$C$74&gt;=3,2,1)))+IF($N$72=TRUE,1,0))</f>
        <v>2</v>
      </c>
      <c r="T72" s="411">
        <f>MIN(3,(IF(集合住宅評価結果!$C$74&gt;=4,3,IF(集合住宅評価結果!$C$74&gt;=3,2,1)))+IF($N$72=TRUE,1,0))</f>
        <v>2</v>
      </c>
      <c r="U72" s="411">
        <f>MIN(3,(IF(オフィス改修評価結果!$C$74&gt;=4,3,IF(オフィス改修評価結果!$C$74&gt;=3,2,1)))+IF($N$72=TRUE,1,0))</f>
        <v>2</v>
      </c>
      <c r="V72" s="411">
        <f>MIN(3,(IF(店舗改修評価結果!$C$74&gt;=4,3,IF(店舗改修評価結果!$C$74&gt;=3,2,1)))+IF($N$72=TRUE,1,0))</f>
        <v>2</v>
      </c>
      <c r="W72" s="447"/>
      <c r="X72" s="447"/>
      <c r="Y72" s="447"/>
      <c r="Z72" s="447"/>
      <c r="AA72" s="447"/>
      <c r="AB72" s="447"/>
      <c r="AC72" s="447"/>
      <c r="AD72" s="448" t="s">
        <v>813</v>
      </c>
      <c r="AE72" s="448" t="s">
        <v>813</v>
      </c>
      <c r="AF72" s="448" t="s">
        <v>813</v>
      </c>
      <c r="AG72" s="448" t="str">
        <f t="shared" si="2"/>
        <v>3.4.1主要設備機器の更新必要間隔
レベル3→+1
レベル4,5→+2</v>
      </c>
      <c r="AH72" s="448" t="s">
        <v>491</v>
      </c>
      <c r="AI72" s="556" t="s">
        <v>814</v>
      </c>
    </row>
    <row r="73" spans="1:35" ht="56.25" customHeight="1">
      <c r="A73" s="904"/>
      <c r="B73" s="478">
        <v>58</v>
      </c>
      <c r="C73" s="476" t="s">
        <v>790</v>
      </c>
      <c r="D73" s="335" t="s">
        <v>755</v>
      </c>
      <c r="E73" s="380" t="s">
        <v>756</v>
      </c>
      <c r="F73" s="287"/>
      <c r="G73" s="287"/>
      <c r="H73" s="287"/>
      <c r="I73" s="390"/>
      <c r="J73" s="543"/>
      <c r="K73" s="384" t="str">
        <f t="shared" si="1"/>
        <v/>
      </c>
      <c r="L73" s="326"/>
      <c r="M73" s="419"/>
      <c r="N73" s="446"/>
      <c r="O73" s="446"/>
      <c r="P73" s="411">
        <f>(IF(オフィス評価結果!$C$76&gt;=4,3,IF(オフィス評価結果!$C$76&gt;=3,2,1)))</f>
        <v>2</v>
      </c>
      <c r="Q73" s="411">
        <f>(IF(店舗評価結果!$C$76&gt;=4,3,IF(店舗評価結果!$C$76&gt;=3,2,1)))</f>
        <v>2</v>
      </c>
      <c r="R73" s="411">
        <f>(IF(物流評価結果!$C$76&gt;=4,3,IF(物流評価結果!$C$76&gt;=3,2,1)))</f>
        <v>2</v>
      </c>
      <c r="S73" s="411">
        <f>(IF(ホテル評価結果!$C$76&gt;=4,3,IF(ホテル評価結果!$C$76&gt;=3,2,1)))</f>
        <v>2</v>
      </c>
      <c r="T73" s="411">
        <f>(IF(集合住宅評価結果!$C$76&gt;=4,3,IF(集合住宅評価結果!$C$76&gt;=3,2,1)))</f>
        <v>1</v>
      </c>
      <c r="U73" s="411">
        <f>(IF(オフィス改修評価結果!$C$76&gt;=4,3,IF(オフィス改修評価結果!$C$76&gt;=3,2,1)))</f>
        <v>2</v>
      </c>
      <c r="V73" s="411">
        <f>(IF(店舗改修評価結果!$C$76&gt;=4,3,IF(店舗改修評価結果!$C$76&gt;=3,2,1)))</f>
        <v>2</v>
      </c>
      <c r="W73" s="447"/>
      <c r="X73" s="447"/>
      <c r="Y73" s="447"/>
      <c r="Z73" s="447"/>
      <c r="AA73" s="447"/>
      <c r="AB73" s="447"/>
      <c r="AC73" s="447"/>
      <c r="AD73" s="458" t="s">
        <v>757</v>
      </c>
      <c r="AE73" s="458" t="s">
        <v>757</v>
      </c>
      <c r="AF73" s="458" t="s">
        <v>757</v>
      </c>
      <c r="AG73" s="458" t="str">
        <f t="shared" si="2"/>
        <v>3.4.2設備(電力等の自給率向上)
レベル3→＋1
レベル4，5→＋2</v>
      </c>
      <c r="AH73" s="458" t="s">
        <v>757</v>
      </c>
      <c r="AI73" s="542" t="s">
        <v>807</v>
      </c>
    </row>
    <row r="74" spans="1:35" ht="63">
      <c r="A74" s="904"/>
      <c r="B74" s="478">
        <v>59</v>
      </c>
      <c r="C74" s="476" t="s">
        <v>791</v>
      </c>
      <c r="D74" s="335" t="s">
        <v>760</v>
      </c>
      <c r="E74" s="378" t="s">
        <v>483</v>
      </c>
      <c r="F74" s="287"/>
      <c r="G74" s="287"/>
      <c r="H74" s="287"/>
      <c r="I74" s="407"/>
      <c r="J74" s="407"/>
      <c r="K74" s="384" t="str">
        <f t="shared" ref="K74:K113" si="17">IF($P$6="〇",P74,IF($Q$6="〇",Q74,IF($R$6="〇",R74,IF($S$6="〇",S74,IF($T$6="〇",T74,IF($U$6="〇",U74,IF($V$6="〇",V74,"")))))))</f>
        <v/>
      </c>
      <c r="L74" s="326"/>
      <c r="M74" s="419"/>
      <c r="N74" s="446"/>
      <c r="O74" s="446"/>
      <c r="P74" s="411">
        <f>(IF(オフィス評価結果!$C$97&gt;=4,2,IF(オフィス評価結果!$C$97&gt;=3,1,0)))+1</f>
        <v>2</v>
      </c>
      <c r="Q74" s="411">
        <f>(IF(店舗評価結果!$C$97&gt;=4,2,IF(店舗評価結果!$C$97&gt;=3,1,0)))+1</f>
        <v>2</v>
      </c>
      <c r="R74" s="411">
        <f>(IF(物流評価結果!$C$97&gt;=4,2,IF(物流評価結果!$C$97&gt;=3,1,0)))+1</f>
        <v>2</v>
      </c>
      <c r="S74" s="411">
        <f>(IF(ホテル評価結果!$C$97&gt;=4,2,IF(ホテル評価結果!$C$97&gt;=3,1,0)))+1</f>
        <v>2</v>
      </c>
      <c r="T74" s="411">
        <f>(IF(集合住宅評価結果!$C$97&gt;=4,2,IF(集合住宅評価結果!$C$97&gt;=3,1,0)))+1</f>
        <v>2</v>
      </c>
      <c r="U74" s="411">
        <f>(IF(オフィス改修評価結果!$C$97&gt;=4,2,IF(オフィス改修評価結果!$C$97&gt;=3,1,0)))+1</f>
        <v>2</v>
      </c>
      <c r="V74" s="411">
        <f>(IF(店舗改修評価結果!$C$97&gt;=4,2,IF(店舗改修評価結果!$C$97&gt;=3,1,0)))+1</f>
        <v>2</v>
      </c>
      <c r="W74" s="447"/>
      <c r="X74" s="447"/>
      <c r="Y74" s="447"/>
      <c r="Z74" s="447"/>
      <c r="AA74" s="447"/>
      <c r="AB74" s="447"/>
      <c r="AC74" s="447"/>
      <c r="AD74" s="448" t="s">
        <v>484</v>
      </c>
      <c r="AE74" s="448" t="s">
        <v>484</v>
      </c>
      <c r="AF74" s="448" t="s">
        <v>484</v>
      </c>
      <c r="AG74" s="448" t="str">
        <f t="shared" ref="AG74:AG113" si="18">AD74</f>
        <v>4.4自然災害リスク対策
レベル3→+1
レベル4,5→+2</v>
      </c>
      <c r="AH74" s="448" t="s">
        <v>484</v>
      </c>
      <c r="AI74" s="421"/>
    </row>
    <row r="75" spans="1:35" ht="99" customHeight="1">
      <c r="A75" s="904"/>
      <c r="B75" s="271">
        <v>60</v>
      </c>
      <c r="C75" s="269" t="s">
        <v>792</v>
      </c>
      <c r="D75" s="376" t="s">
        <v>504</v>
      </c>
      <c r="E75" s="270" t="s">
        <v>415</v>
      </c>
      <c r="F75" s="287"/>
      <c r="G75" s="287"/>
      <c r="H75" s="287"/>
      <c r="I75" s="284"/>
      <c r="J75" s="284"/>
      <c r="K75" s="384" t="str">
        <f t="shared" si="17"/>
        <v/>
      </c>
      <c r="L75" s="326"/>
      <c r="M75" s="419"/>
      <c r="N75" s="446"/>
      <c r="O75" s="446"/>
      <c r="P75" s="414" t="s">
        <v>579</v>
      </c>
      <c r="Q75" s="414" t="s">
        <v>579</v>
      </c>
      <c r="R75" s="414" t="s">
        <v>579</v>
      </c>
      <c r="S75" s="414" t="s">
        <v>579</v>
      </c>
      <c r="T75" s="752">
        <f>(IF(集合住宅評価結果!C126&gt;=3,2,IF(集合住宅評価結果!C126&gt;=2,1,0)))+1</f>
        <v>1</v>
      </c>
      <c r="U75" s="414" t="s">
        <v>579</v>
      </c>
      <c r="V75" s="414" t="s">
        <v>579</v>
      </c>
      <c r="W75" s="447"/>
      <c r="X75" s="447"/>
      <c r="Y75" s="447"/>
      <c r="Z75" s="447"/>
      <c r="AA75" s="447"/>
      <c r="AB75" s="447"/>
      <c r="AC75" s="447"/>
      <c r="AD75" s="448" t="s">
        <v>467</v>
      </c>
      <c r="AE75" s="448" t="s">
        <v>467</v>
      </c>
      <c r="AF75" s="448" t="s">
        <v>467</v>
      </c>
      <c r="AG75" s="448" t="str">
        <f t="shared" si="18"/>
        <v>(対象外)</v>
      </c>
      <c r="AH75" s="448" t="s">
        <v>505</v>
      </c>
      <c r="AI75" s="421"/>
    </row>
    <row r="76" spans="1:35" ht="75.75" customHeight="1">
      <c r="A76" s="904"/>
      <c r="B76" s="479">
        <v>61</v>
      </c>
      <c r="C76" s="480" t="s">
        <v>793</v>
      </c>
      <c r="D76" s="377" t="s">
        <v>506</v>
      </c>
      <c r="E76" s="493" t="s">
        <v>507</v>
      </c>
      <c r="F76" s="310"/>
      <c r="G76" s="310"/>
      <c r="H76" s="295"/>
      <c r="I76" s="393" t="s">
        <v>538</v>
      </c>
      <c r="J76" s="394"/>
      <c r="K76" s="872" t="str">
        <f t="shared" si="17"/>
        <v/>
      </c>
      <c r="M76" s="419"/>
      <c r="N76" s="446" t="b">
        <v>0</v>
      </c>
      <c r="O76" s="446"/>
      <c r="P76" s="858">
        <f t="shared" ref="P76:V76" si="19">MIN(3,IF($N$76=TRUE,2,COUNTIF($N$77:$N$79,TRUE))+1)</f>
        <v>1</v>
      </c>
      <c r="Q76" s="858">
        <f t="shared" si="19"/>
        <v>1</v>
      </c>
      <c r="R76" s="858">
        <f t="shared" si="19"/>
        <v>1</v>
      </c>
      <c r="S76" s="858">
        <f t="shared" si="19"/>
        <v>1</v>
      </c>
      <c r="T76" s="858">
        <f t="shared" si="19"/>
        <v>1</v>
      </c>
      <c r="U76" s="858">
        <f t="shared" si="19"/>
        <v>1</v>
      </c>
      <c r="V76" s="858">
        <f t="shared" si="19"/>
        <v>1</v>
      </c>
      <c r="W76" s="447"/>
      <c r="X76" s="447"/>
      <c r="Y76" s="447"/>
      <c r="Z76" s="447"/>
      <c r="AA76" s="447"/>
      <c r="AB76" s="447"/>
      <c r="AC76" s="447"/>
      <c r="AD76" s="461" t="s">
        <v>508</v>
      </c>
      <c r="AE76" s="461" t="s">
        <v>508</v>
      </c>
      <c r="AF76" s="461" t="s">
        <v>508</v>
      </c>
      <c r="AG76" s="461" t="str">
        <f t="shared" si="18"/>
        <v>4.1生物多様性能の向上
①評価・認証の取得→+2
②取組み表による評価
　1)自然資源の保全→+1
　2)種の多様性→+1
　5)生物資源の管理と利用→+1</v>
      </c>
      <c r="AH76" s="461" t="s">
        <v>508</v>
      </c>
      <c r="AI76" s="469"/>
    </row>
    <row r="77" spans="1:35" ht="74.25" customHeight="1">
      <c r="A77" s="904"/>
      <c r="B77" s="482"/>
      <c r="C77" s="483"/>
      <c r="D77" s="371"/>
      <c r="E77" s="494"/>
      <c r="F77" s="311"/>
      <c r="G77" s="311"/>
      <c r="H77" s="297"/>
      <c r="I77" s="400" t="s">
        <v>540</v>
      </c>
      <c r="J77" s="396"/>
      <c r="K77" s="881" t="str">
        <f t="shared" si="17"/>
        <v/>
      </c>
      <c r="M77" s="419"/>
      <c r="N77" s="446" t="b">
        <v>0</v>
      </c>
      <c r="O77" s="446"/>
      <c r="P77" s="859"/>
      <c r="Q77" s="859"/>
      <c r="R77" s="859"/>
      <c r="S77" s="859"/>
      <c r="T77" s="859"/>
      <c r="U77" s="859"/>
      <c r="V77" s="859"/>
      <c r="W77" s="447"/>
      <c r="X77" s="447"/>
      <c r="Y77" s="447"/>
      <c r="Z77" s="447"/>
      <c r="AA77" s="447"/>
      <c r="AB77" s="447"/>
      <c r="AC77" s="447"/>
      <c r="AD77" s="463"/>
      <c r="AE77" s="463"/>
      <c r="AF77" s="463"/>
      <c r="AG77" s="463">
        <f t="shared" si="18"/>
        <v>0</v>
      </c>
      <c r="AH77" s="463"/>
      <c r="AI77" s="421"/>
    </row>
    <row r="78" spans="1:35" ht="74.25" customHeight="1">
      <c r="A78" s="904"/>
      <c r="B78" s="482"/>
      <c r="C78" s="483"/>
      <c r="D78" s="371"/>
      <c r="E78" s="494"/>
      <c r="F78" s="311"/>
      <c r="G78" s="311"/>
      <c r="H78" s="297"/>
      <c r="I78" s="400" t="s">
        <v>546</v>
      </c>
      <c r="J78" s="396"/>
      <c r="K78" s="881" t="str">
        <f t="shared" si="17"/>
        <v/>
      </c>
      <c r="M78" s="419"/>
      <c r="N78" s="446" t="b">
        <v>0</v>
      </c>
      <c r="O78" s="446"/>
      <c r="P78" s="859"/>
      <c r="Q78" s="859"/>
      <c r="R78" s="859"/>
      <c r="S78" s="859"/>
      <c r="T78" s="859"/>
      <c r="U78" s="859"/>
      <c r="V78" s="859"/>
      <c r="W78" s="447"/>
      <c r="X78" s="447"/>
      <c r="Y78" s="447"/>
      <c r="Z78" s="447"/>
      <c r="AA78" s="447"/>
      <c r="AB78" s="447"/>
      <c r="AC78" s="447"/>
      <c r="AD78" s="463"/>
      <c r="AE78" s="463"/>
      <c r="AF78" s="463"/>
      <c r="AG78" s="463">
        <f t="shared" si="18"/>
        <v>0</v>
      </c>
      <c r="AH78" s="463"/>
      <c r="AI78" s="421"/>
    </row>
    <row r="79" spans="1:35" ht="74.25" customHeight="1">
      <c r="A79" s="904"/>
      <c r="B79" s="485"/>
      <c r="C79" s="486"/>
      <c r="D79" s="372"/>
      <c r="E79" s="492"/>
      <c r="F79" s="312"/>
      <c r="G79" s="312"/>
      <c r="H79" s="299"/>
      <c r="I79" s="397" t="s">
        <v>547</v>
      </c>
      <c r="J79" s="401"/>
      <c r="K79" s="873" t="str">
        <f t="shared" si="17"/>
        <v/>
      </c>
      <c r="M79" s="419"/>
      <c r="N79" s="446" t="b">
        <v>0</v>
      </c>
      <c r="O79" s="446"/>
      <c r="P79" s="860"/>
      <c r="Q79" s="860"/>
      <c r="R79" s="860"/>
      <c r="S79" s="860"/>
      <c r="T79" s="860"/>
      <c r="U79" s="860"/>
      <c r="V79" s="860"/>
      <c r="W79" s="447"/>
      <c r="X79" s="447"/>
      <c r="Y79" s="447"/>
      <c r="Z79" s="447"/>
      <c r="AA79" s="447"/>
      <c r="AB79" s="447"/>
      <c r="AC79" s="447"/>
      <c r="AD79" s="465"/>
      <c r="AE79" s="465"/>
      <c r="AF79" s="465"/>
      <c r="AG79" s="465">
        <f t="shared" si="18"/>
        <v>0</v>
      </c>
      <c r="AH79" s="465"/>
      <c r="AI79" s="421"/>
    </row>
    <row r="80" spans="1:35" ht="86.45" customHeight="1">
      <c r="A80" s="905"/>
      <c r="B80" s="478">
        <v>62</v>
      </c>
      <c r="C80" s="476" t="s">
        <v>816</v>
      </c>
      <c r="D80" s="376" t="s">
        <v>509</v>
      </c>
      <c r="E80" s="378" t="s">
        <v>713</v>
      </c>
      <c r="F80" s="391"/>
      <c r="G80" s="334"/>
      <c r="H80" s="387"/>
      <c r="I80" s="386" t="s">
        <v>603</v>
      </c>
      <c r="J80" s="404"/>
      <c r="K80" s="384" t="str">
        <f t="shared" si="17"/>
        <v/>
      </c>
      <c r="M80" s="419">
        <v>1</v>
      </c>
      <c r="N80" s="456" t="b">
        <v>0</v>
      </c>
      <c r="O80" s="419">
        <f>IF(N80=FALSE,IF(M80=1,1,IF(M80=2,2,3)),IF(M80=1,2,3))</f>
        <v>1</v>
      </c>
      <c r="P80" s="411">
        <f t="shared" ref="P80:V80" si="20">$O$80</f>
        <v>1</v>
      </c>
      <c r="Q80" s="411">
        <f t="shared" si="20"/>
        <v>1</v>
      </c>
      <c r="R80" s="411">
        <f t="shared" si="20"/>
        <v>1</v>
      </c>
      <c r="S80" s="411">
        <f t="shared" si="20"/>
        <v>1</v>
      </c>
      <c r="T80" s="411">
        <f t="shared" si="20"/>
        <v>1</v>
      </c>
      <c r="U80" s="411">
        <f t="shared" si="20"/>
        <v>1</v>
      </c>
      <c r="V80" s="411">
        <f t="shared" si="20"/>
        <v>1</v>
      </c>
      <c r="W80" s="447"/>
      <c r="X80" s="447"/>
      <c r="Y80" s="447"/>
      <c r="Z80" s="447"/>
      <c r="AA80" s="447"/>
      <c r="AB80" s="447"/>
      <c r="AC80" s="447"/>
      <c r="AD80" s="452" t="s">
        <v>382</v>
      </c>
      <c r="AE80" s="452" t="s">
        <v>382</v>
      </c>
      <c r="AF80" s="452" t="s">
        <v>382</v>
      </c>
      <c r="AG80" s="452" t="str">
        <f t="shared" si="18"/>
        <v>チェックリスト項目</v>
      </c>
      <c r="AH80" s="452" t="s">
        <v>382</v>
      </c>
      <c r="AI80" s="421"/>
    </row>
    <row r="81" spans="1:54" ht="51.75" customHeight="1">
      <c r="A81" s="544" t="s">
        <v>674</v>
      </c>
      <c r="B81" s="475">
        <v>63</v>
      </c>
      <c r="C81" s="476" t="s">
        <v>642</v>
      </c>
      <c r="D81" s="335" t="s">
        <v>502</v>
      </c>
      <c r="E81" s="380" t="s">
        <v>480</v>
      </c>
      <c r="F81" s="301"/>
      <c r="G81" s="301"/>
      <c r="H81" s="301"/>
      <c r="I81" s="402"/>
      <c r="J81" s="402"/>
      <c r="K81" s="384" t="str">
        <f t="shared" si="17"/>
        <v/>
      </c>
      <c r="L81" s="324"/>
      <c r="M81" s="419"/>
      <c r="N81" s="456"/>
      <c r="O81" s="456"/>
      <c r="P81" s="411">
        <f>IF(オフィス評価結果!$C$71&gt;=4,2,IF(オフィス評価結果!$C$71&gt;=3,1,0))+1</f>
        <v>2</v>
      </c>
      <c r="Q81" s="411">
        <f>IF(店舗評価結果!$C$71&gt;=4,2,IF(店舗評価結果!$C$71&gt;=3,1,0))+1</f>
        <v>2</v>
      </c>
      <c r="R81" s="411">
        <f>IF(物流評価結果!$C$71&gt;=4,2,IF(物流評価結果!$C$71&gt;=3,1,0))+1</f>
        <v>2</v>
      </c>
      <c r="S81" s="411">
        <f>IF(ホテル評価結果!$C$71&gt;=4,2,IF(ホテル評価結果!$C$71&gt;=3,1,0))+1</f>
        <v>2</v>
      </c>
      <c r="T81" s="411">
        <f>IF(集合住宅評価結果!$C$71&gt;=4,2,IF(集合住宅評価結果!$C$71&gt;=3,1,0))+1</f>
        <v>2</v>
      </c>
      <c r="U81" s="411">
        <f>IF(オフィス改修評価結果!$C$71&gt;=4,2,IF(オフィス改修評価結果!$C$71&gt;=3,1,0))+1</f>
        <v>2</v>
      </c>
      <c r="V81" s="411">
        <f>IF(店舗改修評価結果!$C$71&gt;=4,2,IF(店舗改修評価結果!$C$71&gt;=3,1,0))+1</f>
        <v>2</v>
      </c>
      <c r="W81" s="457"/>
      <c r="X81" s="457"/>
      <c r="Y81" s="457"/>
      <c r="Z81" s="457"/>
      <c r="AA81" s="457"/>
      <c r="AB81" s="457"/>
      <c r="AC81" s="457"/>
      <c r="AD81" s="448" t="s">
        <v>481</v>
      </c>
      <c r="AE81" s="448" t="s">
        <v>481</v>
      </c>
      <c r="AF81" s="448" t="s">
        <v>481</v>
      </c>
      <c r="AG81" s="448" t="str">
        <f t="shared" si="18"/>
        <v>3.3躯体材料の耐用年数
レベル3→+1
レベル4,5→+2</v>
      </c>
      <c r="AH81" s="448" t="s">
        <v>481</v>
      </c>
      <c r="AI81" s="421"/>
    </row>
    <row r="82" spans="1:54" ht="63">
      <c r="A82" s="545"/>
      <c r="B82" s="475">
        <v>64</v>
      </c>
      <c r="C82" s="476" t="s">
        <v>643</v>
      </c>
      <c r="D82" s="335" t="s">
        <v>482</v>
      </c>
      <c r="E82" s="378" t="s">
        <v>483</v>
      </c>
      <c r="F82" s="287"/>
      <c r="G82" s="287"/>
      <c r="H82" s="287"/>
      <c r="I82" s="407"/>
      <c r="J82" s="407"/>
      <c r="K82" s="384" t="str">
        <f t="shared" si="17"/>
        <v/>
      </c>
      <c r="L82" s="326"/>
      <c r="M82" s="419"/>
      <c r="N82" s="446"/>
      <c r="O82" s="446"/>
      <c r="P82" s="411">
        <f>IF(オフィス評価結果!$C$97&gt;=4,2,IF(オフィス評価結果!$C$97&gt;=3,1,0))+1</f>
        <v>2</v>
      </c>
      <c r="Q82" s="411">
        <f>IF(店舗評価結果!$C$97&gt;=4,2,IF(店舗評価結果!$C$97&gt;=3,1,0))+1</f>
        <v>2</v>
      </c>
      <c r="R82" s="411">
        <f>IF(物流評価結果!$C$97&gt;=4,2,IF(物流評価結果!$C$97&gt;=3,1,0))+1</f>
        <v>2</v>
      </c>
      <c r="S82" s="411">
        <f>IF(ホテル評価結果!$C$97&gt;=4,2,IF(ホテル評価結果!$C$97&gt;=3,1,0))+1</f>
        <v>2</v>
      </c>
      <c r="T82" s="411">
        <f>IF(集合住宅評価結果!$C$97&gt;=4,2,IF(集合住宅評価結果!$C$97&gt;=3,1,0))+1</f>
        <v>2</v>
      </c>
      <c r="U82" s="411">
        <f>IF(オフィス改修評価結果!$C$97&gt;=4,2,IF(オフィス改修評価結果!$C$97&gt;=3,1,0))+1</f>
        <v>2</v>
      </c>
      <c r="V82" s="411">
        <f>IF(店舗改修評価結果!$C$97&gt;=4,2,IF(店舗改修評価結果!$C$97&gt;=3,1,0))+1</f>
        <v>2</v>
      </c>
      <c r="W82" s="447"/>
      <c r="X82" s="447"/>
      <c r="Y82" s="447"/>
      <c r="Z82" s="447"/>
      <c r="AA82" s="447"/>
      <c r="AB82" s="447"/>
      <c r="AC82" s="447"/>
      <c r="AD82" s="448" t="s">
        <v>484</v>
      </c>
      <c r="AE82" s="448" t="s">
        <v>484</v>
      </c>
      <c r="AF82" s="448" t="s">
        <v>484</v>
      </c>
      <c r="AG82" s="448" t="str">
        <f t="shared" si="18"/>
        <v>4.4自然災害リスク対策
レベル3→+1
レベル4,5→+2</v>
      </c>
      <c r="AH82" s="448" t="s">
        <v>484</v>
      </c>
      <c r="AI82" s="421"/>
    </row>
    <row r="83" spans="1:54" ht="46.5" customHeight="1">
      <c r="A83" s="545"/>
      <c r="B83" s="489">
        <v>65</v>
      </c>
      <c r="C83" s="476" t="s">
        <v>644</v>
      </c>
      <c r="D83" s="381" t="s">
        <v>511</v>
      </c>
      <c r="E83" s="495" t="s">
        <v>512</v>
      </c>
      <c r="F83" s="329"/>
      <c r="G83" s="305"/>
      <c r="H83" s="305"/>
      <c r="I83" s="315" t="s">
        <v>655</v>
      </c>
      <c r="J83" s="290"/>
      <c r="K83" s="384" t="str">
        <f t="shared" si="17"/>
        <v/>
      </c>
      <c r="L83" s="324"/>
      <c r="M83" s="419"/>
      <c r="N83" s="456"/>
      <c r="O83" s="456"/>
      <c r="P83" s="415">
        <f t="shared" ref="P83:V83" si="21">P55</f>
        <v>1</v>
      </c>
      <c r="Q83" s="415">
        <f t="shared" si="21"/>
        <v>1</v>
      </c>
      <c r="R83" s="415">
        <f t="shared" si="21"/>
        <v>1</v>
      </c>
      <c r="S83" s="415">
        <f>S55</f>
        <v>1</v>
      </c>
      <c r="T83" s="415">
        <f t="shared" si="21"/>
        <v>1</v>
      </c>
      <c r="U83" s="415">
        <f t="shared" si="21"/>
        <v>1</v>
      </c>
      <c r="V83" s="415">
        <f t="shared" si="21"/>
        <v>1</v>
      </c>
      <c r="W83" s="457"/>
      <c r="X83" s="457"/>
      <c r="Y83" s="457"/>
      <c r="Z83" s="457"/>
      <c r="AA83" s="457"/>
      <c r="AB83" s="457"/>
      <c r="AC83" s="468"/>
      <c r="AD83" s="461" t="s">
        <v>552</v>
      </c>
      <c r="AE83" s="461" t="s">
        <v>552</v>
      </c>
      <c r="AF83" s="461" t="s">
        <v>552</v>
      </c>
      <c r="AG83" s="461" t="str">
        <f t="shared" si="18"/>
        <v xml:space="preserve">3.2.1①木材の加点の工夫
3.2.1②木材の加点の工夫
①と②のレベル大きな方をとる
レベル3→+1、レベル4以上→+2
</v>
      </c>
      <c r="AH83" s="461" t="s">
        <v>552</v>
      </c>
      <c r="AI83" s="421"/>
    </row>
    <row r="84" spans="1:54" ht="45" customHeight="1">
      <c r="A84" s="545"/>
      <c r="B84" s="489">
        <v>66</v>
      </c>
      <c r="C84" s="476" t="s">
        <v>794</v>
      </c>
      <c r="D84" s="335" t="s">
        <v>765</v>
      </c>
      <c r="E84" s="378" t="s">
        <v>766</v>
      </c>
      <c r="F84" s="289"/>
      <c r="G84" s="289"/>
      <c r="H84" s="289"/>
      <c r="I84" s="335"/>
      <c r="J84" s="551"/>
      <c r="K84" s="384" t="str">
        <f t="shared" si="17"/>
        <v/>
      </c>
      <c r="L84" s="326"/>
      <c r="M84" s="419"/>
      <c r="N84" s="446"/>
      <c r="O84" s="446"/>
      <c r="P84" s="411">
        <f>IF(オフィス評価結果!$C$78&gt;=4,3,IF(オフィス評価結果!$C$78&gt;=3,2,1))</f>
        <v>1</v>
      </c>
      <c r="Q84" s="411">
        <f>IF(店舗評価結果!$C$78&gt;=4,3,IF(店舗評価結果!$C$78&gt;=3,2,1))</f>
        <v>1</v>
      </c>
      <c r="R84" s="411">
        <f>IF(物流評価結果!$C$78&gt;=4,3,IF(物流評価結果!$C$78&gt;=3,2,1))</f>
        <v>1</v>
      </c>
      <c r="S84" s="411">
        <f>IF(ホテル評価結果!$C$78&gt;=4,3,IF(ホテル評価結果!$C$78&gt;=3,2,1))</f>
        <v>1</v>
      </c>
      <c r="T84" s="411">
        <f>IF(集合住宅評価結果!$C$78&gt;=4,3,IF(集合住宅評価結果!$C$78&gt;=3,2,1))</f>
        <v>1</v>
      </c>
      <c r="U84" s="411">
        <f>IF(オフィス改修評価結果!$C$78&gt;=4,3,IF(オフィス改修評価結果!$C$78&gt;=3,2,1))</f>
        <v>1</v>
      </c>
      <c r="V84" s="411">
        <f>IF(店舗改修評価結果!$C$78&gt;=4,3,IF(店舗改修評価結果!$C$78&gt;=3,2,1))</f>
        <v>1</v>
      </c>
      <c r="W84" s="447"/>
      <c r="X84" s="447"/>
      <c r="Y84" s="447"/>
      <c r="Z84" s="447"/>
      <c r="AA84" s="447"/>
      <c r="AB84" s="447"/>
      <c r="AC84" s="447"/>
      <c r="AD84" s="455" t="s">
        <v>767</v>
      </c>
      <c r="AE84" s="455" t="s">
        <v>767</v>
      </c>
      <c r="AF84" s="455" t="s">
        <v>767</v>
      </c>
      <c r="AG84" s="455" t="str">
        <f t="shared" si="18"/>
        <v>3.4.3維持管理
レベル3→＋1
レベル4，5→＋2</v>
      </c>
      <c r="AH84" s="455" t="s">
        <v>767</v>
      </c>
      <c r="AI84" s="450" t="s">
        <v>764</v>
      </c>
    </row>
    <row r="85" spans="1:54" ht="83.25" customHeight="1">
      <c r="A85" s="545"/>
      <c r="B85" s="489">
        <v>67</v>
      </c>
      <c r="C85" s="476" t="s">
        <v>795</v>
      </c>
      <c r="D85" s="381" t="s">
        <v>761</v>
      </c>
      <c r="E85" s="559" t="s">
        <v>762</v>
      </c>
      <c r="F85" s="329"/>
      <c r="G85" s="547"/>
      <c r="H85" s="547"/>
      <c r="I85" s="550" t="s">
        <v>763</v>
      </c>
      <c r="J85" s="548"/>
      <c r="K85" s="384" t="str">
        <f t="shared" si="17"/>
        <v/>
      </c>
      <c r="L85" s="324"/>
      <c r="M85" s="419"/>
      <c r="N85" s="456" t="b">
        <v>0</v>
      </c>
      <c r="O85" s="456"/>
      <c r="P85" s="411">
        <f t="shared" ref="P85:V85" si="22">IF($N$85=TRUE,2,1)</f>
        <v>1</v>
      </c>
      <c r="Q85" s="411">
        <f t="shared" si="22"/>
        <v>1</v>
      </c>
      <c r="R85" s="411">
        <f t="shared" si="22"/>
        <v>1</v>
      </c>
      <c r="S85" s="411">
        <f t="shared" si="22"/>
        <v>1</v>
      </c>
      <c r="T85" s="411">
        <f t="shared" si="22"/>
        <v>1</v>
      </c>
      <c r="U85" s="411">
        <f t="shared" si="22"/>
        <v>1</v>
      </c>
      <c r="V85" s="411">
        <f t="shared" si="22"/>
        <v>1</v>
      </c>
      <c r="W85" s="457"/>
      <c r="X85" s="457"/>
      <c r="Y85" s="457"/>
      <c r="Z85" s="457"/>
      <c r="AA85" s="457"/>
      <c r="AB85" s="457"/>
      <c r="AC85" s="457"/>
      <c r="AD85" s="549" t="s">
        <v>768</v>
      </c>
      <c r="AE85" s="549" t="s">
        <v>768</v>
      </c>
      <c r="AF85" s="549" t="s">
        <v>768</v>
      </c>
      <c r="AG85" s="549" t="str">
        <f t="shared" si="18"/>
        <v>地域性のある材料を使用している場合（チェック項目）→＋1</v>
      </c>
      <c r="AH85" s="549" t="s">
        <v>768</v>
      </c>
      <c r="AI85" s="450" t="s">
        <v>764</v>
      </c>
    </row>
    <row r="86" spans="1:54" ht="45" customHeight="1">
      <c r="A86" s="545"/>
      <c r="B86" s="475">
        <v>68</v>
      </c>
      <c r="C86" s="476" t="s">
        <v>510</v>
      </c>
      <c r="D86" s="379" t="s">
        <v>469</v>
      </c>
      <c r="E86" s="380" t="s">
        <v>470</v>
      </c>
      <c r="F86" s="302"/>
      <c r="G86" s="302"/>
      <c r="H86" s="302"/>
      <c r="I86" s="302" t="s">
        <v>656</v>
      </c>
      <c r="J86" s="302"/>
      <c r="K86" s="384" t="str">
        <f t="shared" si="17"/>
        <v/>
      </c>
      <c r="L86" s="324"/>
      <c r="M86" s="419"/>
      <c r="N86" s="456"/>
      <c r="O86" s="456"/>
      <c r="P86" s="411">
        <f t="shared" ref="P86:V86" si="23">P52</f>
        <v>1</v>
      </c>
      <c r="Q86" s="411">
        <f t="shared" si="23"/>
        <v>1</v>
      </c>
      <c r="R86" s="411">
        <f t="shared" si="23"/>
        <v>1</v>
      </c>
      <c r="S86" s="411">
        <f>S52</f>
        <v>1</v>
      </c>
      <c r="T86" s="411">
        <f t="shared" si="23"/>
        <v>1</v>
      </c>
      <c r="U86" s="411">
        <f t="shared" si="23"/>
        <v>1</v>
      </c>
      <c r="V86" s="411">
        <f t="shared" si="23"/>
        <v>1</v>
      </c>
      <c r="W86" s="457"/>
      <c r="X86" s="457"/>
      <c r="Y86" s="457"/>
      <c r="Z86" s="457"/>
      <c r="AA86" s="457"/>
      <c r="AB86" s="457"/>
      <c r="AC86" s="457"/>
      <c r="AD86" s="454" t="s">
        <v>591</v>
      </c>
      <c r="AE86" s="454" t="s">
        <v>591</v>
      </c>
      <c r="AF86" s="454" t="s">
        <v>591</v>
      </c>
      <c r="AG86" s="454" t="str">
        <f t="shared" si="18"/>
        <v>3.2.1再生材利用率・地域材・木材利用
①躯体材料におけるリサイクル材の使用
既存建築躯体を含める評価基準の修正
→既存建築躯体を使用している場合＋１</v>
      </c>
      <c r="AH86" s="454" t="s">
        <v>591</v>
      </c>
      <c r="AI86" s="450"/>
    </row>
    <row r="87" spans="1:54" ht="45" customHeight="1">
      <c r="A87" s="545"/>
      <c r="B87" s="475">
        <v>69</v>
      </c>
      <c r="C87" s="476" t="s">
        <v>645</v>
      </c>
      <c r="D87" s="339" t="s">
        <v>513</v>
      </c>
      <c r="E87" s="380" t="s">
        <v>473</v>
      </c>
      <c r="F87" s="302"/>
      <c r="G87" s="302"/>
      <c r="H87" s="302"/>
      <c r="I87" s="466" t="s">
        <v>817</v>
      </c>
      <c r="J87" s="466"/>
      <c r="K87" s="384" t="str">
        <f t="shared" si="17"/>
        <v/>
      </c>
      <c r="L87" s="324"/>
      <c r="M87" s="419"/>
      <c r="N87" s="456"/>
      <c r="O87" s="456"/>
      <c r="P87" s="411">
        <f>IF(オフィス評価結果!$C$67&gt;=4,2,1)</f>
        <v>1</v>
      </c>
      <c r="Q87" s="411">
        <f>IF(店舗評価結果!$C$67&gt;=4,2,1)</f>
        <v>1</v>
      </c>
      <c r="R87" s="411">
        <f>IF(物流評価結果!$C$67&gt;=4,2,1)</f>
        <v>1</v>
      </c>
      <c r="S87" s="411">
        <f>IF(ホテル評価結果!$C$67&gt;=4,2,1)</f>
        <v>1</v>
      </c>
      <c r="T87" s="411">
        <f>IF(集合住宅評価結果!$C$67&gt;=4,2,1)</f>
        <v>1</v>
      </c>
      <c r="U87" s="411">
        <f>IF(オフィス改修評価結果!$C$67=4,2,1)</f>
        <v>1</v>
      </c>
      <c r="V87" s="411">
        <f>IF(店舗改修評価結果!$C$67&gt;=4,2,1)</f>
        <v>1</v>
      </c>
      <c r="W87" s="457"/>
      <c r="X87" s="457"/>
      <c r="Y87" s="457"/>
      <c r="Z87" s="457"/>
      <c r="AA87" s="457"/>
      <c r="AB87" s="457"/>
      <c r="AC87" s="457"/>
      <c r="AD87" s="448" t="s">
        <v>592</v>
      </c>
      <c r="AE87" s="448" t="s">
        <v>592</v>
      </c>
      <c r="AF87" s="448" t="s">
        <v>592</v>
      </c>
      <c r="AG87" s="448" t="str">
        <f t="shared" si="18"/>
        <v>3.2.1再生材利用率・地域材・木材利用
①躯体材料におけるリサイクル材の使用
レベル4以上→＋1</v>
      </c>
      <c r="AH87" s="448" t="s">
        <v>592</v>
      </c>
      <c r="AI87" s="421"/>
    </row>
    <row r="88" spans="1:54" ht="45" customHeight="1">
      <c r="A88" s="545"/>
      <c r="B88" s="475">
        <v>70</v>
      </c>
      <c r="C88" s="476" t="s">
        <v>646</v>
      </c>
      <c r="D88" s="339" t="s">
        <v>514</v>
      </c>
      <c r="E88" s="380" t="s">
        <v>475</v>
      </c>
      <c r="F88" s="302"/>
      <c r="G88" s="302"/>
      <c r="H88" s="302"/>
      <c r="I88" s="466" t="s">
        <v>818</v>
      </c>
      <c r="J88" s="466"/>
      <c r="K88" s="384" t="str">
        <f t="shared" si="17"/>
        <v/>
      </c>
      <c r="L88" s="324"/>
      <c r="M88" s="419"/>
      <c r="N88" s="456"/>
      <c r="O88" s="456"/>
      <c r="P88" s="411">
        <f>IF(オフィス評価結果!$C$68&gt;=4,2,IF(オフィス評価結果!$C$68&gt;=3,1,0))+1</f>
        <v>1</v>
      </c>
      <c r="Q88" s="411">
        <f>IF(店舗評価結果!$C$68&gt;=4,2,IF(店舗評価結果!$C$68&gt;=3,1,0))+1</f>
        <v>1</v>
      </c>
      <c r="R88" s="411">
        <f>IF(物流評価結果!$C$68&gt;=4,2,IF(物流評価結果!$C$68&gt;=3,1,0))+1</f>
        <v>1</v>
      </c>
      <c r="S88" s="411">
        <f>IF(ホテル評価結果!$C$68&gt;=4,2,IF(ホテル評価結果!$C$68&gt;=3,1,0))+1</f>
        <v>1</v>
      </c>
      <c r="T88" s="411">
        <f>IF(集合住宅評価結果!$C$68&gt;=4,2,IF(集合住宅評価結果!$C$68&gt;=3,1,0))+1</f>
        <v>1</v>
      </c>
      <c r="U88" s="411">
        <f>IF(オフィス改修評価結果!$C$68&gt;=4,2,IF(オフィス改修評価結果!$C$68&gt;=3,1,0))+1</f>
        <v>1</v>
      </c>
      <c r="V88" s="411">
        <f>IF(店舗改修評価結果!$C$68&gt;=4,2,IF(店舗改修評価結果!$C$68&gt;=3,1,0))+1</f>
        <v>1</v>
      </c>
      <c r="W88" s="457"/>
      <c r="X88" s="457"/>
      <c r="Y88" s="457"/>
      <c r="Z88" s="457"/>
      <c r="AA88" s="457"/>
      <c r="AB88" s="457"/>
      <c r="AC88" s="457"/>
      <c r="AD88" s="448" t="s">
        <v>476</v>
      </c>
      <c r="AE88" s="448" t="s">
        <v>476</v>
      </c>
      <c r="AF88" s="448" t="s">
        <v>476</v>
      </c>
      <c r="AG88" s="448" t="str">
        <f t="shared" si="18"/>
        <v>3.2.1再生材利用率・地域材・木材利用
②非構造材料におけるリサイクル材・地域材・木材の使用
レベル3→+1、レベル4以上→+2</v>
      </c>
      <c r="AH88" s="448" t="s">
        <v>476</v>
      </c>
      <c r="AI88" s="421"/>
    </row>
    <row r="89" spans="1:54" ht="45" customHeight="1">
      <c r="A89" s="545"/>
      <c r="B89" s="475">
        <v>71</v>
      </c>
      <c r="C89" s="476" t="s">
        <v>647</v>
      </c>
      <c r="D89" s="335" t="s">
        <v>515</v>
      </c>
      <c r="E89" s="378" t="s">
        <v>431</v>
      </c>
      <c r="F89" s="287"/>
      <c r="G89" s="287"/>
      <c r="H89" s="287"/>
      <c r="I89" s="308" t="s">
        <v>551</v>
      </c>
      <c r="J89" s="290"/>
      <c r="K89" s="384" t="str">
        <f t="shared" si="17"/>
        <v/>
      </c>
      <c r="L89" s="326"/>
      <c r="M89" s="419"/>
      <c r="N89" s="446"/>
      <c r="O89" s="446"/>
      <c r="P89" s="415">
        <f t="shared" ref="P89:V89" si="24">P29</f>
        <v>1</v>
      </c>
      <c r="Q89" s="415">
        <f t="shared" si="24"/>
        <v>1</v>
      </c>
      <c r="R89" s="415">
        <f t="shared" si="24"/>
        <v>1</v>
      </c>
      <c r="S89" s="415">
        <f>S29</f>
        <v>3</v>
      </c>
      <c r="T89" s="415">
        <f t="shared" si="24"/>
        <v>1</v>
      </c>
      <c r="U89" s="415">
        <f t="shared" si="24"/>
        <v>1</v>
      </c>
      <c r="V89" s="415">
        <f t="shared" si="24"/>
        <v>1</v>
      </c>
      <c r="W89" s="447"/>
      <c r="X89" s="447"/>
      <c r="Y89" s="447"/>
      <c r="Z89" s="447"/>
      <c r="AA89" s="447"/>
      <c r="AB89" s="447"/>
      <c r="AC89" s="447"/>
      <c r="AD89" s="460" t="s">
        <v>516</v>
      </c>
      <c r="AE89" s="460" t="s">
        <v>516</v>
      </c>
      <c r="AF89" s="461" t="s">
        <v>432</v>
      </c>
      <c r="AG89" s="460" t="str">
        <f>AD89</f>
        <v>2.1水使用量(計算値)
使用量算定ソフトで大便器の吐水量が6L/回以下→+2</v>
      </c>
      <c r="AH89" s="461" t="s">
        <v>593</v>
      </c>
      <c r="AI89" s="421"/>
    </row>
    <row r="90" spans="1:54" ht="71.25" customHeight="1">
      <c r="A90" s="545"/>
      <c r="B90" s="268">
        <v>72</v>
      </c>
      <c r="C90" s="269" t="s">
        <v>796</v>
      </c>
      <c r="D90" s="335" t="s">
        <v>517</v>
      </c>
      <c r="E90" s="270" t="s">
        <v>614</v>
      </c>
      <c r="F90" s="289"/>
      <c r="G90" s="289"/>
      <c r="H90" s="289"/>
      <c r="I90" s="386" t="s">
        <v>603</v>
      </c>
      <c r="J90" s="409"/>
      <c r="K90" s="384" t="str">
        <f t="shared" si="17"/>
        <v/>
      </c>
      <c r="M90" s="419"/>
      <c r="N90" s="446" t="b">
        <v>0</v>
      </c>
      <c r="O90" s="446"/>
      <c r="P90" s="414" t="s">
        <v>579</v>
      </c>
      <c r="Q90" s="411">
        <f>MIN(3,IF(店舗評価結果!$C$69&gt;=3,3,IF(店舗評価結果!$C$69&gt;=2,2,1))+IF($N$90=TRUE,1,0))</f>
        <v>3</v>
      </c>
      <c r="R90" s="414" t="s">
        <v>579</v>
      </c>
      <c r="S90" s="414" t="s">
        <v>579</v>
      </c>
      <c r="T90" s="411">
        <f>MIN(3,IF(集合住宅評価結果!$C$69&gt;=3,3,IF(集合住宅評価結果!$C$69&gt;=2,2,1))+IF($N$90=TRUE,1,0))</f>
        <v>3</v>
      </c>
      <c r="U90" s="414" t="s">
        <v>579</v>
      </c>
      <c r="V90" s="414" t="s">
        <v>579</v>
      </c>
      <c r="W90" s="447"/>
      <c r="X90" s="447"/>
      <c r="Y90" s="447"/>
      <c r="Z90" s="447"/>
      <c r="AA90" s="447"/>
      <c r="AB90" s="447"/>
      <c r="AC90" s="447"/>
      <c r="AD90" s="448" t="s">
        <v>411</v>
      </c>
      <c r="AE90" s="448" t="s">
        <v>549</v>
      </c>
      <c r="AF90" s="448" t="s">
        <v>411</v>
      </c>
      <c r="AG90" s="448" t="str">
        <f t="shared" si="18"/>
        <v>（対象外）</v>
      </c>
      <c r="AH90" s="448" t="s">
        <v>549</v>
      </c>
      <c r="AI90" s="421"/>
    </row>
    <row r="91" spans="1:54" ht="105" customHeight="1">
      <c r="A91" s="545"/>
      <c r="B91" s="475">
        <v>73</v>
      </c>
      <c r="C91" s="476" t="s">
        <v>797</v>
      </c>
      <c r="D91" s="339" t="s">
        <v>454</v>
      </c>
      <c r="E91" s="380" t="s">
        <v>455</v>
      </c>
      <c r="F91" s="301"/>
      <c r="G91" s="301"/>
      <c r="H91" s="301"/>
      <c r="I91" s="302" t="s">
        <v>828</v>
      </c>
      <c r="J91" s="313"/>
      <c r="K91" s="384" t="str">
        <f t="shared" si="17"/>
        <v/>
      </c>
      <c r="L91" s="324"/>
      <c r="M91" s="419"/>
      <c r="N91" s="456"/>
      <c r="O91" s="456"/>
      <c r="P91" s="411">
        <f t="shared" ref="P91:V91" si="25">P42</f>
        <v>1</v>
      </c>
      <c r="Q91" s="411">
        <f t="shared" si="25"/>
        <v>1</v>
      </c>
      <c r="R91" s="411">
        <f t="shared" si="25"/>
        <v>1</v>
      </c>
      <c r="S91" s="411">
        <f>S42</f>
        <v>1</v>
      </c>
      <c r="T91" s="411">
        <f t="shared" si="25"/>
        <v>1</v>
      </c>
      <c r="U91" s="411">
        <f t="shared" si="25"/>
        <v>1</v>
      </c>
      <c r="V91" s="411">
        <f t="shared" si="25"/>
        <v>1</v>
      </c>
      <c r="W91" s="457"/>
      <c r="X91" s="457"/>
      <c r="Y91" s="457"/>
      <c r="Z91" s="457"/>
      <c r="AA91" s="457"/>
      <c r="AB91" s="457"/>
      <c r="AC91" s="457"/>
      <c r="AD91" s="454" t="s">
        <v>456</v>
      </c>
      <c r="AE91" s="454" t="s">
        <v>456</v>
      </c>
      <c r="AF91" s="454" t="s">
        <v>456</v>
      </c>
      <c r="AG91" s="454" t="str">
        <f t="shared" si="18"/>
        <v>1エネルギー【必須】
②エネルギー消費量の目標設定
③モニタリングの実施
③運用管理体制の構築
の確認→+2</v>
      </c>
      <c r="AH91" s="454" t="s">
        <v>456</v>
      </c>
      <c r="AI91" s="421"/>
    </row>
    <row r="92" spans="1:54" ht="45" customHeight="1">
      <c r="A92" s="545"/>
      <c r="B92" s="475">
        <v>74</v>
      </c>
      <c r="C92" s="476" t="s">
        <v>798</v>
      </c>
      <c r="D92" s="335" t="s">
        <v>613</v>
      </c>
      <c r="E92" s="378" t="s">
        <v>445</v>
      </c>
      <c r="F92" s="567"/>
      <c r="G92" s="287"/>
      <c r="H92" s="567"/>
      <c r="I92" s="334"/>
      <c r="J92" s="372"/>
      <c r="K92" s="384" t="str">
        <f t="shared" si="17"/>
        <v/>
      </c>
      <c r="L92" s="326"/>
      <c r="M92" s="419">
        <v>1</v>
      </c>
      <c r="N92" s="446"/>
      <c r="O92" s="419">
        <f>IF(M92=1,1,3)</f>
        <v>1</v>
      </c>
      <c r="P92" s="411">
        <f>$O$92</f>
        <v>1</v>
      </c>
      <c r="Q92" s="411">
        <f t="shared" ref="Q92:V92" si="26">$O$92</f>
        <v>1</v>
      </c>
      <c r="R92" s="411">
        <f t="shared" si="26"/>
        <v>1</v>
      </c>
      <c r="S92" s="411">
        <f>$O$92</f>
        <v>1</v>
      </c>
      <c r="T92" s="411">
        <f t="shared" si="26"/>
        <v>1</v>
      </c>
      <c r="U92" s="411">
        <f t="shared" si="26"/>
        <v>1</v>
      </c>
      <c r="V92" s="411">
        <f t="shared" si="26"/>
        <v>1</v>
      </c>
      <c r="W92" s="447"/>
      <c r="X92" s="447"/>
      <c r="Y92" s="447"/>
      <c r="Z92" s="447"/>
      <c r="AA92" s="447"/>
      <c r="AB92" s="447"/>
      <c r="AC92" s="447"/>
      <c r="AD92" s="454" t="s">
        <v>446</v>
      </c>
      <c r="AE92" s="454" t="s">
        <v>446</v>
      </c>
      <c r="AF92" s="454" t="s">
        <v>446</v>
      </c>
      <c r="AG92" s="454" t="str">
        <f t="shared" si="18"/>
        <v>3.4.3維持管理
評価する取組み、3)業務手順、設備管理における業務標準手順書で加点を考慮するように修正、Ⅱ建築物衛生法以外も同様
→＋1</v>
      </c>
      <c r="AH92" s="454" t="s">
        <v>446</v>
      </c>
      <c r="AI92" s="421"/>
    </row>
    <row r="93" spans="1:54" ht="45" customHeight="1">
      <c r="A93" s="545"/>
      <c r="B93" s="475">
        <v>75</v>
      </c>
      <c r="C93" s="476" t="s">
        <v>799</v>
      </c>
      <c r="D93" s="335" t="s">
        <v>440</v>
      </c>
      <c r="E93" s="270" t="s">
        <v>441</v>
      </c>
      <c r="F93" s="287"/>
      <c r="G93" s="287"/>
      <c r="H93" s="287"/>
      <c r="I93" s="568" t="s">
        <v>819</v>
      </c>
      <c r="J93" s="287"/>
      <c r="K93" s="384" t="str">
        <f t="shared" si="17"/>
        <v/>
      </c>
      <c r="L93" s="326"/>
      <c r="M93" s="419"/>
      <c r="N93" s="446"/>
      <c r="O93" s="446"/>
      <c r="P93" s="411">
        <f>IF(オフィス評価結果!$C$90=0,"対象外",IF(オフィス評価結果!$C$90&gt;=4,3,1))</f>
        <v>1</v>
      </c>
      <c r="Q93" s="411">
        <f>IF(店舗評価結果!$C$90=0,"対象外",IF(店舗評価結果!$C$90=0&gt;=4,3,1))</f>
        <v>3</v>
      </c>
      <c r="R93" s="411">
        <f>IF(物流評価結果!$C$90=0,"対象外",IF(物流評価結果!$C$90&gt;=4,3,1))</f>
        <v>1</v>
      </c>
      <c r="S93" s="411">
        <f>IF(ホテル評価結果!$C$90=0,"対象外",IF(ホテル評価結果!$C$90&gt;=4,3,1))</f>
        <v>1</v>
      </c>
      <c r="T93" s="411">
        <f>IF(集合住宅評価結果!$C$90=0,"対象外",IF(集合住宅評価結果!$C$90&gt;=4,3,1))</f>
        <v>1</v>
      </c>
      <c r="U93" s="411">
        <f>IF(オフィス改修評価結果!$C$90=0,"対象外",IF(オフィス改修評価結果!$C$90&gt;=4,3,1))</f>
        <v>1</v>
      </c>
      <c r="V93" s="411">
        <f>IF(店舗改修評価結果!$C$90=0,"対象外",IF(店舗改修評価結果!$C$90&gt;=4,3,1))</f>
        <v>1</v>
      </c>
      <c r="W93" s="447"/>
      <c r="X93" s="447"/>
      <c r="Y93" s="447"/>
      <c r="Z93" s="447"/>
      <c r="AA93" s="447"/>
      <c r="AB93" s="447"/>
      <c r="AC93" s="447"/>
      <c r="AD93" s="448" t="s">
        <v>501</v>
      </c>
      <c r="AE93" s="448" t="s">
        <v>501</v>
      </c>
      <c r="AF93" s="448" t="s">
        <v>501</v>
      </c>
      <c r="AG93" s="448" t="str">
        <f t="shared" si="18"/>
        <v>4.2土壌環境品質・ブラウンフィールド再生
レベル4以上→+2
(対象外の場合は分母から除外)</v>
      </c>
      <c r="AH93" s="448" t="s">
        <v>501</v>
      </c>
      <c r="AI93" s="421"/>
    </row>
    <row r="94" spans="1:54" ht="42.75" customHeight="1">
      <c r="A94" s="546"/>
      <c r="B94" s="475">
        <v>76</v>
      </c>
      <c r="C94" s="476" t="s">
        <v>800</v>
      </c>
      <c r="D94" s="339" t="s">
        <v>827</v>
      </c>
      <c r="E94" s="380" t="s">
        <v>518</v>
      </c>
      <c r="F94" s="302"/>
      <c r="G94" s="302"/>
      <c r="H94" s="302"/>
      <c r="I94" s="314" t="s">
        <v>829</v>
      </c>
      <c r="J94" s="302"/>
      <c r="K94" s="384" t="str">
        <f t="shared" si="17"/>
        <v/>
      </c>
      <c r="L94" s="324"/>
      <c r="M94" s="419"/>
      <c r="N94" s="456"/>
      <c r="O94" s="456"/>
      <c r="P94" s="416">
        <f t="shared" ref="P94:V94" si="27">P45</f>
        <v>1</v>
      </c>
      <c r="Q94" s="416">
        <f t="shared" si="27"/>
        <v>1</v>
      </c>
      <c r="R94" s="416">
        <f t="shared" si="27"/>
        <v>1</v>
      </c>
      <c r="S94" s="416">
        <f>S45</f>
        <v>1</v>
      </c>
      <c r="T94" s="416">
        <f t="shared" si="27"/>
        <v>1</v>
      </c>
      <c r="U94" s="416">
        <f t="shared" si="27"/>
        <v>1</v>
      </c>
      <c r="V94" s="416">
        <f t="shared" si="27"/>
        <v>1</v>
      </c>
      <c r="W94" s="457"/>
      <c r="X94" s="457"/>
      <c r="Y94" s="457"/>
      <c r="Z94" s="457"/>
      <c r="AA94" s="457"/>
      <c r="AB94" s="457"/>
      <c r="AC94" s="457"/>
      <c r="AD94" s="448" t="s">
        <v>588</v>
      </c>
      <c r="AE94" s="448" t="s">
        <v>588</v>
      </c>
      <c r="AF94" s="448" t="s">
        <v>589</v>
      </c>
      <c r="AG94" s="448" t="str">
        <f t="shared" si="18"/>
        <v>1.1.エネルギー使用（計算値）と1.2.エネルギー使用（実績値）のCO2排出欄の記載がある場合に、7-1の点数で評価</v>
      </c>
      <c r="AH94" s="448" t="s">
        <v>588</v>
      </c>
      <c r="AI94" s="450"/>
    </row>
    <row r="95" spans="1:54" ht="68.25" customHeight="1">
      <c r="A95" s="898" t="s">
        <v>675</v>
      </c>
      <c r="B95" s="478">
        <v>77</v>
      </c>
      <c r="C95" s="476" t="s">
        <v>648</v>
      </c>
      <c r="D95" s="339" t="s">
        <v>826</v>
      </c>
      <c r="E95" s="380" t="s">
        <v>519</v>
      </c>
      <c r="F95" s="309"/>
      <c r="G95" s="309"/>
      <c r="H95" s="309"/>
      <c r="I95" s="314" t="s">
        <v>829</v>
      </c>
      <c r="J95" s="302"/>
      <c r="K95" s="384" t="str">
        <f t="shared" si="17"/>
        <v/>
      </c>
      <c r="L95" s="324"/>
      <c r="M95" s="419"/>
      <c r="N95" s="456"/>
      <c r="O95" s="456"/>
      <c r="P95" s="416">
        <f t="shared" ref="P95:V95" si="28">P45</f>
        <v>1</v>
      </c>
      <c r="Q95" s="416">
        <f t="shared" si="28"/>
        <v>1</v>
      </c>
      <c r="R95" s="416">
        <f t="shared" si="28"/>
        <v>1</v>
      </c>
      <c r="S95" s="416">
        <f>S45</f>
        <v>1</v>
      </c>
      <c r="T95" s="416">
        <f t="shared" si="28"/>
        <v>1</v>
      </c>
      <c r="U95" s="416">
        <f t="shared" si="28"/>
        <v>1</v>
      </c>
      <c r="V95" s="416">
        <f t="shared" si="28"/>
        <v>1</v>
      </c>
      <c r="W95" s="457"/>
      <c r="X95" s="457"/>
      <c r="Y95" s="457"/>
      <c r="Z95" s="457"/>
      <c r="AA95" s="457"/>
      <c r="AB95" s="457"/>
      <c r="AC95" s="457"/>
      <c r="AD95" s="448" t="s">
        <v>588</v>
      </c>
      <c r="AE95" s="448" t="s">
        <v>588</v>
      </c>
      <c r="AF95" s="448" t="s">
        <v>589</v>
      </c>
      <c r="AG95" s="448" t="str">
        <f t="shared" si="18"/>
        <v>1.1.エネルギー使用（計算値）と1.2.エネルギー使用（実績値）のCO2排出欄の記載がある場合に、7-1の点数で評価</v>
      </c>
      <c r="AH95" s="448" t="s">
        <v>588</v>
      </c>
      <c r="AI95" s="450"/>
    </row>
    <row r="96" spans="1:54" ht="73.5" customHeight="1">
      <c r="A96" s="899"/>
      <c r="B96" s="489">
        <v>78</v>
      </c>
      <c r="C96" s="480" t="s">
        <v>801</v>
      </c>
      <c r="D96" s="377" t="s">
        <v>769</v>
      </c>
      <c r="E96" s="560" t="s">
        <v>438</v>
      </c>
      <c r="F96" s="294"/>
      <c r="G96" s="295"/>
      <c r="H96" s="295"/>
      <c r="I96" s="393" t="s">
        <v>538</v>
      </c>
      <c r="J96" s="408"/>
      <c r="K96" s="872" t="str">
        <f t="shared" si="17"/>
        <v/>
      </c>
      <c r="M96" s="419"/>
      <c r="N96" s="446" t="b">
        <v>0</v>
      </c>
      <c r="O96" s="446"/>
      <c r="P96" s="858">
        <f t="shared" ref="P96:V96" si="29">IF($N$96=TRUE,3,COUNTIF($N$97:$N$98,TRUE)+1)</f>
        <v>1</v>
      </c>
      <c r="Q96" s="858">
        <f t="shared" si="29"/>
        <v>1</v>
      </c>
      <c r="R96" s="858">
        <f t="shared" si="29"/>
        <v>1</v>
      </c>
      <c r="S96" s="858">
        <f t="shared" si="29"/>
        <v>1</v>
      </c>
      <c r="T96" s="858">
        <f t="shared" si="29"/>
        <v>1</v>
      </c>
      <c r="U96" s="858">
        <f t="shared" si="29"/>
        <v>1</v>
      </c>
      <c r="V96" s="858">
        <f t="shared" si="29"/>
        <v>1</v>
      </c>
      <c r="W96" s="447"/>
      <c r="X96" s="447"/>
      <c r="Y96" s="447"/>
      <c r="Z96" s="447"/>
      <c r="AA96" s="447"/>
      <c r="AB96" s="447"/>
      <c r="AC96" s="459"/>
      <c r="AD96" s="863" t="s">
        <v>439</v>
      </c>
      <c r="AE96" s="863" t="s">
        <v>439</v>
      </c>
      <c r="AF96" s="863" t="s">
        <v>439</v>
      </c>
      <c r="AG96" s="863" t="str">
        <f>AD96</f>
        <v>4.1生物多様性の向上
①評価・認証の取得→+2
②取組み表による評価：
　1)自然資源の保全→+1
　4)トータルの緑地規模で緑地率20%以上→+1</v>
      </c>
      <c r="AH96" s="863" t="s">
        <v>439</v>
      </c>
      <c r="AI96" s="421"/>
      <c r="AT96" s="366"/>
      <c r="AU96" s="366"/>
      <c r="AV96" s="366"/>
      <c r="AW96" s="366"/>
      <c r="AX96" s="366"/>
      <c r="AY96" s="366"/>
      <c r="AZ96" s="366"/>
      <c r="BA96" s="366"/>
      <c r="BB96" s="366"/>
    </row>
    <row r="97" spans="1:54" ht="73.5" customHeight="1">
      <c r="A97" s="899"/>
      <c r="B97" s="561"/>
      <c r="C97" s="483"/>
      <c r="D97" s="562"/>
      <c r="E97" s="563"/>
      <c r="F97" s="296"/>
      <c r="G97" s="297"/>
      <c r="H97" s="297"/>
      <c r="I97" s="400" t="s">
        <v>540</v>
      </c>
      <c r="J97" s="552"/>
      <c r="K97" s="881" t="str">
        <f t="shared" si="17"/>
        <v/>
      </c>
      <c r="M97" s="419"/>
      <c r="N97" s="446" t="b">
        <v>0</v>
      </c>
      <c r="O97" s="446"/>
      <c r="P97" s="859"/>
      <c r="Q97" s="859"/>
      <c r="R97" s="859"/>
      <c r="S97" s="859"/>
      <c r="T97" s="859"/>
      <c r="U97" s="859"/>
      <c r="V97" s="859"/>
      <c r="W97" s="447"/>
      <c r="X97" s="447"/>
      <c r="Y97" s="447"/>
      <c r="Z97" s="447"/>
      <c r="AA97" s="447"/>
      <c r="AB97" s="447"/>
      <c r="AC97" s="459"/>
      <c r="AD97" s="864"/>
      <c r="AE97" s="864"/>
      <c r="AF97" s="864"/>
      <c r="AG97" s="864"/>
      <c r="AH97" s="864"/>
      <c r="AI97" s="421"/>
      <c r="AT97" s="366"/>
      <c r="AU97" s="366"/>
      <c r="AV97" s="366"/>
      <c r="AW97" s="366"/>
      <c r="AX97" s="366"/>
      <c r="AY97" s="366"/>
      <c r="AZ97" s="366"/>
      <c r="BA97" s="366"/>
      <c r="BB97" s="366"/>
    </row>
    <row r="98" spans="1:54" ht="73.5" customHeight="1">
      <c r="A98" s="899"/>
      <c r="B98" s="564"/>
      <c r="C98" s="486"/>
      <c r="D98" s="372"/>
      <c r="E98" s="565"/>
      <c r="F98" s="298"/>
      <c r="G98" s="299"/>
      <c r="H98" s="299"/>
      <c r="I98" s="397" t="s">
        <v>539</v>
      </c>
      <c r="J98" s="553"/>
      <c r="K98" s="873" t="str">
        <f t="shared" si="17"/>
        <v/>
      </c>
      <c r="M98" s="419"/>
      <c r="N98" s="446" t="b">
        <v>0</v>
      </c>
      <c r="O98" s="446"/>
      <c r="P98" s="860"/>
      <c r="Q98" s="860"/>
      <c r="R98" s="860"/>
      <c r="S98" s="860"/>
      <c r="T98" s="860"/>
      <c r="U98" s="860"/>
      <c r="V98" s="860"/>
      <c r="W98" s="447"/>
      <c r="X98" s="447"/>
      <c r="Y98" s="447"/>
      <c r="Z98" s="447"/>
      <c r="AA98" s="447"/>
      <c r="AB98" s="447"/>
      <c r="AC98" s="459"/>
      <c r="AD98" s="865"/>
      <c r="AE98" s="865"/>
      <c r="AF98" s="865"/>
      <c r="AG98" s="865"/>
      <c r="AH98" s="865"/>
      <c r="AI98" s="421"/>
      <c r="AT98" s="366"/>
      <c r="AU98" s="366"/>
      <c r="AV98" s="366"/>
      <c r="AW98" s="366"/>
      <c r="AX98" s="366"/>
      <c r="AY98" s="366"/>
      <c r="AZ98" s="366"/>
      <c r="BA98" s="366"/>
      <c r="BB98" s="366"/>
    </row>
    <row r="99" spans="1:54" ht="48.75" customHeight="1">
      <c r="A99" s="899"/>
      <c r="B99" s="478">
        <v>79</v>
      </c>
      <c r="C99" s="476" t="s">
        <v>802</v>
      </c>
      <c r="D99" s="335" t="s">
        <v>520</v>
      </c>
      <c r="E99" s="378" t="s">
        <v>393</v>
      </c>
      <c r="F99" s="287"/>
      <c r="G99" s="287"/>
      <c r="H99" s="287"/>
      <c r="I99" s="569" t="s">
        <v>821</v>
      </c>
      <c r="J99" s="558"/>
      <c r="K99" s="384" t="str">
        <f t="shared" si="17"/>
        <v/>
      </c>
      <c r="L99" s="326"/>
      <c r="M99" s="419"/>
      <c r="N99" s="446"/>
      <c r="O99" s="446"/>
      <c r="P99" s="411">
        <f>IF(オフィス評価結果!$C$104="適合",3,1)</f>
        <v>1</v>
      </c>
      <c r="Q99" s="411">
        <f>IF(店舗評価結果!$C$104="適合",3,1)</f>
        <v>1</v>
      </c>
      <c r="R99" s="411">
        <f>IF(物流評価結果!$C$104="適合",3,1)</f>
        <v>1</v>
      </c>
      <c r="S99" s="411">
        <f>IF(ホテル評価結果!$C$104="適合",3,1)</f>
        <v>1</v>
      </c>
      <c r="T99" s="411">
        <f>IF(集合住宅評価結果!$C$104="適合",3,1)</f>
        <v>1</v>
      </c>
      <c r="U99" s="412">
        <f>IF(オフィス改修評価結果!$C$104="適合",3,1)</f>
        <v>1</v>
      </c>
      <c r="V99" s="411">
        <f>IF(店舗改修評価結果!$C$104="適合",3,1)</f>
        <v>1</v>
      </c>
      <c r="W99" s="447"/>
      <c r="X99" s="447"/>
      <c r="Y99" s="447"/>
      <c r="Z99" s="447"/>
      <c r="AA99" s="447"/>
      <c r="AB99" s="447"/>
      <c r="AC99" s="447"/>
      <c r="AD99" s="448" t="s">
        <v>394</v>
      </c>
      <c r="AE99" s="448" t="s">
        <v>394</v>
      </c>
      <c r="AF99" s="448" t="s">
        <v>394</v>
      </c>
      <c r="AG99" s="448" t="str">
        <f t="shared" si="18"/>
        <v>5. 屋内環境(必須項目)
①または②に適合→+2</v>
      </c>
      <c r="AH99" s="448" t="s">
        <v>559</v>
      </c>
      <c r="AI99" s="421"/>
    </row>
    <row r="100" spans="1:54" ht="69.75" customHeight="1">
      <c r="A100" s="899"/>
      <c r="B100" s="874">
        <v>80</v>
      </c>
      <c r="C100" s="875" t="s">
        <v>649</v>
      </c>
      <c r="D100" s="876" t="s">
        <v>521</v>
      </c>
      <c r="E100" s="878" t="s">
        <v>770</v>
      </c>
      <c r="F100" s="879"/>
      <c r="G100" s="866"/>
      <c r="H100" s="866"/>
      <c r="I100" s="868" t="s">
        <v>603</v>
      </c>
      <c r="J100" s="870"/>
      <c r="K100" s="872" t="str">
        <f t="shared" si="17"/>
        <v/>
      </c>
      <c r="M100" s="419">
        <v>1</v>
      </c>
      <c r="N100" s="456" t="b">
        <v>0</v>
      </c>
      <c r="O100" s="419">
        <f>IF(N100=FALSE,IF(M100=1,1,IF(M100=2,2,3)),IF(M100=1,2,3))</f>
        <v>1</v>
      </c>
      <c r="P100" s="858">
        <f>$O$100</f>
        <v>1</v>
      </c>
      <c r="Q100" s="858">
        <f t="shared" ref="Q100:V100" si="30">$O$100</f>
        <v>1</v>
      </c>
      <c r="R100" s="858">
        <f t="shared" si="30"/>
        <v>1</v>
      </c>
      <c r="S100" s="858">
        <f>$O$100</f>
        <v>1</v>
      </c>
      <c r="T100" s="858">
        <f t="shared" si="30"/>
        <v>1</v>
      </c>
      <c r="U100" s="858">
        <f t="shared" si="30"/>
        <v>1</v>
      </c>
      <c r="V100" s="858">
        <f t="shared" si="30"/>
        <v>1</v>
      </c>
      <c r="W100" s="470"/>
      <c r="X100" s="470"/>
      <c r="Y100" s="470"/>
      <c r="Z100" s="470"/>
      <c r="AA100" s="470"/>
      <c r="AB100" s="470"/>
      <c r="AC100" s="470"/>
      <c r="AD100" s="861" t="s">
        <v>382</v>
      </c>
      <c r="AE100" s="861" t="s">
        <v>382</v>
      </c>
      <c r="AF100" s="861" t="s">
        <v>382</v>
      </c>
      <c r="AG100" s="861" t="str">
        <f>AD100</f>
        <v>チェックリスト項目</v>
      </c>
      <c r="AH100" s="861" t="s">
        <v>382</v>
      </c>
      <c r="AI100" s="450"/>
    </row>
    <row r="101" spans="1:54" ht="202.5" customHeight="1">
      <c r="A101" s="899"/>
      <c r="B101" s="874"/>
      <c r="C101" s="875"/>
      <c r="D101" s="877"/>
      <c r="E101" s="878"/>
      <c r="F101" s="880"/>
      <c r="G101" s="867"/>
      <c r="H101" s="867"/>
      <c r="I101" s="869"/>
      <c r="J101" s="871"/>
      <c r="K101" s="873" t="str">
        <f t="shared" si="17"/>
        <v/>
      </c>
      <c r="M101" s="419"/>
      <c r="N101" s="456"/>
      <c r="O101" s="456"/>
      <c r="P101" s="860"/>
      <c r="Q101" s="860"/>
      <c r="R101" s="860"/>
      <c r="S101" s="860"/>
      <c r="T101" s="860"/>
      <c r="U101" s="860"/>
      <c r="V101" s="860"/>
      <c r="W101" s="470"/>
      <c r="X101" s="470"/>
      <c r="Y101" s="470"/>
      <c r="Z101" s="470"/>
      <c r="AA101" s="470"/>
      <c r="AB101" s="470"/>
      <c r="AC101" s="470"/>
      <c r="AD101" s="862"/>
      <c r="AE101" s="862"/>
      <c r="AF101" s="862"/>
      <c r="AG101" s="862"/>
      <c r="AH101" s="862"/>
      <c r="AI101" s="450"/>
    </row>
    <row r="102" spans="1:54" ht="79.5" customHeight="1">
      <c r="A102" s="899"/>
      <c r="B102" s="478">
        <v>81</v>
      </c>
      <c r="C102" s="476" t="s">
        <v>650</v>
      </c>
      <c r="D102" s="335" t="s">
        <v>503</v>
      </c>
      <c r="E102" s="378" t="s">
        <v>483</v>
      </c>
      <c r="F102" s="287"/>
      <c r="G102" s="287"/>
      <c r="H102" s="287"/>
      <c r="I102" s="569" t="s">
        <v>820</v>
      </c>
      <c r="J102" s="558"/>
      <c r="K102" s="384" t="str">
        <f t="shared" si="17"/>
        <v/>
      </c>
      <c r="L102" s="326"/>
      <c r="M102" s="419"/>
      <c r="N102" s="446"/>
      <c r="O102" s="446"/>
      <c r="P102" s="411">
        <f>IF(オフィス評価結果!$C$97&gt;=4,2,IF(オフィス評価結果!$C$97&gt;=3,1,0))+1</f>
        <v>2</v>
      </c>
      <c r="Q102" s="411">
        <f>IF(店舗評価結果!$C$97&gt;=4,2,IF(店舗評価結果!$C$97&gt;=3,1,0))+1</f>
        <v>2</v>
      </c>
      <c r="R102" s="411">
        <f>IF(物流評価結果!$C$97&gt;=4,2,IF(物流評価結果!$C$97&gt;=3,1,0))+1</f>
        <v>2</v>
      </c>
      <c r="S102" s="411">
        <f>IF(ホテル評価結果!$C$97&gt;=4,2,IF(ホテル評価結果!$C$97&gt;=3,1,0))+1</f>
        <v>2</v>
      </c>
      <c r="T102" s="411">
        <f>IF(集合住宅評価結果!$C$97&gt;=4,2,IF(集合住宅評価結果!$C$97&gt;=3,1,0))+1</f>
        <v>2</v>
      </c>
      <c r="U102" s="411">
        <f>IF(オフィス改修評価結果!$C$97&gt;=4,2,IF(オフィス改修評価結果!$C$97&gt;=3,1,0))+1</f>
        <v>2</v>
      </c>
      <c r="V102" s="411">
        <f>IF(店舗改修評価結果!$C$97&gt;=4,2,IF(店舗改修評価結果!$C$97&gt;=3,1,0))+1</f>
        <v>2</v>
      </c>
      <c r="W102" s="447"/>
      <c r="X102" s="447"/>
      <c r="Y102" s="447"/>
      <c r="Z102" s="447"/>
      <c r="AA102" s="447"/>
      <c r="AB102" s="447"/>
      <c r="AC102" s="447"/>
      <c r="AD102" s="448" t="s">
        <v>484</v>
      </c>
      <c r="AE102" s="448" t="s">
        <v>484</v>
      </c>
      <c r="AF102" s="448" t="s">
        <v>484</v>
      </c>
      <c r="AG102" s="448" t="str">
        <f t="shared" si="18"/>
        <v>4.4自然災害リスク対策
レベル3→+1
レベル4,5→+2</v>
      </c>
      <c r="AH102" s="448" t="s">
        <v>484</v>
      </c>
      <c r="AI102" s="421"/>
    </row>
    <row r="103" spans="1:54" ht="48.75" customHeight="1">
      <c r="A103" s="899"/>
      <c r="B103" s="478">
        <v>82</v>
      </c>
      <c r="C103" s="476" t="s">
        <v>651</v>
      </c>
      <c r="D103" s="335" t="s">
        <v>755</v>
      </c>
      <c r="E103" s="380" t="s">
        <v>756</v>
      </c>
      <c r="F103" s="301"/>
      <c r="G103" s="301"/>
      <c r="H103" s="301"/>
      <c r="I103" s="466" t="s">
        <v>822</v>
      </c>
      <c r="J103" s="557"/>
      <c r="K103" s="384" t="str">
        <f t="shared" si="17"/>
        <v/>
      </c>
      <c r="M103" s="419"/>
      <c r="N103" s="456"/>
      <c r="O103" s="456"/>
      <c r="P103" s="411">
        <f>(IF(オフィス評価結果!$C$76&gt;=4,3,IF(オフィス評価結果!$C$76&gt;=3,2,1)))</f>
        <v>2</v>
      </c>
      <c r="Q103" s="411">
        <f>(IF(店舗評価結果!$C$76&gt;=4,3,IF(店舗評価結果!$C$76&gt;=3,2,1)))</f>
        <v>2</v>
      </c>
      <c r="R103" s="411">
        <f>(IF(物流評価結果!$C$76&gt;=4,3,IF(物流評価結果!$C$76&gt;=3,2,1)))</f>
        <v>2</v>
      </c>
      <c r="S103" s="411">
        <f>(IF(ホテル評価結果!$C$76&gt;=4,3,IF(ホテル評価結果!$C$76&gt;=3,2,1)))</f>
        <v>2</v>
      </c>
      <c r="T103" s="411">
        <f>(IF(集合住宅評価結果!$C$76&gt;=4,3,IF(集合住宅評価結果!$C$76&gt;=3,2,1)))</f>
        <v>1</v>
      </c>
      <c r="U103" s="411">
        <f>(IF(オフィス改修評価結果!$C$76&gt;=4,3,IF(オフィス改修評価結果!$C$76&gt;=3,2,1)))</f>
        <v>2</v>
      </c>
      <c r="V103" s="411">
        <f>(IF(店舗改修評価結果!$C$76&gt;=4,3,IF(店舗改修評価結果!$C$76&gt;=3,2,1)))</f>
        <v>2</v>
      </c>
      <c r="W103" s="447"/>
      <c r="X103" s="447"/>
      <c r="Y103" s="447"/>
      <c r="Z103" s="447"/>
      <c r="AA103" s="447"/>
      <c r="AB103" s="447"/>
      <c r="AC103" s="447"/>
      <c r="AD103" s="458" t="s">
        <v>757</v>
      </c>
      <c r="AE103" s="458" t="s">
        <v>757</v>
      </c>
      <c r="AF103" s="458" t="s">
        <v>757</v>
      </c>
      <c r="AG103" s="458" t="str">
        <f t="shared" si="18"/>
        <v>3.4.2設備(電力等の自給率向上)
レベル3→＋1
レベル4，5→＋2</v>
      </c>
      <c r="AH103" s="458" t="s">
        <v>757</v>
      </c>
      <c r="AI103" s="541" t="s">
        <v>808</v>
      </c>
    </row>
    <row r="104" spans="1:54" ht="111" customHeight="1">
      <c r="A104" s="356" t="s">
        <v>676</v>
      </c>
      <c r="B104" s="350" t="s">
        <v>705</v>
      </c>
      <c r="C104" s="351"/>
      <c r="D104" s="349"/>
      <c r="E104" s="352"/>
      <c r="F104" s="353"/>
      <c r="G104" s="353"/>
      <c r="H104" s="353"/>
      <c r="I104" s="353"/>
      <c r="J104" s="353"/>
      <c r="K104" s="349"/>
      <c r="L104" s="327"/>
      <c r="M104" s="444"/>
      <c r="N104" s="436"/>
      <c r="O104" s="436"/>
      <c r="P104" s="417"/>
      <c r="Q104" s="417"/>
      <c r="R104" s="417"/>
      <c r="S104" s="417"/>
      <c r="T104" s="417"/>
      <c r="U104" s="417"/>
      <c r="V104" s="418"/>
      <c r="W104" s="447"/>
      <c r="X104" s="447"/>
      <c r="Y104" s="447"/>
      <c r="Z104" s="447"/>
      <c r="AA104" s="447"/>
      <c r="AB104" s="447"/>
      <c r="AC104" s="447"/>
      <c r="AD104" s="466"/>
      <c r="AE104" s="466"/>
      <c r="AF104" s="466"/>
      <c r="AG104" s="466">
        <f t="shared" si="18"/>
        <v>0</v>
      </c>
      <c r="AH104" s="467"/>
      <c r="AI104" s="421"/>
    </row>
    <row r="105" spans="1:54" ht="73.5" customHeight="1">
      <c r="A105" s="918" t="s">
        <v>677</v>
      </c>
      <c r="B105" s="479">
        <v>83</v>
      </c>
      <c r="C105" s="480" t="s">
        <v>652</v>
      </c>
      <c r="D105" s="377" t="s">
        <v>522</v>
      </c>
      <c r="E105" s="493" t="s">
        <v>523</v>
      </c>
      <c r="F105" s="294"/>
      <c r="G105" s="295"/>
      <c r="H105" s="295"/>
      <c r="I105" s="393" t="s">
        <v>538</v>
      </c>
      <c r="J105" s="408"/>
      <c r="K105" s="872" t="str">
        <f t="shared" si="17"/>
        <v/>
      </c>
      <c r="M105" s="419"/>
      <c r="N105" s="446" t="b">
        <v>0</v>
      </c>
      <c r="O105" s="446"/>
      <c r="P105" s="858">
        <f>IF($N$105=TRUE,3,COUNTIF($N$106:$N$107,TRUE)+1)</f>
        <v>1</v>
      </c>
      <c r="Q105" s="858">
        <f t="shared" ref="Q105:V105" si="31">IF($N$105=TRUE,3,COUNTIF($N$106:$N$107,TRUE)+1)</f>
        <v>1</v>
      </c>
      <c r="R105" s="858">
        <f t="shared" si="31"/>
        <v>1</v>
      </c>
      <c r="S105" s="858">
        <f>IF($N$105=TRUE,3,COUNTIF($N$106:$N$107,TRUE)+1)</f>
        <v>1</v>
      </c>
      <c r="T105" s="858">
        <f t="shared" si="31"/>
        <v>1</v>
      </c>
      <c r="U105" s="858">
        <f t="shared" si="31"/>
        <v>1</v>
      </c>
      <c r="V105" s="858">
        <f t="shared" si="31"/>
        <v>1</v>
      </c>
      <c r="W105" s="447"/>
      <c r="X105" s="447"/>
      <c r="Y105" s="447"/>
      <c r="Z105" s="447"/>
      <c r="AA105" s="447"/>
      <c r="AB105" s="447"/>
      <c r="AC105" s="459"/>
      <c r="AD105" s="863" t="s">
        <v>439</v>
      </c>
      <c r="AE105" s="863" t="s">
        <v>439</v>
      </c>
      <c r="AF105" s="863" t="s">
        <v>439</v>
      </c>
      <c r="AG105" s="863" t="str">
        <f>AD105</f>
        <v>4.1生物多様性の向上
①評価・認証の取得→+2
②取組み表による評価：
　1)自然資源の保全→+1
　4)トータルの緑地規模で緑地率20%以上→+1</v>
      </c>
      <c r="AH105" s="863" t="s">
        <v>439</v>
      </c>
      <c r="AI105" s="421"/>
      <c r="AT105" s="366"/>
      <c r="AU105" s="366"/>
      <c r="AV105" s="366"/>
      <c r="AW105" s="366"/>
      <c r="AX105" s="366"/>
      <c r="AY105" s="366"/>
      <c r="AZ105" s="366"/>
      <c r="BA105" s="366"/>
      <c r="BB105" s="366"/>
    </row>
    <row r="106" spans="1:54" ht="73.5" customHeight="1">
      <c r="A106" s="919"/>
      <c r="B106" s="561"/>
      <c r="C106" s="483"/>
      <c r="D106" s="562"/>
      <c r="E106" s="494"/>
      <c r="F106" s="296"/>
      <c r="G106" s="297"/>
      <c r="H106" s="297"/>
      <c r="I106" s="400" t="s">
        <v>540</v>
      </c>
      <c r="J106" s="552"/>
      <c r="K106" s="881" t="str">
        <f t="shared" si="17"/>
        <v/>
      </c>
      <c r="M106" s="419"/>
      <c r="N106" s="446" t="b">
        <v>0</v>
      </c>
      <c r="O106" s="446"/>
      <c r="P106" s="859"/>
      <c r="Q106" s="859"/>
      <c r="R106" s="859"/>
      <c r="S106" s="859"/>
      <c r="T106" s="859"/>
      <c r="U106" s="859"/>
      <c r="V106" s="859"/>
      <c r="W106" s="447"/>
      <c r="X106" s="447"/>
      <c r="Y106" s="447"/>
      <c r="Z106" s="447"/>
      <c r="AA106" s="447"/>
      <c r="AB106" s="447"/>
      <c r="AC106" s="459"/>
      <c r="AD106" s="864"/>
      <c r="AE106" s="864"/>
      <c r="AF106" s="864"/>
      <c r="AG106" s="864"/>
      <c r="AH106" s="864"/>
      <c r="AI106" s="421"/>
      <c r="AT106" s="366"/>
      <c r="AU106" s="366"/>
      <c r="AV106" s="366"/>
      <c r="AW106" s="366"/>
      <c r="AX106" s="366"/>
      <c r="AY106" s="366"/>
      <c r="AZ106" s="366"/>
      <c r="BA106" s="366"/>
      <c r="BB106" s="366"/>
    </row>
    <row r="107" spans="1:54" ht="73.5" customHeight="1">
      <c r="A107" s="919"/>
      <c r="B107" s="564"/>
      <c r="C107" s="486"/>
      <c r="D107" s="372"/>
      <c r="E107" s="492"/>
      <c r="F107" s="298"/>
      <c r="G107" s="299"/>
      <c r="H107" s="299"/>
      <c r="I107" s="397" t="s">
        <v>539</v>
      </c>
      <c r="J107" s="553"/>
      <c r="K107" s="873" t="str">
        <f t="shared" si="17"/>
        <v/>
      </c>
      <c r="M107" s="419"/>
      <c r="N107" s="446" t="b">
        <v>0</v>
      </c>
      <c r="O107" s="446"/>
      <c r="P107" s="860"/>
      <c r="Q107" s="860"/>
      <c r="R107" s="860"/>
      <c r="S107" s="860"/>
      <c r="T107" s="860"/>
      <c r="U107" s="860"/>
      <c r="V107" s="860"/>
      <c r="W107" s="447"/>
      <c r="X107" s="447"/>
      <c r="Y107" s="447"/>
      <c r="Z107" s="447"/>
      <c r="AA107" s="447"/>
      <c r="AB107" s="447"/>
      <c r="AC107" s="459"/>
      <c r="AD107" s="865"/>
      <c r="AE107" s="865"/>
      <c r="AF107" s="865"/>
      <c r="AG107" s="865"/>
      <c r="AH107" s="865"/>
      <c r="AI107" s="421"/>
      <c r="AT107" s="366"/>
      <c r="AU107" s="366"/>
      <c r="AV107" s="366"/>
      <c r="AW107" s="366"/>
      <c r="AX107" s="366"/>
      <c r="AY107" s="366"/>
      <c r="AZ107" s="366"/>
      <c r="BA107" s="366"/>
      <c r="BB107" s="366"/>
    </row>
    <row r="108" spans="1:54" ht="49.5" customHeight="1">
      <c r="A108" s="919"/>
      <c r="B108" s="271">
        <v>84</v>
      </c>
      <c r="C108" s="269" t="s">
        <v>653</v>
      </c>
      <c r="D108" s="335" t="s">
        <v>524</v>
      </c>
      <c r="E108" s="270" t="s">
        <v>441</v>
      </c>
      <c r="F108" s="287"/>
      <c r="G108" s="287"/>
      <c r="H108" s="287"/>
      <c r="I108" s="289" t="s">
        <v>823</v>
      </c>
      <c r="J108" s="287"/>
      <c r="K108" s="384" t="str">
        <f t="shared" si="17"/>
        <v/>
      </c>
      <c r="L108" s="326"/>
      <c r="M108" s="419"/>
      <c r="N108" s="446"/>
      <c r="O108" s="446"/>
      <c r="P108" s="411">
        <f>IF(オフィス評価結果!$C$90=0,"対象外",IF(オフィス評価結果!$C$90&gt;=4,3,1))</f>
        <v>1</v>
      </c>
      <c r="Q108" s="411">
        <f>IF(店舗評価結果!$C$90=0,"対象外",IF(店舗評価結果!$C$90=0&gt;=4,3,1))</f>
        <v>3</v>
      </c>
      <c r="R108" s="411">
        <f>IF(物流評価結果!$C$90=0,"対象外",IF(物流評価結果!$C$90&gt;=4,3,1))</f>
        <v>1</v>
      </c>
      <c r="S108" s="411">
        <f>IF(ホテル評価結果!$C$90=0,"対象外",IF(ホテル評価結果!$C$90&gt;=4,3,1))</f>
        <v>1</v>
      </c>
      <c r="T108" s="411">
        <f>IF(集合住宅評価結果!$C$90=0,"対象外",IF(集合住宅評価結果!$C$90&gt;=4,3,1))</f>
        <v>1</v>
      </c>
      <c r="U108" s="411">
        <f>IF(オフィス改修評価結果!$C$90=0,"対象外",IF(オフィス改修評価結果!$C$90&gt;=4,3,1))</f>
        <v>1</v>
      </c>
      <c r="V108" s="411">
        <f>IF(店舗改修評価結果!$C$90=0,"対象外",IF(店舗改修評価結果!$C$90&gt;=4,3,1))</f>
        <v>1</v>
      </c>
      <c r="W108" s="447"/>
      <c r="X108" s="447"/>
      <c r="Y108" s="447"/>
      <c r="Z108" s="447"/>
      <c r="AA108" s="447"/>
      <c r="AB108" s="447"/>
      <c r="AC108" s="447"/>
      <c r="AD108" s="448" t="s">
        <v>501</v>
      </c>
      <c r="AE108" s="448" t="s">
        <v>501</v>
      </c>
      <c r="AF108" s="448" t="s">
        <v>501</v>
      </c>
      <c r="AG108" s="448" t="str">
        <f>AD108</f>
        <v>4.2土壌環境品質・ブラウンフィールド再生
レベル4以上→+2
(対象外の場合は分母から除外)</v>
      </c>
      <c r="AH108" s="448" t="s">
        <v>501</v>
      </c>
      <c r="AI108" s="421"/>
    </row>
    <row r="109" spans="1:54" ht="52.5" customHeight="1">
      <c r="A109" s="919"/>
      <c r="B109" s="478">
        <v>85</v>
      </c>
      <c r="C109" s="476" t="s">
        <v>525</v>
      </c>
      <c r="D109" s="376" t="s">
        <v>511</v>
      </c>
      <c r="E109" s="380" t="s">
        <v>526</v>
      </c>
      <c r="F109" s="302"/>
      <c r="G109" s="302"/>
      <c r="H109" s="302"/>
      <c r="I109" s="302" t="s">
        <v>657</v>
      </c>
      <c r="J109" s="302"/>
      <c r="K109" s="384" t="str">
        <f t="shared" si="17"/>
        <v/>
      </c>
      <c r="L109" s="324"/>
      <c r="M109" s="419"/>
      <c r="N109" s="456"/>
      <c r="O109" s="456"/>
      <c r="P109" s="411">
        <f t="shared" ref="P109:V109" si="32">P55</f>
        <v>1</v>
      </c>
      <c r="Q109" s="411">
        <f t="shared" si="32"/>
        <v>1</v>
      </c>
      <c r="R109" s="411">
        <f t="shared" si="32"/>
        <v>1</v>
      </c>
      <c r="S109" s="411">
        <f>S55</f>
        <v>1</v>
      </c>
      <c r="T109" s="411">
        <f t="shared" si="32"/>
        <v>1</v>
      </c>
      <c r="U109" s="411">
        <f t="shared" si="32"/>
        <v>1</v>
      </c>
      <c r="V109" s="411">
        <f t="shared" si="32"/>
        <v>1</v>
      </c>
      <c r="W109" s="457"/>
      <c r="X109" s="457"/>
      <c r="Y109" s="457"/>
      <c r="Z109" s="457"/>
      <c r="AA109" s="457"/>
      <c r="AB109" s="457"/>
      <c r="AC109" s="457"/>
      <c r="AD109" s="454" t="s">
        <v>550</v>
      </c>
      <c r="AE109" s="454" t="s">
        <v>550</v>
      </c>
      <c r="AF109" s="454" t="s">
        <v>550</v>
      </c>
      <c r="AG109" s="454" t="str">
        <f t="shared" si="18"/>
        <v>3.2.1①木材の加点の工夫
3.2.1②木材の加点の工夫
①と②のレベル大きな方をとる
レベル3→+1、レベル4以上→+2</v>
      </c>
      <c r="AH109" s="454" t="s">
        <v>550</v>
      </c>
      <c r="AI109" s="421"/>
    </row>
    <row r="110" spans="1:54" ht="83.25" customHeight="1">
      <c r="A110" s="920"/>
      <c r="B110" s="489">
        <v>86</v>
      </c>
      <c r="C110" s="476" t="s">
        <v>803</v>
      </c>
      <c r="D110" s="381" t="s">
        <v>761</v>
      </c>
      <c r="E110" s="559" t="s">
        <v>762</v>
      </c>
      <c r="F110" s="329"/>
      <c r="G110" s="547"/>
      <c r="H110" s="547"/>
      <c r="I110" s="547" t="s">
        <v>830</v>
      </c>
      <c r="J110" s="293"/>
      <c r="K110" s="384" t="str">
        <f t="shared" si="17"/>
        <v/>
      </c>
      <c r="L110" s="324"/>
      <c r="M110" s="419"/>
      <c r="N110" s="456"/>
      <c r="O110" s="456"/>
      <c r="P110" s="411">
        <f t="shared" ref="P110:V110" si="33">P85</f>
        <v>1</v>
      </c>
      <c r="Q110" s="411">
        <f t="shared" si="33"/>
        <v>1</v>
      </c>
      <c r="R110" s="411">
        <f t="shared" si="33"/>
        <v>1</v>
      </c>
      <c r="S110" s="411">
        <f>S85</f>
        <v>1</v>
      </c>
      <c r="T110" s="411">
        <f t="shared" si="33"/>
        <v>1</v>
      </c>
      <c r="U110" s="411">
        <f t="shared" si="33"/>
        <v>1</v>
      </c>
      <c r="V110" s="411">
        <f t="shared" si="33"/>
        <v>1</v>
      </c>
      <c r="W110" s="457"/>
      <c r="X110" s="457"/>
      <c r="Y110" s="457"/>
      <c r="Z110" s="457"/>
      <c r="AA110" s="457"/>
      <c r="AB110" s="457"/>
      <c r="AC110" s="457"/>
      <c r="AD110" s="549" t="s">
        <v>768</v>
      </c>
      <c r="AE110" s="549" t="s">
        <v>768</v>
      </c>
      <c r="AF110" s="549" t="s">
        <v>768</v>
      </c>
      <c r="AG110" s="549" t="str">
        <f t="shared" si="18"/>
        <v>地域性のある材料を使用している場合（チェック項目）→＋1</v>
      </c>
      <c r="AH110" s="549" t="s">
        <v>768</v>
      </c>
      <c r="AI110" s="450" t="s">
        <v>764</v>
      </c>
    </row>
    <row r="111" spans="1:54" ht="106.5" customHeight="1">
      <c r="A111" s="357" t="s">
        <v>678</v>
      </c>
      <c r="B111" s="350" t="s">
        <v>704</v>
      </c>
      <c r="C111" s="351"/>
      <c r="D111" s="349"/>
      <c r="E111" s="352"/>
      <c r="F111" s="353"/>
      <c r="G111" s="353"/>
      <c r="H111" s="353"/>
      <c r="I111" s="353"/>
      <c r="J111" s="353"/>
      <c r="K111" s="349"/>
      <c r="L111" s="327"/>
      <c r="M111" s="444"/>
      <c r="N111" s="436"/>
      <c r="O111" s="436"/>
      <c r="P111" s="417"/>
      <c r="Q111" s="417"/>
      <c r="R111" s="417"/>
      <c r="S111" s="417"/>
      <c r="T111" s="417"/>
      <c r="U111" s="417"/>
      <c r="V111" s="418"/>
      <c r="W111" s="447"/>
      <c r="X111" s="447"/>
      <c r="Y111" s="447"/>
      <c r="Z111" s="447"/>
      <c r="AA111" s="447"/>
      <c r="AB111" s="447"/>
      <c r="AC111" s="447"/>
      <c r="AD111" s="466"/>
      <c r="AE111" s="466"/>
      <c r="AF111" s="466"/>
      <c r="AG111" s="466"/>
      <c r="AH111" s="467"/>
      <c r="AI111" s="421"/>
    </row>
    <row r="112" spans="1:54" ht="68.25" customHeight="1">
      <c r="A112" s="896" t="s">
        <v>679</v>
      </c>
      <c r="B112" s="477">
        <v>87</v>
      </c>
      <c r="C112" s="476" t="s">
        <v>527</v>
      </c>
      <c r="D112" s="335" t="s">
        <v>528</v>
      </c>
      <c r="E112" s="380" t="s">
        <v>512</v>
      </c>
      <c r="F112" s="302"/>
      <c r="G112" s="302"/>
      <c r="H112" s="302"/>
      <c r="I112" s="302" t="s">
        <v>657</v>
      </c>
      <c r="J112" s="302"/>
      <c r="K112" s="384" t="str">
        <f t="shared" si="17"/>
        <v/>
      </c>
      <c r="L112" s="324"/>
      <c r="M112" s="419"/>
      <c r="N112" s="456"/>
      <c r="O112" s="456"/>
      <c r="P112" s="411">
        <f t="shared" ref="P112:V112" si="34">P55</f>
        <v>1</v>
      </c>
      <c r="Q112" s="411">
        <f t="shared" si="34"/>
        <v>1</v>
      </c>
      <c r="R112" s="411">
        <f t="shared" si="34"/>
        <v>1</v>
      </c>
      <c r="S112" s="411">
        <f>S55</f>
        <v>1</v>
      </c>
      <c r="T112" s="411">
        <f t="shared" si="34"/>
        <v>1</v>
      </c>
      <c r="U112" s="411">
        <f t="shared" si="34"/>
        <v>1</v>
      </c>
      <c r="V112" s="411">
        <f t="shared" si="34"/>
        <v>1</v>
      </c>
      <c r="W112" s="457"/>
      <c r="X112" s="457"/>
      <c r="Y112" s="457"/>
      <c r="Z112" s="457"/>
      <c r="AA112" s="457"/>
      <c r="AB112" s="457"/>
      <c r="AC112" s="457"/>
      <c r="AD112" s="454" t="s">
        <v>550</v>
      </c>
      <c r="AE112" s="454" t="s">
        <v>550</v>
      </c>
      <c r="AF112" s="454" t="s">
        <v>550</v>
      </c>
      <c r="AG112" s="454" t="str">
        <f t="shared" si="18"/>
        <v>3.2.1①木材の加点の工夫
3.2.1②木材の加点の工夫
①と②のレベル大きな方をとる
レベル3→+1、レベル4以上→+2</v>
      </c>
      <c r="AH112" s="454" t="s">
        <v>550</v>
      </c>
      <c r="AI112" s="421"/>
    </row>
    <row r="113" spans="1:35" ht="75.75" customHeight="1">
      <c r="A113" s="897"/>
      <c r="B113" s="478">
        <v>88</v>
      </c>
      <c r="C113" s="476" t="s">
        <v>654</v>
      </c>
      <c r="D113" s="379" t="s">
        <v>711</v>
      </c>
      <c r="E113" s="380" t="s">
        <v>712</v>
      </c>
      <c r="F113" s="309"/>
      <c r="G113" s="309"/>
      <c r="H113" s="309"/>
      <c r="I113" s="386" t="s">
        <v>603</v>
      </c>
      <c r="J113" s="409"/>
      <c r="K113" s="384" t="str">
        <f t="shared" si="17"/>
        <v/>
      </c>
      <c r="M113" s="419"/>
      <c r="N113" s="456" t="b">
        <v>0</v>
      </c>
      <c r="O113" s="456"/>
      <c r="P113" s="411">
        <f>MIN(3,IF(オフィス評価結果!$C$28=1,3,1)+IF($N$113=TRUE,1,0))</f>
        <v>1</v>
      </c>
      <c r="Q113" s="411">
        <f>MIN(3,IF(店舗評価結果!$C$28=1,3,1)+IF($N$113=TRUE,1,0))</f>
        <v>1</v>
      </c>
      <c r="R113" s="411">
        <f>MIN(3,IF(物流評価結果!$C$28=1,3,1)+IF($N$113=TRUE,1,0))</f>
        <v>1</v>
      </c>
      <c r="S113" s="411">
        <f>MIN(3,IF(ホテル評価結果!$C$28=1,3,1)+IF($N$113=TRUE,1,0))</f>
        <v>1</v>
      </c>
      <c r="T113" s="411">
        <f>MIN(3,IF(集合住宅評価結果!$C$28=1,3,1)+IF($N$113=TRUE,1,0))</f>
        <v>1</v>
      </c>
      <c r="U113" s="411">
        <f>MIN(3,IF(オフィス改修評価結果!$C$28=1,3,1)+IF($N$113=TRUE,1,0))</f>
        <v>1</v>
      </c>
      <c r="V113" s="411">
        <f>MIN(3,IF(店舗改修評価結果!$C$28=1,3,1)+IF($N$113=TRUE,1,0))</f>
        <v>1</v>
      </c>
      <c r="W113" s="457"/>
      <c r="X113" s="457"/>
      <c r="Y113" s="457"/>
      <c r="Z113" s="457"/>
      <c r="AA113" s="457"/>
      <c r="AB113" s="457"/>
      <c r="AC113" s="457"/>
      <c r="AD113" s="449" t="s">
        <v>529</v>
      </c>
      <c r="AE113" s="449" t="s">
        <v>529</v>
      </c>
      <c r="AF113" s="449" t="s">
        <v>529</v>
      </c>
      <c r="AG113" s="449" t="str">
        <f t="shared" si="18"/>
        <v>1．エネルギー【加点項目】
ビルオーナーと居住者やテナントが共同して運用エネ削減に取り組む→+2</v>
      </c>
      <c r="AH113" s="448" t="s">
        <v>529</v>
      </c>
      <c r="AI113" s="421"/>
    </row>
    <row r="114" spans="1:35" ht="14.25" customHeight="1">
      <c r="A114" s="273"/>
      <c r="B114" s="274"/>
      <c r="C114" s="275"/>
      <c r="D114" s="276"/>
      <c r="E114" s="273"/>
      <c r="F114" s="273"/>
      <c r="G114" s="273"/>
      <c r="H114" s="273"/>
      <c r="I114" s="273"/>
      <c r="J114" s="273"/>
      <c r="M114" s="422"/>
      <c r="N114" s="422"/>
      <c r="O114" s="422"/>
      <c r="P114" s="471"/>
      <c r="Q114" s="471"/>
      <c r="R114" s="471"/>
      <c r="S114" s="471"/>
      <c r="T114" s="471"/>
      <c r="U114" s="471"/>
      <c r="V114" s="471"/>
      <c r="W114" s="422"/>
      <c r="X114" s="422"/>
      <c r="Y114" s="422"/>
      <c r="Z114" s="422"/>
      <c r="AA114" s="422"/>
      <c r="AB114" s="422"/>
      <c r="AC114" s="422"/>
      <c r="AD114" s="472"/>
      <c r="AE114" s="472"/>
      <c r="AF114" s="472"/>
      <c r="AG114" s="589"/>
      <c r="AH114" s="472"/>
      <c r="AI114" s="421"/>
    </row>
    <row r="115" spans="1:35" ht="15.75">
      <c r="A115" s="277"/>
      <c r="B115" s="278"/>
      <c r="C115" s="279"/>
      <c r="D115" s="280"/>
      <c r="E115" s="277"/>
      <c r="F115" s="277"/>
      <c r="G115" s="277"/>
      <c r="H115" s="277"/>
      <c r="I115" s="277"/>
      <c r="J115" s="277"/>
      <c r="M115" s="422"/>
      <c r="N115" s="422"/>
      <c r="O115" s="422"/>
      <c r="P115" s="471"/>
      <c r="Q115" s="471"/>
      <c r="R115" s="471"/>
      <c r="S115" s="471"/>
      <c r="T115" s="471"/>
      <c r="U115" s="471"/>
      <c r="V115" s="471"/>
      <c r="W115" s="422"/>
      <c r="X115" s="422"/>
      <c r="Y115" s="422"/>
      <c r="Z115" s="422"/>
      <c r="AA115" s="422"/>
      <c r="AB115" s="422"/>
      <c r="AC115" s="422"/>
      <c r="AD115" s="473"/>
      <c r="AE115" s="473"/>
      <c r="AF115" s="473"/>
      <c r="AG115" s="473"/>
      <c r="AH115" s="473"/>
      <c r="AI115" s="421"/>
    </row>
    <row r="116" spans="1:35" ht="15.75" customHeight="1">
      <c r="G116" s="496" t="s">
        <v>686</v>
      </c>
      <c r="H116" s="171" t="e">
        <f>AVERAGEIFS(K9:K18,K9:K18,"&gt;=1")</f>
        <v>#DIV/0!</v>
      </c>
    </row>
    <row r="117" spans="1:35" ht="15.75" customHeight="1">
      <c r="G117" s="496" t="s">
        <v>680</v>
      </c>
      <c r="H117" s="171" t="e">
        <f>AVERAGEIFS(K19:K25,K19:K25,"&gt;=1")</f>
        <v>#DIV/0!</v>
      </c>
    </row>
    <row r="118" spans="1:35" ht="15.75" customHeight="1">
      <c r="G118" s="496" t="s">
        <v>681</v>
      </c>
      <c r="H118" s="171" t="e">
        <f>AVERAGEIFS(K26:K28,K26:K28,"&gt;=1")</f>
        <v>#DIV/0!</v>
      </c>
    </row>
    <row r="119" spans="1:35" ht="15.75" customHeight="1">
      <c r="G119" s="496" t="s">
        <v>682</v>
      </c>
      <c r="H119" s="171" t="e">
        <f>AVERAGEIFS(K29:K36,K29:K36,"&gt;=1")</f>
        <v>#DIV/0!</v>
      </c>
    </row>
    <row r="120" spans="1:35" ht="15.75" customHeight="1">
      <c r="G120" s="496" t="s">
        <v>683</v>
      </c>
      <c r="H120" s="171" t="e">
        <f>AVERAGEIFS(K37:K45,K37:K45,"&gt;=1")</f>
        <v>#DIV/0!</v>
      </c>
    </row>
    <row r="121" spans="1:35" ht="15.75" customHeight="1">
      <c r="G121" s="496" t="s">
        <v>684</v>
      </c>
      <c r="H121" s="171" t="e">
        <f>AVERAGEIFS(K46:K58,K46:K58,"&gt;=1")</f>
        <v>#DIV/0!</v>
      </c>
    </row>
    <row r="122" spans="1:35" ht="15.75" customHeight="1">
      <c r="G122" s="496" t="s">
        <v>685</v>
      </c>
      <c r="H122" s="171" t="e">
        <f>AVERAGEIFS(K59:K64,K59:K64,"&gt;=1")</f>
        <v>#DIV/0!</v>
      </c>
    </row>
    <row r="123" spans="1:35" ht="15.75" customHeight="1">
      <c r="G123" s="496" t="s">
        <v>687</v>
      </c>
      <c r="H123" s="171" t="e">
        <f>AVERAGEIFS(K66:K80,K66:K80,"&gt;=1")</f>
        <v>#DIV/0!</v>
      </c>
    </row>
    <row r="124" spans="1:35" ht="15.75" customHeight="1">
      <c r="G124" s="496" t="s">
        <v>688</v>
      </c>
      <c r="H124" s="171" t="e">
        <f>AVERAGEIFS(K81:K94,K81:K94,"&gt;=1")</f>
        <v>#DIV/0!</v>
      </c>
    </row>
    <row r="125" spans="1:35" ht="15.75" customHeight="1">
      <c r="G125" s="496" t="s">
        <v>689</v>
      </c>
      <c r="H125" s="171" t="e">
        <f>AVERAGEIFS(K95:K103,K95:K103,"&gt;=1")</f>
        <v>#DIV/0!</v>
      </c>
    </row>
    <row r="126" spans="1:35" ht="15.75" customHeight="1">
      <c r="G126" s="496" t="s">
        <v>690</v>
      </c>
      <c r="H126" s="171" t="e">
        <f>AVERAGEIFS(K105:K110,K105:K110,"&gt;=1")</f>
        <v>#DIV/0!</v>
      </c>
    </row>
    <row r="127" spans="1:35" ht="15.75" customHeight="1">
      <c r="G127" s="496" t="s">
        <v>691</v>
      </c>
      <c r="H127" s="171" t="e">
        <f>AVERAGEIFS(K112:K113,K112:K113,"&gt;=1")</f>
        <v>#DIV/0!</v>
      </c>
    </row>
    <row r="128" spans="1:35" ht="15.75" customHeight="1"/>
    <row r="129" ht="15.75" customHeight="1"/>
  </sheetData>
  <sheetProtection algorithmName="SHA-512" hashValue="RETfxAxsBF/f+epPl2fmQP1+Ice9WOh3RxodM4gniLoqxTcPqCYX+ZGOaTG7Zv/lS7AvYcw+RthEO8cHnppKBQ==" saltValue="ZitQeQ9IYsKfLyEmoz7oSg==" spinCount="100000" sheet="1" formatCells="0"/>
  <mergeCells count="103">
    <mergeCell ref="A105:A110"/>
    <mergeCell ref="U105:U107"/>
    <mergeCell ref="V105:V107"/>
    <mergeCell ref="AD105:AD107"/>
    <mergeCell ref="AE105:AE107"/>
    <mergeCell ref="AF105:AF107"/>
    <mergeCell ref="K105:K107"/>
    <mergeCell ref="P105:P107"/>
    <mergeCell ref="Q105:Q107"/>
    <mergeCell ref="R105:R107"/>
    <mergeCell ref="T105:T107"/>
    <mergeCell ref="A5:A6"/>
    <mergeCell ref="B5:B6"/>
    <mergeCell ref="C5:C6"/>
    <mergeCell ref="D5:D6"/>
    <mergeCell ref="E5:E6"/>
    <mergeCell ref="K5:K6"/>
    <mergeCell ref="F5:F6"/>
    <mergeCell ref="G5:G6"/>
    <mergeCell ref="H5:H6"/>
    <mergeCell ref="I5:I6"/>
    <mergeCell ref="J5:J6"/>
    <mergeCell ref="AE3:AF3"/>
    <mergeCell ref="AE4:AF4"/>
    <mergeCell ref="AH3:AH4"/>
    <mergeCell ref="P4:V4"/>
    <mergeCell ref="V66:V68"/>
    <mergeCell ref="P66:P68"/>
    <mergeCell ref="A112:A113"/>
    <mergeCell ref="A95:A103"/>
    <mergeCell ref="V76:V79"/>
    <mergeCell ref="U76:U79"/>
    <mergeCell ref="P76:P79"/>
    <mergeCell ref="Q76:Q79"/>
    <mergeCell ref="R76:R79"/>
    <mergeCell ref="T76:T79"/>
    <mergeCell ref="Q66:Q68"/>
    <mergeCell ref="R66:R68"/>
    <mergeCell ref="T66:T68"/>
    <mergeCell ref="U66:U68"/>
    <mergeCell ref="K96:K98"/>
    <mergeCell ref="P96:P98"/>
    <mergeCell ref="A19:A25"/>
    <mergeCell ref="K76:K79"/>
    <mergeCell ref="K29:K31"/>
    <mergeCell ref="A66:A80"/>
    <mergeCell ref="B100:B101"/>
    <mergeCell ref="C100:C101"/>
    <mergeCell ref="D100:D101"/>
    <mergeCell ref="E100:E101"/>
    <mergeCell ref="F100:F101"/>
    <mergeCell ref="V55:V56"/>
    <mergeCell ref="V29:V31"/>
    <mergeCell ref="T29:T31"/>
    <mergeCell ref="P29:P31"/>
    <mergeCell ref="Q29:Q31"/>
    <mergeCell ref="R29:R31"/>
    <mergeCell ref="U29:U31"/>
    <mergeCell ref="P55:P56"/>
    <mergeCell ref="T55:T56"/>
    <mergeCell ref="U55:U56"/>
    <mergeCell ref="Q55:Q56"/>
    <mergeCell ref="R55:R56"/>
    <mergeCell ref="S29:S31"/>
    <mergeCell ref="S55:S56"/>
    <mergeCell ref="K55:K56"/>
    <mergeCell ref="K66:K68"/>
    <mergeCell ref="B66:B68"/>
    <mergeCell ref="C66:C68"/>
    <mergeCell ref="D66:D68"/>
    <mergeCell ref="P100:P101"/>
    <mergeCell ref="Q100:Q101"/>
    <mergeCell ref="R100:R101"/>
    <mergeCell ref="Q96:Q98"/>
    <mergeCell ref="AF100:AF101"/>
    <mergeCell ref="R96:R98"/>
    <mergeCell ref="T96:T98"/>
    <mergeCell ref="G100:G101"/>
    <mergeCell ref="H100:H101"/>
    <mergeCell ref="I100:I101"/>
    <mergeCell ref="J100:J101"/>
    <mergeCell ref="K100:K101"/>
    <mergeCell ref="U96:U98"/>
    <mergeCell ref="V96:V98"/>
    <mergeCell ref="AD96:AD98"/>
    <mergeCell ref="AE96:AE98"/>
    <mergeCell ref="AF96:AF98"/>
    <mergeCell ref="S66:S68"/>
    <mergeCell ref="S76:S79"/>
    <mergeCell ref="S96:S98"/>
    <mergeCell ref="S100:S101"/>
    <mergeCell ref="S105:S107"/>
    <mergeCell ref="AH100:AH101"/>
    <mergeCell ref="T100:T101"/>
    <mergeCell ref="U100:U101"/>
    <mergeCell ref="V100:V101"/>
    <mergeCell ref="AD100:AD101"/>
    <mergeCell ref="AE100:AE101"/>
    <mergeCell ref="AH96:AH98"/>
    <mergeCell ref="AH105:AH107"/>
    <mergeCell ref="AG96:AG98"/>
    <mergeCell ref="AG100:AG101"/>
    <mergeCell ref="AG105:AG107"/>
  </mergeCells>
  <phoneticPr fontId="44"/>
  <conditionalFormatting sqref="B18">
    <cfRule type="expression" dxfId="28" priority="18">
      <formula>$K$18="対象外"</formula>
    </cfRule>
  </conditionalFormatting>
  <conditionalFormatting sqref="B13:J13">
    <cfRule type="expression" dxfId="27" priority="17">
      <formula>$K$13="対象外"</formula>
    </cfRule>
  </conditionalFormatting>
  <conditionalFormatting sqref="B16:J16">
    <cfRule type="expression" dxfId="26" priority="16">
      <formula>$K$16="対象外"</formula>
    </cfRule>
  </conditionalFormatting>
  <conditionalFormatting sqref="B17:J17">
    <cfRule type="expression" dxfId="25" priority="4">
      <formula>$K$18="対象外"</formula>
    </cfRule>
  </conditionalFormatting>
  <conditionalFormatting sqref="B19:J19">
    <cfRule type="expression" dxfId="24" priority="15">
      <formula>$K$19="対象外"</formula>
    </cfRule>
  </conditionalFormatting>
  <conditionalFormatting sqref="B23:J23">
    <cfRule type="expression" dxfId="23" priority="14">
      <formula>$K$23="対象外"</formula>
    </cfRule>
  </conditionalFormatting>
  <conditionalFormatting sqref="B26:J26">
    <cfRule type="expression" dxfId="22" priority="13">
      <formula>$K$26="対象外"</formula>
    </cfRule>
  </conditionalFormatting>
  <conditionalFormatting sqref="B34:J34">
    <cfRule type="expression" dxfId="21" priority="12">
      <formula>$K$34="対象外"</formula>
    </cfRule>
  </conditionalFormatting>
  <conditionalFormatting sqref="B46:J46">
    <cfRule type="expression" dxfId="20" priority="19">
      <formula>#REF!="対象外"</formula>
    </cfRule>
  </conditionalFormatting>
  <conditionalFormatting sqref="B51:J51">
    <cfRule type="expression" dxfId="19" priority="11">
      <formula>$K$51="対象外"</formula>
    </cfRule>
  </conditionalFormatting>
  <conditionalFormatting sqref="B71:J71">
    <cfRule type="expression" dxfId="18" priority="9">
      <formula>$K$71="対象外"</formula>
    </cfRule>
  </conditionalFormatting>
  <conditionalFormatting sqref="B75:J75">
    <cfRule type="expression" dxfId="17" priority="8">
      <formula>$K$75="対象外"</formula>
    </cfRule>
  </conditionalFormatting>
  <conditionalFormatting sqref="B90:J90">
    <cfRule type="expression" dxfId="16" priority="6">
      <formula>$K$90="対象外"</formula>
    </cfRule>
  </conditionalFormatting>
  <conditionalFormatting sqref="B93:J93">
    <cfRule type="expression" dxfId="15" priority="2">
      <formula>#REF!="対象外"</formula>
    </cfRule>
  </conditionalFormatting>
  <conditionalFormatting sqref="B111:K111">
    <cfRule type="expression" dxfId="14" priority="5">
      <formula>$K$111="対象外"</formula>
    </cfRule>
  </conditionalFormatting>
  <dataValidations count="2">
    <dataValidation type="list" allowBlank="1" showInputMessage="1" showErrorMessage="1" sqref="D3" xr:uid="{00000000-0002-0000-0800-000000000000}">
      <formula1>$O$5:$V$5</formula1>
    </dataValidation>
    <dataValidation type="list" allowBlank="1" showInputMessage="1" showErrorMessage="1" sqref="D2" xr:uid="{00000000-0002-0000-0800-000001000000}">
      <formula1>"実施する, 実施しない"</formula1>
    </dataValidation>
  </dataValidations>
  <printOptions horizontalCentered="1"/>
  <pageMargins left="3.937007874015748E-2" right="3.937007874015748E-2" top="0.74803149606299213" bottom="0.35433070866141736" header="0.11811023622047245" footer="0.11811023622047245"/>
  <pageSetup paperSize="9" scale="63" fitToHeight="7" orientation="portrait" r:id="rId1"/>
  <headerFooter>
    <oddHeader>&amp;L&amp;F&amp;R&amp;A</oddHeader>
    <oddFooter>&amp;C&amp;"Yu Gothic Medium,標準"&amp;18&amp;P/&amp;N</oddFooter>
  </headerFooter>
  <rowBreaks count="5" manualBreakCount="5">
    <brk id="18" max="11" man="1"/>
    <brk id="28" max="11" man="1"/>
    <brk id="46" max="11" man="1"/>
    <brk id="80" max="11" man="1"/>
    <brk id="94"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184322" r:id="rId4" name="Option Button 2">
              <controlPr defaultSize="0" autoFill="0" autoLine="0" autoPict="0">
                <anchor moveWithCells="1">
                  <from>
                    <xdr:col>5</xdr:col>
                    <xdr:colOff>238125</xdr:colOff>
                    <xdr:row>12</xdr:row>
                    <xdr:rowOff>142875</xdr:rowOff>
                  </from>
                  <to>
                    <xdr:col>5</xdr:col>
                    <xdr:colOff>485775</xdr:colOff>
                    <xdr:row>12</xdr:row>
                    <xdr:rowOff>361950</xdr:rowOff>
                  </to>
                </anchor>
              </controlPr>
            </control>
          </mc:Choice>
        </mc:AlternateContent>
        <mc:AlternateContent xmlns:mc="http://schemas.openxmlformats.org/markup-compatibility/2006">
          <mc:Choice Requires="x14">
            <control shapeId="184329" r:id="rId5" name="Option Button 9">
              <controlPr locked="0" defaultSize="0" autoFill="0" autoLine="0" autoPict="0">
                <anchor moveWithCells="1">
                  <from>
                    <xdr:col>5</xdr:col>
                    <xdr:colOff>238125</xdr:colOff>
                    <xdr:row>18</xdr:row>
                    <xdr:rowOff>942975</xdr:rowOff>
                  </from>
                  <to>
                    <xdr:col>5</xdr:col>
                    <xdr:colOff>485775</xdr:colOff>
                    <xdr:row>18</xdr:row>
                    <xdr:rowOff>1171575</xdr:rowOff>
                  </to>
                </anchor>
              </controlPr>
            </control>
          </mc:Choice>
        </mc:AlternateContent>
        <mc:AlternateContent xmlns:mc="http://schemas.openxmlformats.org/markup-compatibility/2006">
          <mc:Choice Requires="x14">
            <control shapeId="184330" r:id="rId6" name="Option Button 10">
              <controlPr locked="0" defaultSize="0" autoFill="0" autoLine="0" autoPict="0">
                <anchor moveWithCells="1">
                  <from>
                    <xdr:col>6</xdr:col>
                    <xdr:colOff>228600</xdr:colOff>
                    <xdr:row>18</xdr:row>
                    <xdr:rowOff>942975</xdr:rowOff>
                  </from>
                  <to>
                    <xdr:col>6</xdr:col>
                    <xdr:colOff>466725</xdr:colOff>
                    <xdr:row>18</xdr:row>
                    <xdr:rowOff>1171575</xdr:rowOff>
                  </to>
                </anchor>
              </controlPr>
            </control>
          </mc:Choice>
        </mc:AlternateContent>
        <mc:AlternateContent xmlns:mc="http://schemas.openxmlformats.org/markup-compatibility/2006">
          <mc:Choice Requires="x14">
            <control shapeId="184406" r:id="rId7" name="Check Box 86">
              <controlPr defaultSize="0" autoFill="0" autoLine="0" autoPict="0">
                <anchor moveWithCells="1">
                  <from>
                    <xdr:col>9</xdr:col>
                    <xdr:colOff>85725</xdr:colOff>
                    <xdr:row>75</xdr:row>
                    <xdr:rowOff>381000</xdr:rowOff>
                  </from>
                  <to>
                    <xdr:col>9</xdr:col>
                    <xdr:colOff>314325</xdr:colOff>
                    <xdr:row>75</xdr:row>
                    <xdr:rowOff>600075</xdr:rowOff>
                  </to>
                </anchor>
              </controlPr>
            </control>
          </mc:Choice>
        </mc:AlternateContent>
        <mc:AlternateContent xmlns:mc="http://schemas.openxmlformats.org/markup-compatibility/2006">
          <mc:Choice Requires="x14">
            <control shapeId="184408" r:id="rId8" name="Check Box 88">
              <controlPr defaultSize="0" autoFill="0" autoLine="0" autoPict="0">
                <anchor moveWithCells="1">
                  <from>
                    <xdr:col>9</xdr:col>
                    <xdr:colOff>104775</xdr:colOff>
                    <xdr:row>76</xdr:row>
                    <xdr:rowOff>390525</xdr:rowOff>
                  </from>
                  <to>
                    <xdr:col>9</xdr:col>
                    <xdr:colOff>333375</xdr:colOff>
                    <xdr:row>76</xdr:row>
                    <xdr:rowOff>619125</xdr:rowOff>
                  </to>
                </anchor>
              </controlPr>
            </control>
          </mc:Choice>
        </mc:AlternateContent>
        <mc:AlternateContent xmlns:mc="http://schemas.openxmlformats.org/markup-compatibility/2006">
          <mc:Choice Requires="x14">
            <control shapeId="184410" r:id="rId9" name="Check Box 90">
              <controlPr defaultSize="0" autoFill="0" autoLine="0" autoPict="0">
                <anchor moveWithCells="1">
                  <from>
                    <xdr:col>9</xdr:col>
                    <xdr:colOff>95250</xdr:colOff>
                    <xdr:row>77</xdr:row>
                    <xdr:rowOff>352425</xdr:rowOff>
                  </from>
                  <to>
                    <xdr:col>9</xdr:col>
                    <xdr:colOff>314325</xdr:colOff>
                    <xdr:row>77</xdr:row>
                    <xdr:rowOff>590550</xdr:rowOff>
                  </to>
                </anchor>
              </controlPr>
            </control>
          </mc:Choice>
        </mc:AlternateContent>
        <mc:AlternateContent xmlns:mc="http://schemas.openxmlformats.org/markup-compatibility/2006">
          <mc:Choice Requires="x14">
            <control shapeId="184383" r:id="rId10" name="Check Box 63">
              <controlPr defaultSize="0" autoFill="0" autoLine="0" autoPict="0">
                <anchor moveWithCells="1">
                  <from>
                    <xdr:col>9</xdr:col>
                    <xdr:colOff>104775</xdr:colOff>
                    <xdr:row>54</xdr:row>
                    <xdr:rowOff>419100</xdr:rowOff>
                  </from>
                  <to>
                    <xdr:col>9</xdr:col>
                    <xdr:colOff>323850</xdr:colOff>
                    <xdr:row>54</xdr:row>
                    <xdr:rowOff>657225</xdr:rowOff>
                  </to>
                </anchor>
              </controlPr>
            </control>
          </mc:Choice>
        </mc:AlternateContent>
        <mc:AlternateContent xmlns:mc="http://schemas.openxmlformats.org/markup-compatibility/2006">
          <mc:Choice Requires="x14">
            <control shapeId="184385" r:id="rId11" name="Check Box 65">
              <controlPr defaultSize="0" autoFill="0" autoLine="0" autoPict="0">
                <anchor moveWithCells="1">
                  <from>
                    <xdr:col>9</xdr:col>
                    <xdr:colOff>114300</xdr:colOff>
                    <xdr:row>55</xdr:row>
                    <xdr:rowOff>419100</xdr:rowOff>
                  </from>
                  <to>
                    <xdr:col>9</xdr:col>
                    <xdr:colOff>342900</xdr:colOff>
                    <xdr:row>55</xdr:row>
                    <xdr:rowOff>647700</xdr:rowOff>
                  </to>
                </anchor>
              </controlPr>
            </control>
          </mc:Choice>
        </mc:AlternateContent>
        <mc:AlternateContent xmlns:mc="http://schemas.openxmlformats.org/markup-compatibility/2006">
          <mc:Choice Requires="x14">
            <control shapeId="184424" r:id="rId12" name="Check Box 104">
              <controlPr defaultSize="0" autoFill="0" autoLine="0" autoPict="0">
                <anchor moveWithCells="1">
                  <from>
                    <xdr:col>9</xdr:col>
                    <xdr:colOff>114300</xdr:colOff>
                    <xdr:row>51</xdr:row>
                    <xdr:rowOff>609600</xdr:rowOff>
                  </from>
                  <to>
                    <xdr:col>9</xdr:col>
                    <xdr:colOff>342900</xdr:colOff>
                    <xdr:row>51</xdr:row>
                    <xdr:rowOff>838200</xdr:rowOff>
                  </to>
                </anchor>
              </controlPr>
            </control>
          </mc:Choice>
        </mc:AlternateContent>
        <mc:AlternateContent xmlns:mc="http://schemas.openxmlformats.org/markup-compatibility/2006">
          <mc:Choice Requires="x14">
            <control shapeId="184338" r:id="rId13" name="Check Box 18">
              <controlPr defaultSize="0" autoFill="0" autoLine="0" autoPict="0">
                <anchor moveWithCells="1">
                  <from>
                    <xdr:col>9</xdr:col>
                    <xdr:colOff>114300</xdr:colOff>
                    <xdr:row>24</xdr:row>
                    <xdr:rowOff>295275</xdr:rowOff>
                  </from>
                  <to>
                    <xdr:col>9</xdr:col>
                    <xdr:colOff>342900</xdr:colOff>
                    <xdr:row>24</xdr:row>
                    <xdr:rowOff>523875</xdr:rowOff>
                  </to>
                </anchor>
              </controlPr>
            </control>
          </mc:Choice>
        </mc:AlternateContent>
        <mc:AlternateContent xmlns:mc="http://schemas.openxmlformats.org/markup-compatibility/2006">
          <mc:Choice Requires="x14">
            <control shapeId="184325" r:id="rId14" name="Check Box 5">
              <controlPr locked="0" defaultSize="0" autoFill="0" autoLine="0" autoPict="0">
                <anchor moveWithCells="1">
                  <from>
                    <xdr:col>9</xdr:col>
                    <xdr:colOff>114300</xdr:colOff>
                    <xdr:row>13</xdr:row>
                    <xdr:rowOff>409575</xdr:rowOff>
                  </from>
                  <to>
                    <xdr:col>9</xdr:col>
                    <xdr:colOff>342900</xdr:colOff>
                    <xdr:row>13</xdr:row>
                    <xdr:rowOff>638175</xdr:rowOff>
                  </to>
                </anchor>
              </controlPr>
            </control>
          </mc:Choice>
        </mc:AlternateContent>
        <mc:AlternateContent xmlns:mc="http://schemas.openxmlformats.org/markup-compatibility/2006">
          <mc:Choice Requires="x14">
            <control shapeId="184440" r:id="rId15" name="Option Button 120">
              <controlPr locked="0" defaultSize="0" autoFill="0" autoLine="0" autoPict="0">
                <anchor moveWithCells="1">
                  <from>
                    <xdr:col>7</xdr:col>
                    <xdr:colOff>209550</xdr:colOff>
                    <xdr:row>18</xdr:row>
                    <xdr:rowOff>942975</xdr:rowOff>
                  </from>
                  <to>
                    <xdr:col>7</xdr:col>
                    <xdr:colOff>447675</xdr:colOff>
                    <xdr:row>18</xdr:row>
                    <xdr:rowOff>1171575</xdr:rowOff>
                  </to>
                </anchor>
              </controlPr>
            </control>
          </mc:Choice>
        </mc:AlternateContent>
        <mc:AlternateContent xmlns:mc="http://schemas.openxmlformats.org/markup-compatibility/2006">
          <mc:Choice Requires="x14">
            <control shapeId="184441" r:id="rId16" name="Option Button 121">
              <controlPr defaultSize="0" autoFill="0" autoLine="0" autoPict="0">
                <anchor moveWithCells="1">
                  <from>
                    <xdr:col>7</xdr:col>
                    <xdr:colOff>219075</xdr:colOff>
                    <xdr:row>12</xdr:row>
                    <xdr:rowOff>142875</xdr:rowOff>
                  </from>
                  <to>
                    <xdr:col>7</xdr:col>
                    <xdr:colOff>466725</xdr:colOff>
                    <xdr:row>12</xdr:row>
                    <xdr:rowOff>361950</xdr:rowOff>
                  </to>
                </anchor>
              </controlPr>
            </control>
          </mc:Choice>
        </mc:AlternateContent>
        <mc:AlternateContent xmlns:mc="http://schemas.openxmlformats.org/markup-compatibility/2006">
          <mc:Choice Requires="x14">
            <control shapeId="184443" r:id="rId17" name="Check Box 123">
              <controlPr defaultSize="0" autoFill="0" autoLine="0" autoPict="0">
                <anchor moveWithCells="1">
                  <from>
                    <xdr:col>9</xdr:col>
                    <xdr:colOff>95250</xdr:colOff>
                    <xdr:row>38</xdr:row>
                    <xdr:rowOff>314325</xdr:rowOff>
                  </from>
                  <to>
                    <xdr:col>9</xdr:col>
                    <xdr:colOff>314325</xdr:colOff>
                    <xdr:row>38</xdr:row>
                    <xdr:rowOff>542925</xdr:rowOff>
                  </to>
                </anchor>
              </controlPr>
            </control>
          </mc:Choice>
        </mc:AlternateContent>
        <mc:AlternateContent xmlns:mc="http://schemas.openxmlformats.org/markup-compatibility/2006">
          <mc:Choice Requires="x14">
            <control shapeId="184445" r:id="rId18" name="Check Box 125">
              <controlPr defaultSize="0" autoFill="0" autoLine="0" autoPict="0">
                <anchor moveWithCells="1">
                  <from>
                    <xdr:col>9</xdr:col>
                    <xdr:colOff>76200</xdr:colOff>
                    <xdr:row>40</xdr:row>
                    <xdr:rowOff>628650</xdr:rowOff>
                  </from>
                  <to>
                    <xdr:col>9</xdr:col>
                    <xdr:colOff>295275</xdr:colOff>
                    <xdr:row>40</xdr:row>
                    <xdr:rowOff>857250</xdr:rowOff>
                  </to>
                </anchor>
              </controlPr>
            </control>
          </mc:Choice>
        </mc:AlternateContent>
        <mc:AlternateContent xmlns:mc="http://schemas.openxmlformats.org/markup-compatibility/2006">
          <mc:Choice Requires="x14">
            <control shapeId="184448" r:id="rId19" name="Check Box 128">
              <controlPr defaultSize="0" autoFill="0" autoLine="0" autoPict="0">
                <anchor moveWithCells="1">
                  <from>
                    <xdr:col>9</xdr:col>
                    <xdr:colOff>95250</xdr:colOff>
                    <xdr:row>44</xdr:row>
                    <xdr:rowOff>400050</xdr:rowOff>
                  </from>
                  <to>
                    <xdr:col>9</xdr:col>
                    <xdr:colOff>314325</xdr:colOff>
                    <xdr:row>44</xdr:row>
                    <xdr:rowOff>628650</xdr:rowOff>
                  </to>
                </anchor>
              </controlPr>
            </control>
          </mc:Choice>
        </mc:AlternateContent>
        <mc:AlternateContent xmlns:mc="http://schemas.openxmlformats.org/markup-compatibility/2006">
          <mc:Choice Requires="x14">
            <control shapeId="184375" r:id="rId20" name="Check Box 55">
              <controlPr defaultSize="0" autoFill="0" autoLine="0" autoPict="0">
                <anchor moveWithCells="1">
                  <from>
                    <xdr:col>9</xdr:col>
                    <xdr:colOff>95250</xdr:colOff>
                    <xdr:row>41</xdr:row>
                    <xdr:rowOff>533400</xdr:rowOff>
                  </from>
                  <to>
                    <xdr:col>9</xdr:col>
                    <xdr:colOff>314325</xdr:colOff>
                    <xdr:row>41</xdr:row>
                    <xdr:rowOff>752475</xdr:rowOff>
                  </to>
                </anchor>
              </controlPr>
            </control>
          </mc:Choice>
        </mc:AlternateContent>
        <mc:AlternateContent xmlns:mc="http://schemas.openxmlformats.org/markup-compatibility/2006">
          <mc:Choice Requires="x14">
            <control shapeId="184412" r:id="rId21" name="Check Box 92">
              <controlPr defaultSize="0" autoFill="0" autoLine="0" autoPict="0">
                <anchor moveWithCells="1">
                  <from>
                    <xdr:col>9</xdr:col>
                    <xdr:colOff>95250</xdr:colOff>
                    <xdr:row>78</xdr:row>
                    <xdr:rowOff>333375</xdr:rowOff>
                  </from>
                  <to>
                    <xdr:col>9</xdr:col>
                    <xdr:colOff>314325</xdr:colOff>
                    <xdr:row>78</xdr:row>
                    <xdr:rowOff>561975</xdr:rowOff>
                  </to>
                </anchor>
              </controlPr>
            </control>
          </mc:Choice>
        </mc:AlternateContent>
        <mc:AlternateContent xmlns:mc="http://schemas.openxmlformats.org/markup-compatibility/2006">
          <mc:Choice Requires="x14">
            <control shapeId="184452" r:id="rId22" name="Check Box 132">
              <controlPr defaultSize="0" autoFill="0" autoLine="0" autoPict="0">
                <anchor moveWithCells="1">
                  <from>
                    <xdr:col>9</xdr:col>
                    <xdr:colOff>95250</xdr:colOff>
                    <xdr:row>89</xdr:row>
                    <xdr:rowOff>228600</xdr:rowOff>
                  </from>
                  <to>
                    <xdr:col>9</xdr:col>
                    <xdr:colOff>314325</xdr:colOff>
                    <xdr:row>89</xdr:row>
                    <xdr:rowOff>590550</xdr:rowOff>
                  </to>
                </anchor>
              </controlPr>
            </control>
          </mc:Choice>
        </mc:AlternateContent>
        <mc:AlternateContent xmlns:mc="http://schemas.openxmlformats.org/markup-compatibility/2006">
          <mc:Choice Requires="x14">
            <control shapeId="184459" r:id="rId23" name="Check Box 139">
              <controlPr defaultSize="0" autoFill="0" autoLine="0" autoPict="0">
                <anchor moveWithCells="1">
                  <from>
                    <xdr:col>9</xdr:col>
                    <xdr:colOff>95250</xdr:colOff>
                    <xdr:row>112</xdr:row>
                    <xdr:rowOff>361950</xdr:rowOff>
                  </from>
                  <to>
                    <xdr:col>9</xdr:col>
                    <xdr:colOff>314325</xdr:colOff>
                    <xdr:row>112</xdr:row>
                    <xdr:rowOff>600075</xdr:rowOff>
                  </to>
                </anchor>
              </controlPr>
            </control>
          </mc:Choice>
        </mc:AlternateContent>
        <mc:AlternateContent xmlns:mc="http://schemas.openxmlformats.org/markup-compatibility/2006">
          <mc:Choice Requires="x14">
            <control shapeId="184464" r:id="rId24" name="Check Box 144">
              <controlPr defaultSize="0" autoFill="0" autoLine="0" autoPict="0">
                <anchor moveWithCells="1">
                  <from>
                    <xdr:col>9</xdr:col>
                    <xdr:colOff>104775</xdr:colOff>
                    <xdr:row>67</xdr:row>
                    <xdr:rowOff>285750</xdr:rowOff>
                  </from>
                  <to>
                    <xdr:col>9</xdr:col>
                    <xdr:colOff>323850</xdr:colOff>
                    <xdr:row>67</xdr:row>
                    <xdr:rowOff>514350</xdr:rowOff>
                  </to>
                </anchor>
              </controlPr>
            </control>
          </mc:Choice>
        </mc:AlternateContent>
        <mc:AlternateContent xmlns:mc="http://schemas.openxmlformats.org/markup-compatibility/2006">
          <mc:Choice Requires="x14">
            <control shapeId="184493" r:id="rId25" name="Check Box 173">
              <controlPr locked="0" defaultSize="0" autoFill="0" autoLine="0" autoPict="0">
                <anchor moveWithCells="1">
                  <from>
                    <xdr:col>9</xdr:col>
                    <xdr:colOff>114300</xdr:colOff>
                    <xdr:row>12</xdr:row>
                    <xdr:rowOff>180975</xdr:rowOff>
                  </from>
                  <to>
                    <xdr:col>9</xdr:col>
                    <xdr:colOff>342900</xdr:colOff>
                    <xdr:row>12</xdr:row>
                    <xdr:rowOff>409575</xdr:rowOff>
                  </to>
                </anchor>
              </controlPr>
            </control>
          </mc:Choice>
        </mc:AlternateContent>
        <mc:AlternateContent xmlns:mc="http://schemas.openxmlformats.org/markup-compatibility/2006">
          <mc:Choice Requires="x14">
            <control shapeId="184494" r:id="rId26" name="Group Box 174">
              <controlPr defaultSize="0" autoFill="0" autoPict="0">
                <anchor moveWithCells="1">
                  <from>
                    <xdr:col>5</xdr:col>
                    <xdr:colOff>95250</xdr:colOff>
                    <xdr:row>12</xdr:row>
                    <xdr:rowOff>85725</xdr:rowOff>
                  </from>
                  <to>
                    <xdr:col>7</xdr:col>
                    <xdr:colOff>600075</xdr:colOff>
                    <xdr:row>12</xdr:row>
                    <xdr:rowOff>438150</xdr:rowOff>
                  </to>
                </anchor>
              </controlPr>
            </control>
          </mc:Choice>
        </mc:AlternateContent>
        <mc:AlternateContent xmlns:mc="http://schemas.openxmlformats.org/markup-compatibility/2006">
          <mc:Choice Requires="x14">
            <control shapeId="184495" r:id="rId27" name="Group Box 175">
              <controlPr defaultSize="0" autoFill="0" autoPict="0">
                <anchor moveWithCells="1">
                  <from>
                    <xdr:col>5</xdr:col>
                    <xdr:colOff>104775</xdr:colOff>
                    <xdr:row>18</xdr:row>
                    <xdr:rowOff>790575</xdr:rowOff>
                  </from>
                  <to>
                    <xdr:col>7</xdr:col>
                    <xdr:colOff>590550</xdr:colOff>
                    <xdr:row>18</xdr:row>
                    <xdr:rowOff>1314450</xdr:rowOff>
                  </to>
                </anchor>
              </controlPr>
            </control>
          </mc:Choice>
        </mc:AlternateContent>
        <mc:AlternateContent xmlns:mc="http://schemas.openxmlformats.org/markup-compatibility/2006">
          <mc:Choice Requires="x14">
            <control shapeId="184497" r:id="rId28" name="Option Button 177">
              <controlPr locked="0" defaultSize="0" autoFill="0" autoLine="0" autoPict="0">
                <anchor moveWithCells="1">
                  <from>
                    <xdr:col>5</xdr:col>
                    <xdr:colOff>266700</xdr:colOff>
                    <xdr:row>23</xdr:row>
                    <xdr:rowOff>666750</xdr:rowOff>
                  </from>
                  <to>
                    <xdr:col>5</xdr:col>
                    <xdr:colOff>514350</xdr:colOff>
                    <xdr:row>23</xdr:row>
                    <xdr:rowOff>904875</xdr:rowOff>
                  </to>
                </anchor>
              </controlPr>
            </control>
          </mc:Choice>
        </mc:AlternateContent>
        <mc:AlternateContent xmlns:mc="http://schemas.openxmlformats.org/markup-compatibility/2006">
          <mc:Choice Requires="x14">
            <control shapeId="184498" r:id="rId29" name="Option Button 178">
              <controlPr locked="0" defaultSize="0" autoFill="0" autoLine="0" autoPict="0">
                <anchor moveWithCells="1">
                  <from>
                    <xdr:col>6</xdr:col>
                    <xdr:colOff>228600</xdr:colOff>
                    <xdr:row>23</xdr:row>
                    <xdr:rowOff>685800</xdr:rowOff>
                  </from>
                  <to>
                    <xdr:col>6</xdr:col>
                    <xdr:colOff>466725</xdr:colOff>
                    <xdr:row>23</xdr:row>
                    <xdr:rowOff>923925</xdr:rowOff>
                  </to>
                </anchor>
              </controlPr>
            </control>
          </mc:Choice>
        </mc:AlternateContent>
        <mc:AlternateContent xmlns:mc="http://schemas.openxmlformats.org/markup-compatibility/2006">
          <mc:Choice Requires="x14">
            <control shapeId="184499" r:id="rId30" name="Option Button 179">
              <controlPr locked="0" defaultSize="0" autoFill="0" autoLine="0" autoPict="0">
                <anchor moveWithCells="1">
                  <from>
                    <xdr:col>7</xdr:col>
                    <xdr:colOff>209550</xdr:colOff>
                    <xdr:row>23</xdr:row>
                    <xdr:rowOff>685800</xdr:rowOff>
                  </from>
                  <to>
                    <xdr:col>7</xdr:col>
                    <xdr:colOff>447675</xdr:colOff>
                    <xdr:row>23</xdr:row>
                    <xdr:rowOff>933450</xdr:rowOff>
                  </to>
                </anchor>
              </controlPr>
            </control>
          </mc:Choice>
        </mc:AlternateContent>
        <mc:AlternateContent xmlns:mc="http://schemas.openxmlformats.org/markup-compatibility/2006">
          <mc:Choice Requires="x14">
            <control shapeId="184500" r:id="rId31" name="Group Box 180">
              <controlPr defaultSize="0" autoFill="0" autoPict="0">
                <anchor moveWithCells="1">
                  <from>
                    <xdr:col>5</xdr:col>
                    <xdr:colOff>104775</xdr:colOff>
                    <xdr:row>23</xdr:row>
                    <xdr:rowOff>609600</xdr:rowOff>
                  </from>
                  <to>
                    <xdr:col>7</xdr:col>
                    <xdr:colOff>581025</xdr:colOff>
                    <xdr:row>23</xdr:row>
                    <xdr:rowOff>1028700</xdr:rowOff>
                  </to>
                </anchor>
              </controlPr>
            </control>
          </mc:Choice>
        </mc:AlternateContent>
        <mc:AlternateContent xmlns:mc="http://schemas.openxmlformats.org/markup-compatibility/2006">
          <mc:Choice Requires="x14">
            <control shapeId="184519" r:id="rId32" name="Option Button 199">
              <controlPr defaultSize="0" autoFill="0" autoLine="0" autoPict="0">
                <anchor moveWithCells="1">
                  <from>
                    <xdr:col>5</xdr:col>
                    <xdr:colOff>238125</xdr:colOff>
                    <xdr:row>58</xdr:row>
                    <xdr:rowOff>742950</xdr:rowOff>
                  </from>
                  <to>
                    <xdr:col>5</xdr:col>
                    <xdr:colOff>485775</xdr:colOff>
                    <xdr:row>58</xdr:row>
                    <xdr:rowOff>962025</xdr:rowOff>
                  </to>
                </anchor>
              </controlPr>
            </control>
          </mc:Choice>
        </mc:AlternateContent>
        <mc:AlternateContent xmlns:mc="http://schemas.openxmlformats.org/markup-compatibility/2006">
          <mc:Choice Requires="x14">
            <control shapeId="184520" r:id="rId33" name="Option Button 200">
              <controlPr defaultSize="0" autoFill="0" autoLine="0" autoPict="0">
                <anchor moveWithCells="1">
                  <from>
                    <xdr:col>6</xdr:col>
                    <xdr:colOff>228600</xdr:colOff>
                    <xdr:row>58</xdr:row>
                    <xdr:rowOff>742950</xdr:rowOff>
                  </from>
                  <to>
                    <xdr:col>6</xdr:col>
                    <xdr:colOff>466725</xdr:colOff>
                    <xdr:row>58</xdr:row>
                    <xdr:rowOff>962025</xdr:rowOff>
                  </to>
                </anchor>
              </controlPr>
            </control>
          </mc:Choice>
        </mc:AlternateContent>
        <mc:AlternateContent xmlns:mc="http://schemas.openxmlformats.org/markup-compatibility/2006">
          <mc:Choice Requires="x14">
            <control shapeId="184521" r:id="rId34" name="Option Button 201">
              <controlPr defaultSize="0" autoFill="0" autoLine="0" autoPict="0">
                <anchor moveWithCells="1">
                  <from>
                    <xdr:col>7</xdr:col>
                    <xdr:colOff>209550</xdr:colOff>
                    <xdr:row>58</xdr:row>
                    <xdr:rowOff>742950</xdr:rowOff>
                  </from>
                  <to>
                    <xdr:col>7</xdr:col>
                    <xdr:colOff>447675</xdr:colOff>
                    <xdr:row>58</xdr:row>
                    <xdr:rowOff>962025</xdr:rowOff>
                  </to>
                </anchor>
              </controlPr>
            </control>
          </mc:Choice>
        </mc:AlternateContent>
        <mc:AlternateContent xmlns:mc="http://schemas.openxmlformats.org/markup-compatibility/2006">
          <mc:Choice Requires="x14">
            <control shapeId="184522" r:id="rId35" name="Group Box 202">
              <controlPr defaultSize="0" autoFill="0" autoPict="0">
                <anchor moveWithCells="1">
                  <from>
                    <xdr:col>5</xdr:col>
                    <xdr:colOff>104775</xdr:colOff>
                    <xdr:row>58</xdr:row>
                    <xdr:rowOff>676275</xdr:rowOff>
                  </from>
                  <to>
                    <xdr:col>7</xdr:col>
                    <xdr:colOff>581025</xdr:colOff>
                    <xdr:row>58</xdr:row>
                    <xdr:rowOff>1019175</xdr:rowOff>
                  </to>
                </anchor>
              </controlPr>
            </control>
          </mc:Choice>
        </mc:AlternateContent>
        <mc:AlternateContent xmlns:mc="http://schemas.openxmlformats.org/markup-compatibility/2006">
          <mc:Choice Requires="x14">
            <control shapeId="184523" r:id="rId36" name="Option Button 203">
              <controlPr defaultSize="0" autoFill="0" autoLine="0" autoPict="0">
                <anchor moveWithCells="1">
                  <from>
                    <xdr:col>5</xdr:col>
                    <xdr:colOff>238125</xdr:colOff>
                    <xdr:row>59</xdr:row>
                    <xdr:rowOff>200025</xdr:rowOff>
                  </from>
                  <to>
                    <xdr:col>5</xdr:col>
                    <xdr:colOff>485775</xdr:colOff>
                    <xdr:row>59</xdr:row>
                    <xdr:rowOff>419100</xdr:rowOff>
                  </to>
                </anchor>
              </controlPr>
            </control>
          </mc:Choice>
        </mc:AlternateContent>
        <mc:AlternateContent xmlns:mc="http://schemas.openxmlformats.org/markup-compatibility/2006">
          <mc:Choice Requires="x14">
            <control shapeId="184524" r:id="rId37" name="Option Button 204">
              <controlPr defaultSize="0" autoFill="0" autoLine="0" autoPict="0">
                <anchor moveWithCells="1">
                  <from>
                    <xdr:col>6</xdr:col>
                    <xdr:colOff>228600</xdr:colOff>
                    <xdr:row>59</xdr:row>
                    <xdr:rowOff>200025</xdr:rowOff>
                  </from>
                  <to>
                    <xdr:col>6</xdr:col>
                    <xdr:colOff>466725</xdr:colOff>
                    <xdr:row>59</xdr:row>
                    <xdr:rowOff>419100</xdr:rowOff>
                  </to>
                </anchor>
              </controlPr>
            </control>
          </mc:Choice>
        </mc:AlternateContent>
        <mc:AlternateContent xmlns:mc="http://schemas.openxmlformats.org/markup-compatibility/2006">
          <mc:Choice Requires="x14">
            <control shapeId="184525" r:id="rId38" name="Option Button 205">
              <controlPr defaultSize="0" autoFill="0" autoLine="0" autoPict="0">
                <anchor moveWithCells="1">
                  <from>
                    <xdr:col>7</xdr:col>
                    <xdr:colOff>209550</xdr:colOff>
                    <xdr:row>59</xdr:row>
                    <xdr:rowOff>200025</xdr:rowOff>
                  </from>
                  <to>
                    <xdr:col>7</xdr:col>
                    <xdr:colOff>447675</xdr:colOff>
                    <xdr:row>59</xdr:row>
                    <xdr:rowOff>419100</xdr:rowOff>
                  </to>
                </anchor>
              </controlPr>
            </control>
          </mc:Choice>
        </mc:AlternateContent>
        <mc:AlternateContent xmlns:mc="http://schemas.openxmlformats.org/markup-compatibility/2006">
          <mc:Choice Requires="x14">
            <control shapeId="184526" r:id="rId39" name="Group Box 206">
              <controlPr defaultSize="0" autoFill="0" autoPict="0">
                <anchor moveWithCells="1">
                  <from>
                    <xdr:col>5</xdr:col>
                    <xdr:colOff>104775</xdr:colOff>
                    <xdr:row>59</xdr:row>
                    <xdr:rowOff>133350</xdr:rowOff>
                  </from>
                  <to>
                    <xdr:col>7</xdr:col>
                    <xdr:colOff>581025</xdr:colOff>
                    <xdr:row>59</xdr:row>
                    <xdr:rowOff>476250</xdr:rowOff>
                  </to>
                </anchor>
              </controlPr>
            </control>
          </mc:Choice>
        </mc:AlternateContent>
        <mc:AlternateContent xmlns:mc="http://schemas.openxmlformats.org/markup-compatibility/2006">
          <mc:Choice Requires="x14">
            <control shapeId="184527" r:id="rId40" name="Option Button 207">
              <controlPr defaultSize="0" autoFill="0" autoLine="0" autoPict="0">
                <anchor moveWithCells="1">
                  <from>
                    <xdr:col>5</xdr:col>
                    <xdr:colOff>238125</xdr:colOff>
                    <xdr:row>79</xdr:row>
                    <xdr:rowOff>428625</xdr:rowOff>
                  </from>
                  <to>
                    <xdr:col>5</xdr:col>
                    <xdr:colOff>485775</xdr:colOff>
                    <xdr:row>79</xdr:row>
                    <xdr:rowOff>647700</xdr:rowOff>
                  </to>
                </anchor>
              </controlPr>
            </control>
          </mc:Choice>
        </mc:AlternateContent>
        <mc:AlternateContent xmlns:mc="http://schemas.openxmlformats.org/markup-compatibility/2006">
          <mc:Choice Requires="x14">
            <control shapeId="184529" r:id="rId41" name="Option Button 209">
              <controlPr defaultSize="0" autoFill="0" autoLine="0" autoPict="0">
                <anchor moveWithCells="1">
                  <from>
                    <xdr:col>6</xdr:col>
                    <xdr:colOff>228600</xdr:colOff>
                    <xdr:row>79</xdr:row>
                    <xdr:rowOff>428625</xdr:rowOff>
                  </from>
                  <to>
                    <xdr:col>6</xdr:col>
                    <xdr:colOff>466725</xdr:colOff>
                    <xdr:row>79</xdr:row>
                    <xdr:rowOff>647700</xdr:rowOff>
                  </to>
                </anchor>
              </controlPr>
            </control>
          </mc:Choice>
        </mc:AlternateContent>
        <mc:AlternateContent xmlns:mc="http://schemas.openxmlformats.org/markup-compatibility/2006">
          <mc:Choice Requires="x14">
            <control shapeId="184536" r:id="rId42" name="Check Box 216">
              <controlPr defaultSize="0" autoFill="0" autoLine="0" autoPict="0">
                <anchor moveWithCells="1">
                  <from>
                    <xdr:col>9</xdr:col>
                    <xdr:colOff>114300</xdr:colOff>
                    <xdr:row>58</xdr:row>
                    <xdr:rowOff>723900</xdr:rowOff>
                  </from>
                  <to>
                    <xdr:col>9</xdr:col>
                    <xdr:colOff>342900</xdr:colOff>
                    <xdr:row>58</xdr:row>
                    <xdr:rowOff>952500</xdr:rowOff>
                  </to>
                </anchor>
              </controlPr>
            </control>
          </mc:Choice>
        </mc:AlternateContent>
        <mc:AlternateContent xmlns:mc="http://schemas.openxmlformats.org/markup-compatibility/2006">
          <mc:Choice Requires="x14">
            <control shapeId="184537" r:id="rId43" name="Check Box 217">
              <controlPr defaultSize="0" autoFill="0" autoLine="0" autoPict="0">
                <anchor moveWithCells="1">
                  <from>
                    <xdr:col>9</xdr:col>
                    <xdr:colOff>114300</xdr:colOff>
                    <xdr:row>59</xdr:row>
                    <xdr:rowOff>200025</xdr:rowOff>
                  </from>
                  <to>
                    <xdr:col>9</xdr:col>
                    <xdr:colOff>342900</xdr:colOff>
                    <xdr:row>59</xdr:row>
                    <xdr:rowOff>438150</xdr:rowOff>
                  </to>
                </anchor>
              </controlPr>
            </control>
          </mc:Choice>
        </mc:AlternateContent>
        <mc:AlternateContent xmlns:mc="http://schemas.openxmlformats.org/markup-compatibility/2006">
          <mc:Choice Requires="x14">
            <control shapeId="184538" r:id="rId44" name="Check Box 218">
              <controlPr defaultSize="0" autoFill="0" autoLine="0" autoPict="0">
                <anchor moveWithCells="1">
                  <from>
                    <xdr:col>9</xdr:col>
                    <xdr:colOff>104775</xdr:colOff>
                    <xdr:row>79</xdr:row>
                    <xdr:rowOff>419100</xdr:rowOff>
                  </from>
                  <to>
                    <xdr:col>9</xdr:col>
                    <xdr:colOff>323850</xdr:colOff>
                    <xdr:row>79</xdr:row>
                    <xdr:rowOff>638175</xdr:rowOff>
                  </to>
                </anchor>
              </controlPr>
            </control>
          </mc:Choice>
        </mc:AlternateContent>
        <mc:AlternateContent xmlns:mc="http://schemas.openxmlformats.org/markup-compatibility/2006">
          <mc:Choice Requires="x14">
            <control shapeId="184347" r:id="rId45" name="Group Box 27">
              <controlPr defaultSize="0" autoFill="0" autoPict="0">
                <anchor moveWithCells="1">
                  <from>
                    <xdr:col>5</xdr:col>
                    <xdr:colOff>161925</xdr:colOff>
                    <xdr:row>27</xdr:row>
                    <xdr:rowOff>247650</xdr:rowOff>
                  </from>
                  <to>
                    <xdr:col>7</xdr:col>
                    <xdr:colOff>485775</xdr:colOff>
                    <xdr:row>27</xdr:row>
                    <xdr:rowOff>523875</xdr:rowOff>
                  </to>
                </anchor>
              </controlPr>
            </control>
          </mc:Choice>
        </mc:AlternateContent>
        <mc:AlternateContent xmlns:mc="http://schemas.openxmlformats.org/markup-compatibility/2006">
          <mc:Choice Requires="x14">
            <control shapeId="184352" r:id="rId46" name="Check Box 32">
              <controlPr defaultSize="0" autoFill="0" autoLine="0" autoPict="0">
                <anchor moveWithCells="1">
                  <from>
                    <xdr:col>9</xdr:col>
                    <xdr:colOff>114300</xdr:colOff>
                    <xdr:row>28</xdr:row>
                    <xdr:rowOff>466725</xdr:rowOff>
                  </from>
                  <to>
                    <xdr:col>9</xdr:col>
                    <xdr:colOff>323850</xdr:colOff>
                    <xdr:row>28</xdr:row>
                    <xdr:rowOff>762000</xdr:rowOff>
                  </to>
                </anchor>
              </controlPr>
            </control>
          </mc:Choice>
        </mc:AlternateContent>
        <mc:AlternateContent xmlns:mc="http://schemas.openxmlformats.org/markup-compatibility/2006">
          <mc:Choice Requires="x14">
            <control shapeId="184354" r:id="rId47" name="Check Box 34">
              <controlPr defaultSize="0" autoFill="0" autoLine="0" autoPict="0">
                <anchor moveWithCells="1">
                  <from>
                    <xdr:col>9</xdr:col>
                    <xdr:colOff>114300</xdr:colOff>
                    <xdr:row>29</xdr:row>
                    <xdr:rowOff>400050</xdr:rowOff>
                  </from>
                  <to>
                    <xdr:col>9</xdr:col>
                    <xdr:colOff>342900</xdr:colOff>
                    <xdr:row>29</xdr:row>
                    <xdr:rowOff>628650</xdr:rowOff>
                  </to>
                </anchor>
              </controlPr>
            </control>
          </mc:Choice>
        </mc:AlternateContent>
        <mc:AlternateContent xmlns:mc="http://schemas.openxmlformats.org/markup-compatibility/2006">
          <mc:Choice Requires="x14">
            <control shapeId="184356" r:id="rId48" name="Check Box 36">
              <controlPr defaultSize="0" autoFill="0" autoLine="0" autoPict="0">
                <anchor moveWithCells="1">
                  <from>
                    <xdr:col>9</xdr:col>
                    <xdr:colOff>114300</xdr:colOff>
                    <xdr:row>31</xdr:row>
                    <xdr:rowOff>466725</xdr:rowOff>
                  </from>
                  <to>
                    <xdr:col>9</xdr:col>
                    <xdr:colOff>342900</xdr:colOff>
                    <xdr:row>31</xdr:row>
                    <xdr:rowOff>695325</xdr:rowOff>
                  </to>
                </anchor>
              </controlPr>
            </control>
          </mc:Choice>
        </mc:AlternateContent>
        <mc:AlternateContent xmlns:mc="http://schemas.openxmlformats.org/markup-compatibility/2006">
          <mc:Choice Requires="x14">
            <control shapeId="184373" r:id="rId49" name="Check Box 53">
              <controlPr defaultSize="0" autoFill="0" autoLine="0" autoPict="0">
                <anchor moveWithCells="1">
                  <from>
                    <xdr:col>9</xdr:col>
                    <xdr:colOff>114300</xdr:colOff>
                    <xdr:row>35</xdr:row>
                    <xdr:rowOff>466725</xdr:rowOff>
                  </from>
                  <to>
                    <xdr:col>9</xdr:col>
                    <xdr:colOff>342900</xdr:colOff>
                    <xdr:row>35</xdr:row>
                    <xdr:rowOff>695325</xdr:rowOff>
                  </to>
                </anchor>
              </controlPr>
            </control>
          </mc:Choice>
        </mc:AlternateContent>
        <mc:AlternateContent xmlns:mc="http://schemas.openxmlformats.org/markup-compatibility/2006">
          <mc:Choice Requires="x14">
            <control shapeId="184421" r:id="rId50" name="Check Box 101">
              <controlPr defaultSize="0" autoFill="0" autoLine="0" autoPict="0">
                <anchor moveWithCells="1">
                  <from>
                    <xdr:col>9</xdr:col>
                    <xdr:colOff>114300</xdr:colOff>
                    <xdr:row>30</xdr:row>
                    <xdr:rowOff>400050</xdr:rowOff>
                  </from>
                  <to>
                    <xdr:col>9</xdr:col>
                    <xdr:colOff>342900</xdr:colOff>
                    <xdr:row>30</xdr:row>
                    <xdr:rowOff>628650</xdr:rowOff>
                  </to>
                </anchor>
              </controlPr>
            </control>
          </mc:Choice>
        </mc:AlternateContent>
        <mc:AlternateContent xmlns:mc="http://schemas.openxmlformats.org/markup-compatibility/2006">
          <mc:Choice Requires="x14">
            <control shapeId="184504" r:id="rId51" name="Group Box 184">
              <controlPr defaultSize="0" autoFill="0" autoPict="0">
                <anchor moveWithCells="1">
                  <from>
                    <xdr:col>5</xdr:col>
                    <xdr:colOff>114300</xdr:colOff>
                    <xdr:row>25</xdr:row>
                    <xdr:rowOff>1323975</xdr:rowOff>
                  </from>
                  <to>
                    <xdr:col>7</xdr:col>
                    <xdr:colOff>590550</xdr:colOff>
                    <xdr:row>25</xdr:row>
                    <xdr:rowOff>1819275</xdr:rowOff>
                  </to>
                </anchor>
              </controlPr>
            </control>
          </mc:Choice>
        </mc:AlternateContent>
        <mc:AlternateContent xmlns:mc="http://schemas.openxmlformats.org/markup-compatibility/2006">
          <mc:Choice Requires="x14">
            <control shapeId="184505" r:id="rId52" name="Option Button 185">
              <controlPr defaultSize="0" autoFill="0" autoLine="0" autoPict="0">
                <anchor moveWithCells="1">
                  <from>
                    <xdr:col>5</xdr:col>
                    <xdr:colOff>238125</xdr:colOff>
                    <xdr:row>27</xdr:row>
                    <xdr:rowOff>266700</xdr:rowOff>
                  </from>
                  <to>
                    <xdr:col>5</xdr:col>
                    <xdr:colOff>485775</xdr:colOff>
                    <xdr:row>27</xdr:row>
                    <xdr:rowOff>485775</xdr:rowOff>
                  </to>
                </anchor>
              </controlPr>
            </control>
          </mc:Choice>
        </mc:AlternateContent>
        <mc:AlternateContent xmlns:mc="http://schemas.openxmlformats.org/markup-compatibility/2006">
          <mc:Choice Requires="x14">
            <control shapeId="184507" r:id="rId53" name="Option Button 187">
              <controlPr defaultSize="0" autoFill="0" autoLine="0" autoPict="0">
                <anchor moveWithCells="1">
                  <from>
                    <xdr:col>7</xdr:col>
                    <xdr:colOff>209550</xdr:colOff>
                    <xdr:row>27</xdr:row>
                    <xdr:rowOff>266700</xdr:rowOff>
                  </from>
                  <to>
                    <xdr:col>7</xdr:col>
                    <xdr:colOff>447675</xdr:colOff>
                    <xdr:row>27</xdr:row>
                    <xdr:rowOff>485775</xdr:rowOff>
                  </to>
                </anchor>
              </controlPr>
            </control>
          </mc:Choice>
        </mc:AlternateContent>
        <mc:AlternateContent xmlns:mc="http://schemas.openxmlformats.org/markup-compatibility/2006">
          <mc:Choice Requires="x14">
            <control shapeId="184510" r:id="rId54" name="Option Button 190">
              <controlPr defaultSize="0" autoFill="0" autoLine="0" autoPict="0">
                <anchor moveWithCells="1">
                  <from>
                    <xdr:col>5</xdr:col>
                    <xdr:colOff>238125</xdr:colOff>
                    <xdr:row>32</xdr:row>
                    <xdr:rowOff>247650</xdr:rowOff>
                  </from>
                  <to>
                    <xdr:col>5</xdr:col>
                    <xdr:colOff>485775</xdr:colOff>
                    <xdr:row>32</xdr:row>
                    <xdr:rowOff>466725</xdr:rowOff>
                  </to>
                </anchor>
              </controlPr>
            </control>
          </mc:Choice>
        </mc:AlternateContent>
        <mc:AlternateContent xmlns:mc="http://schemas.openxmlformats.org/markup-compatibility/2006">
          <mc:Choice Requires="x14">
            <control shapeId="184512" r:id="rId55" name="Option Button 192">
              <controlPr defaultSize="0" autoFill="0" autoLine="0" autoPict="0">
                <anchor moveWithCells="1">
                  <from>
                    <xdr:col>7</xdr:col>
                    <xdr:colOff>209550</xdr:colOff>
                    <xdr:row>32</xdr:row>
                    <xdr:rowOff>247650</xdr:rowOff>
                  </from>
                  <to>
                    <xdr:col>7</xdr:col>
                    <xdr:colOff>447675</xdr:colOff>
                    <xdr:row>32</xdr:row>
                    <xdr:rowOff>466725</xdr:rowOff>
                  </to>
                </anchor>
              </controlPr>
            </control>
          </mc:Choice>
        </mc:AlternateContent>
        <mc:AlternateContent xmlns:mc="http://schemas.openxmlformats.org/markup-compatibility/2006">
          <mc:Choice Requires="x14">
            <control shapeId="184514" r:id="rId56" name="Check Box 194">
              <controlPr defaultSize="0" autoFill="0" autoLine="0" autoPict="0">
                <anchor moveWithCells="1">
                  <from>
                    <xdr:col>9</xdr:col>
                    <xdr:colOff>114300</xdr:colOff>
                    <xdr:row>27</xdr:row>
                    <xdr:rowOff>276225</xdr:rowOff>
                  </from>
                  <to>
                    <xdr:col>9</xdr:col>
                    <xdr:colOff>342900</xdr:colOff>
                    <xdr:row>27</xdr:row>
                    <xdr:rowOff>504825</xdr:rowOff>
                  </to>
                </anchor>
              </controlPr>
            </control>
          </mc:Choice>
        </mc:AlternateContent>
        <mc:AlternateContent xmlns:mc="http://schemas.openxmlformats.org/markup-compatibility/2006">
          <mc:Choice Requires="x14">
            <control shapeId="184542" r:id="rId57" name="Option Button 222">
              <controlPr defaultSize="0" autoFill="0" autoLine="0" autoPict="0">
                <anchor moveWithCells="1">
                  <from>
                    <xdr:col>7</xdr:col>
                    <xdr:colOff>228600</xdr:colOff>
                    <xdr:row>79</xdr:row>
                    <xdr:rowOff>428625</xdr:rowOff>
                  </from>
                  <to>
                    <xdr:col>7</xdr:col>
                    <xdr:colOff>476250</xdr:colOff>
                    <xdr:row>79</xdr:row>
                    <xdr:rowOff>647700</xdr:rowOff>
                  </to>
                </anchor>
              </controlPr>
            </control>
          </mc:Choice>
        </mc:AlternateContent>
        <mc:AlternateContent xmlns:mc="http://schemas.openxmlformats.org/markup-compatibility/2006">
          <mc:Choice Requires="x14">
            <control shapeId="184540" r:id="rId58" name="Group Box 220">
              <controlPr defaultSize="0" autoFill="0" autoPict="0">
                <anchor moveWithCells="1">
                  <from>
                    <xdr:col>5</xdr:col>
                    <xdr:colOff>161925</xdr:colOff>
                    <xdr:row>32</xdr:row>
                    <xdr:rowOff>228600</xdr:rowOff>
                  </from>
                  <to>
                    <xdr:col>7</xdr:col>
                    <xdr:colOff>476250</xdr:colOff>
                    <xdr:row>32</xdr:row>
                    <xdr:rowOff>504825</xdr:rowOff>
                  </to>
                </anchor>
              </controlPr>
            </control>
          </mc:Choice>
        </mc:AlternateContent>
        <mc:AlternateContent xmlns:mc="http://schemas.openxmlformats.org/markup-compatibility/2006">
          <mc:Choice Requires="x14">
            <control shapeId="184552" r:id="rId59" name="Check Box 232">
              <controlPr defaultSize="0" autoFill="0" autoLine="0" autoPict="0">
                <anchor moveWithCells="1">
                  <from>
                    <xdr:col>9</xdr:col>
                    <xdr:colOff>76200</xdr:colOff>
                    <xdr:row>39</xdr:row>
                    <xdr:rowOff>857250</xdr:rowOff>
                  </from>
                  <to>
                    <xdr:col>9</xdr:col>
                    <xdr:colOff>295275</xdr:colOff>
                    <xdr:row>39</xdr:row>
                    <xdr:rowOff>1085850</xdr:rowOff>
                  </to>
                </anchor>
              </controlPr>
            </control>
          </mc:Choice>
        </mc:AlternateContent>
        <mc:AlternateContent xmlns:mc="http://schemas.openxmlformats.org/markup-compatibility/2006">
          <mc:Choice Requires="x14">
            <control shapeId="184554" r:id="rId60" name="Option Button 234">
              <controlPr defaultSize="0" autoFill="0" autoLine="0" autoPict="0" altText="">
                <anchor moveWithCells="1">
                  <from>
                    <xdr:col>5</xdr:col>
                    <xdr:colOff>247650</xdr:colOff>
                    <xdr:row>39</xdr:row>
                    <xdr:rowOff>781050</xdr:rowOff>
                  </from>
                  <to>
                    <xdr:col>5</xdr:col>
                    <xdr:colOff>619125</xdr:colOff>
                    <xdr:row>39</xdr:row>
                    <xdr:rowOff>1152525</xdr:rowOff>
                  </to>
                </anchor>
              </controlPr>
            </control>
          </mc:Choice>
        </mc:AlternateContent>
        <mc:AlternateContent xmlns:mc="http://schemas.openxmlformats.org/markup-compatibility/2006">
          <mc:Choice Requires="x14">
            <control shapeId="184555" r:id="rId61" name="Option Button 235">
              <controlPr defaultSize="0" autoFill="0" autoLine="0" autoPict="0" altText="">
                <anchor moveWithCells="1">
                  <from>
                    <xdr:col>6</xdr:col>
                    <xdr:colOff>247650</xdr:colOff>
                    <xdr:row>39</xdr:row>
                    <xdr:rowOff>781050</xdr:rowOff>
                  </from>
                  <to>
                    <xdr:col>6</xdr:col>
                    <xdr:colOff>619125</xdr:colOff>
                    <xdr:row>39</xdr:row>
                    <xdr:rowOff>1152525</xdr:rowOff>
                  </to>
                </anchor>
              </controlPr>
            </control>
          </mc:Choice>
        </mc:AlternateContent>
        <mc:AlternateContent xmlns:mc="http://schemas.openxmlformats.org/markup-compatibility/2006">
          <mc:Choice Requires="x14">
            <control shapeId="184556" r:id="rId62" name="Option Button 236">
              <controlPr defaultSize="0" autoFill="0" autoLine="0" autoPict="0" altText="">
                <anchor moveWithCells="1">
                  <from>
                    <xdr:col>7</xdr:col>
                    <xdr:colOff>247650</xdr:colOff>
                    <xdr:row>39</xdr:row>
                    <xdr:rowOff>781050</xdr:rowOff>
                  </from>
                  <to>
                    <xdr:col>7</xdr:col>
                    <xdr:colOff>619125</xdr:colOff>
                    <xdr:row>39</xdr:row>
                    <xdr:rowOff>1152525</xdr:rowOff>
                  </to>
                </anchor>
              </controlPr>
            </control>
          </mc:Choice>
        </mc:AlternateContent>
        <mc:AlternateContent xmlns:mc="http://schemas.openxmlformats.org/markup-compatibility/2006">
          <mc:Choice Requires="x14">
            <control shapeId="184558" r:id="rId63" name="Group Box 238">
              <controlPr defaultSize="0" autoFill="0" autoPict="0">
                <anchor moveWithCells="1">
                  <from>
                    <xdr:col>5</xdr:col>
                    <xdr:colOff>104775</xdr:colOff>
                    <xdr:row>39</xdr:row>
                    <xdr:rowOff>771525</xdr:rowOff>
                  </from>
                  <to>
                    <xdr:col>7</xdr:col>
                    <xdr:colOff>628650</xdr:colOff>
                    <xdr:row>39</xdr:row>
                    <xdr:rowOff>1190625</xdr:rowOff>
                  </to>
                </anchor>
              </controlPr>
            </control>
          </mc:Choice>
        </mc:AlternateContent>
        <mc:AlternateContent xmlns:mc="http://schemas.openxmlformats.org/markup-compatibility/2006">
          <mc:Choice Requires="x14">
            <control shapeId="184559" r:id="rId64" name="Option Button 239">
              <controlPr defaultSize="0" autoFill="0" autoLine="0" autoPict="0" altText="">
                <anchor moveWithCells="1">
                  <from>
                    <xdr:col>5</xdr:col>
                    <xdr:colOff>247650</xdr:colOff>
                    <xdr:row>40</xdr:row>
                    <xdr:rowOff>590550</xdr:rowOff>
                  </from>
                  <to>
                    <xdr:col>5</xdr:col>
                    <xdr:colOff>619125</xdr:colOff>
                    <xdr:row>40</xdr:row>
                    <xdr:rowOff>962025</xdr:rowOff>
                  </to>
                </anchor>
              </controlPr>
            </control>
          </mc:Choice>
        </mc:AlternateContent>
        <mc:AlternateContent xmlns:mc="http://schemas.openxmlformats.org/markup-compatibility/2006">
          <mc:Choice Requires="x14">
            <control shapeId="184560" r:id="rId65" name="Option Button 240">
              <controlPr defaultSize="0" autoFill="0" autoLine="0" autoPict="0" altText="">
                <anchor moveWithCells="1">
                  <from>
                    <xdr:col>6</xdr:col>
                    <xdr:colOff>285750</xdr:colOff>
                    <xdr:row>40</xdr:row>
                    <xdr:rowOff>590550</xdr:rowOff>
                  </from>
                  <to>
                    <xdr:col>6</xdr:col>
                    <xdr:colOff>657225</xdr:colOff>
                    <xdr:row>40</xdr:row>
                    <xdr:rowOff>962025</xdr:rowOff>
                  </to>
                </anchor>
              </controlPr>
            </control>
          </mc:Choice>
        </mc:AlternateContent>
        <mc:AlternateContent xmlns:mc="http://schemas.openxmlformats.org/markup-compatibility/2006">
          <mc:Choice Requires="x14">
            <control shapeId="184561" r:id="rId66" name="Option Button 241">
              <controlPr defaultSize="0" autoFill="0" autoLine="0" autoPict="0" altText="">
                <anchor moveWithCells="1">
                  <from>
                    <xdr:col>7</xdr:col>
                    <xdr:colOff>266700</xdr:colOff>
                    <xdr:row>40</xdr:row>
                    <xdr:rowOff>590550</xdr:rowOff>
                  </from>
                  <to>
                    <xdr:col>7</xdr:col>
                    <xdr:colOff>638175</xdr:colOff>
                    <xdr:row>40</xdr:row>
                    <xdr:rowOff>962025</xdr:rowOff>
                  </to>
                </anchor>
              </controlPr>
            </control>
          </mc:Choice>
        </mc:AlternateContent>
        <mc:AlternateContent xmlns:mc="http://schemas.openxmlformats.org/markup-compatibility/2006">
          <mc:Choice Requires="x14">
            <control shapeId="184562" r:id="rId67" name="Group Box 242">
              <controlPr defaultSize="0" autoFill="0" autoPict="0">
                <anchor moveWithCells="1">
                  <from>
                    <xdr:col>5</xdr:col>
                    <xdr:colOff>66675</xdr:colOff>
                    <xdr:row>40</xdr:row>
                    <xdr:rowOff>552450</xdr:rowOff>
                  </from>
                  <to>
                    <xdr:col>8</xdr:col>
                    <xdr:colOff>0</xdr:colOff>
                    <xdr:row>40</xdr:row>
                    <xdr:rowOff>1028700</xdr:rowOff>
                  </to>
                </anchor>
              </controlPr>
            </control>
          </mc:Choice>
        </mc:AlternateContent>
        <mc:AlternateContent xmlns:mc="http://schemas.openxmlformats.org/markup-compatibility/2006">
          <mc:Choice Requires="x14">
            <control shapeId="184563" r:id="rId68" name="Option Button 243">
              <controlPr defaultSize="0" autoFill="0" autoLine="0" autoPict="0" altText="">
                <anchor moveWithCells="1">
                  <from>
                    <xdr:col>5</xdr:col>
                    <xdr:colOff>247650</xdr:colOff>
                    <xdr:row>43</xdr:row>
                    <xdr:rowOff>285750</xdr:rowOff>
                  </from>
                  <to>
                    <xdr:col>5</xdr:col>
                    <xdr:colOff>619125</xdr:colOff>
                    <xdr:row>43</xdr:row>
                    <xdr:rowOff>657225</xdr:rowOff>
                  </to>
                </anchor>
              </controlPr>
            </control>
          </mc:Choice>
        </mc:AlternateContent>
        <mc:AlternateContent xmlns:mc="http://schemas.openxmlformats.org/markup-compatibility/2006">
          <mc:Choice Requires="x14">
            <control shapeId="184564" r:id="rId69" name="Option Button 244">
              <controlPr defaultSize="0" autoFill="0" autoLine="0" autoPict="0" altText="">
                <anchor moveWithCells="1">
                  <from>
                    <xdr:col>7</xdr:col>
                    <xdr:colOff>266700</xdr:colOff>
                    <xdr:row>43</xdr:row>
                    <xdr:rowOff>285750</xdr:rowOff>
                  </from>
                  <to>
                    <xdr:col>7</xdr:col>
                    <xdr:colOff>638175</xdr:colOff>
                    <xdr:row>43</xdr:row>
                    <xdr:rowOff>657225</xdr:rowOff>
                  </to>
                </anchor>
              </controlPr>
            </control>
          </mc:Choice>
        </mc:AlternateContent>
        <mc:AlternateContent xmlns:mc="http://schemas.openxmlformats.org/markup-compatibility/2006">
          <mc:Choice Requires="x14">
            <control shapeId="184567" r:id="rId70" name="Group Box 247">
              <controlPr defaultSize="0" autoFill="0" autoPict="0">
                <anchor moveWithCells="1">
                  <from>
                    <xdr:col>5</xdr:col>
                    <xdr:colOff>152400</xdr:colOff>
                    <xdr:row>43</xdr:row>
                    <xdr:rowOff>228600</xdr:rowOff>
                  </from>
                  <to>
                    <xdr:col>8</xdr:col>
                    <xdr:colOff>0</xdr:colOff>
                    <xdr:row>43</xdr:row>
                    <xdr:rowOff>685800</xdr:rowOff>
                  </to>
                </anchor>
              </controlPr>
            </control>
          </mc:Choice>
        </mc:AlternateContent>
        <mc:AlternateContent xmlns:mc="http://schemas.openxmlformats.org/markup-compatibility/2006">
          <mc:Choice Requires="x14">
            <control shapeId="184568" r:id="rId71" name="Option Button 248">
              <controlPr defaultSize="0" autoFill="0" autoLine="0" autoPict="0">
                <anchor moveWithCells="1">
                  <from>
                    <xdr:col>5</xdr:col>
                    <xdr:colOff>238125</xdr:colOff>
                    <xdr:row>45</xdr:row>
                    <xdr:rowOff>857250</xdr:rowOff>
                  </from>
                  <to>
                    <xdr:col>5</xdr:col>
                    <xdr:colOff>485775</xdr:colOff>
                    <xdr:row>45</xdr:row>
                    <xdr:rowOff>1143000</xdr:rowOff>
                  </to>
                </anchor>
              </controlPr>
            </control>
          </mc:Choice>
        </mc:AlternateContent>
        <mc:AlternateContent xmlns:mc="http://schemas.openxmlformats.org/markup-compatibility/2006">
          <mc:Choice Requires="x14">
            <control shapeId="184569" r:id="rId72" name="Option Button 249">
              <controlPr defaultSize="0" autoFill="0" autoLine="0" autoPict="0">
                <anchor moveWithCells="1">
                  <from>
                    <xdr:col>6</xdr:col>
                    <xdr:colOff>228600</xdr:colOff>
                    <xdr:row>45</xdr:row>
                    <xdr:rowOff>847725</xdr:rowOff>
                  </from>
                  <to>
                    <xdr:col>6</xdr:col>
                    <xdr:colOff>466725</xdr:colOff>
                    <xdr:row>45</xdr:row>
                    <xdr:rowOff>1143000</xdr:rowOff>
                  </to>
                </anchor>
              </controlPr>
            </control>
          </mc:Choice>
        </mc:AlternateContent>
        <mc:AlternateContent xmlns:mc="http://schemas.openxmlformats.org/markup-compatibility/2006">
          <mc:Choice Requires="x14">
            <control shapeId="184570" r:id="rId73" name="Option Button 250">
              <controlPr defaultSize="0" autoFill="0" autoLine="0" autoPict="0">
                <anchor moveWithCells="1">
                  <from>
                    <xdr:col>7</xdr:col>
                    <xdr:colOff>209550</xdr:colOff>
                    <xdr:row>45</xdr:row>
                    <xdr:rowOff>876300</xdr:rowOff>
                  </from>
                  <to>
                    <xdr:col>7</xdr:col>
                    <xdr:colOff>447675</xdr:colOff>
                    <xdr:row>45</xdr:row>
                    <xdr:rowOff>1123950</xdr:rowOff>
                  </to>
                </anchor>
              </controlPr>
            </control>
          </mc:Choice>
        </mc:AlternateContent>
        <mc:AlternateContent xmlns:mc="http://schemas.openxmlformats.org/markup-compatibility/2006">
          <mc:Choice Requires="x14">
            <control shapeId="184571" r:id="rId74" name="Group Box 251">
              <controlPr defaultSize="0" autoFill="0" autoPict="0">
                <anchor moveWithCells="1">
                  <from>
                    <xdr:col>5</xdr:col>
                    <xdr:colOff>114300</xdr:colOff>
                    <xdr:row>45</xdr:row>
                    <xdr:rowOff>762000</xdr:rowOff>
                  </from>
                  <to>
                    <xdr:col>7</xdr:col>
                    <xdr:colOff>590550</xdr:colOff>
                    <xdr:row>45</xdr:row>
                    <xdr:rowOff>1190625</xdr:rowOff>
                  </to>
                </anchor>
              </controlPr>
            </control>
          </mc:Choice>
        </mc:AlternateContent>
        <mc:AlternateContent xmlns:mc="http://schemas.openxmlformats.org/markup-compatibility/2006">
          <mc:Choice Requires="x14">
            <control shapeId="184572" r:id="rId75" name="Check Box 252">
              <controlPr defaultSize="0" autoFill="0" autoLine="0" autoPict="0">
                <anchor moveWithCells="1">
                  <from>
                    <xdr:col>9</xdr:col>
                    <xdr:colOff>85725</xdr:colOff>
                    <xdr:row>45</xdr:row>
                    <xdr:rowOff>428625</xdr:rowOff>
                  </from>
                  <to>
                    <xdr:col>9</xdr:col>
                    <xdr:colOff>304800</xdr:colOff>
                    <xdr:row>45</xdr:row>
                    <xdr:rowOff>1533525</xdr:rowOff>
                  </to>
                </anchor>
              </controlPr>
            </control>
          </mc:Choice>
        </mc:AlternateContent>
        <mc:AlternateContent xmlns:mc="http://schemas.openxmlformats.org/markup-compatibility/2006">
          <mc:Choice Requires="x14">
            <control shapeId="184573" r:id="rId76" name="Option Button 253">
              <controlPr defaultSize="0" autoFill="0" autoLine="0" autoPict="0">
                <anchor moveWithCells="1">
                  <from>
                    <xdr:col>5</xdr:col>
                    <xdr:colOff>238125</xdr:colOff>
                    <xdr:row>60</xdr:row>
                    <xdr:rowOff>1209675</xdr:rowOff>
                  </from>
                  <to>
                    <xdr:col>5</xdr:col>
                    <xdr:colOff>485775</xdr:colOff>
                    <xdr:row>60</xdr:row>
                    <xdr:rowOff>1428750</xdr:rowOff>
                  </to>
                </anchor>
              </controlPr>
            </control>
          </mc:Choice>
        </mc:AlternateContent>
        <mc:AlternateContent xmlns:mc="http://schemas.openxmlformats.org/markup-compatibility/2006">
          <mc:Choice Requires="x14">
            <control shapeId="184574" r:id="rId77" name="Option Button 254">
              <controlPr defaultSize="0" autoFill="0" autoLine="0" autoPict="0">
                <anchor moveWithCells="1">
                  <from>
                    <xdr:col>6</xdr:col>
                    <xdr:colOff>276225</xdr:colOff>
                    <xdr:row>60</xdr:row>
                    <xdr:rowOff>1209675</xdr:rowOff>
                  </from>
                  <to>
                    <xdr:col>6</xdr:col>
                    <xdr:colOff>523875</xdr:colOff>
                    <xdr:row>60</xdr:row>
                    <xdr:rowOff>1428750</xdr:rowOff>
                  </to>
                </anchor>
              </controlPr>
            </control>
          </mc:Choice>
        </mc:AlternateContent>
        <mc:AlternateContent xmlns:mc="http://schemas.openxmlformats.org/markup-compatibility/2006">
          <mc:Choice Requires="x14">
            <control shapeId="184575" r:id="rId78" name="Option Button 255">
              <controlPr defaultSize="0" autoFill="0" autoLine="0" autoPict="0">
                <anchor moveWithCells="1">
                  <from>
                    <xdr:col>7</xdr:col>
                    <xdr:colOff>257175</xdr:colOff>
                    <xdr:row>60</xdr:row>
                    <xdr:rowOff>1209675</xdr:rowOff>
                  </from>
                  <to>
                    <xdr:col>7</xdr:col>
                    <xdr:colOff>504825</xdr:colOff>
                    <xdr:row>60</xdr:row>
                    <xdr:rowOff>1428750</xdr:rowOff>
                  </to>
                </anchor>
              </controlPr>
            </control>
          </mc:Choice>
        </mc:AlternateContent>
        <mc:AlternateContent xmlns:mc="http://schemas.openxmlformats.org/markup-compatibility/2006">
          <mc:Choice Requires="x14">
            <control shapeId="184576" r:id="rId79" name="Group Box 256">
              <controlPr defaultSize="0" autoFill="0" autoPict="0">
                <anchor moveWithCells="1">
                  <from>
                    <xdr:col>5</xdr:col>
                    <xdr:colOff>123825</xdr:colOff>
                    <xdr:row>60</xdr:row>
                    <xdr:rowOff>1076325</xdr:rowOff>
                  </from>
                  <to>
                    <xdr:col>7</xdr:col>
                    <xdr:colOff>647700</xdr:colOff>
                    <xdr:row>60</xdr:row>
                    <xdr:rowOff>1524000</xdr:rowOff>
                  </to>
                </anchor>
              </controlPr>
            </control>
          </mc:Choice>
        </mc:AlternateContent>
        <mc:AlternateContent xmlns:mc="http://schemas.openxmlformats.org/markup-compatibility/2006">
          <mc:Choice Requires="x14">
            <control shapeId="184577" r:id="rId80" name="Check Box 257">
              <controlPr defaultSize="0" autoFill="0" autoLine="0" autoPict="0">
                <anchor moveWithCells="1">
                  <from>
                    <xdr:col>9</xdr:col>
                    <xdr:colOff>114300</xdr:colOff>
                    <xdr:row>60</xdr:row>
                    <xdr:rowOff>1152525</xdr:rowOff>
                  </from>
                  <to>
                    <xdr:col>9</xdr:col>
                    <xdr:colOff>342900</xdr:colOff>
                    <xdr:row>60</xdr:row>
                    <xdr:rowOff>1390650</xdr:rowOff>
                  </to>
                </anchor>
              </controlPr>
            </control>
          </mc:Choice>
        </mc:AlternateContent>
        <mc:AlternateContent xmlns:mc="http://schemas.openxmlformats.org/markup-compatibility/2006">
          <mc:Choice Requires="x14">
            <control shapeId="184581" r:id="rId81" name="Check Box 261">
              <controlPr defaultSize="0" autoFill="0" autoLine="0" autoPict="0">
                <anchor moveWithCells="1">
                  <from>
                    <xdr:col>9</xdr:col>
                    <xdr:colOff>104775</xdr:colOff>
                    <xdr:row>100</xdr:row>
                    <xdr:rowOff>561975</xdr:rowOff>
                  </from>
                  <to>
                    <xdr:col>9</xdr:col>
                    <xdr:colOff>323850</xdr:colOff>
                    <xdr:row>100</xdr:row>
                    <xdr:rowOff>942975</xdr:rowOff>
                  </to>
                </anchor>
              </controlPr>
            </control>
          </mc:Choice>
        </mc:AlternateContent>
        <mc:AlternateContent xmlns:mc="http://schemas.openxmlformats.org/markup-compatibility/2006">
          <mc:Choice Requires="x14">
            <control shapeId="184582" r:id="rId82" name="Option Button 262">
              <controlPr defaultSize="0" autoFill="0" autoLine="0" autoPict="0">
                <anchor moveWithCells="1">
                  <from>
                    <xdr:col>5</xdr:col>
                    <xdr:colOff>257175</xdr:colOff>
                    <xdr:row>100</xdr:row>
                    <xdr:rowOff>628650</xdr:rowOff>
                  </from>
                  <to>
                    <xdr:col>5</xdr:col>
                    <xdr:colOff>504825</xdr:colOff>
                    <xdr:row>100</xdr:row>
                    <xdr:rowOff>942975</xdr:rowOff>
                  </to>
                </anchor>
              </controlPr>
            </control>
          </mc:Choice>
        </mc:AlternateContent>
        <mc:AlternateContent xmlns:mc="http://schemas.openxmlformats.org/markup-compatibility/2006">
          <mc:Choice Requires="x14">
            <control shapeId="184583" r:id="rId83" name="Option Button 263">
              <controlPr defaultSize="0" autoFill="0" autoLine="0" autoPict="0">
                <anchor moveWithCells="1">
                  <from>
                    <xdr:col>6</xdr:col>
                    <xdr:colOff>238125</xdr:colOff>
                    <xdr:row>100</xdr:row>
                    <xdr:rowOff>638175</xdr:rowOff>
                  </from>
                  <to>
                    <xdr:col>6</xdr:col>
                    <xdr:colOff>485775</xdr:colOff>
                    <xdr:row>100</xdr:row>
                    <xdr:rowOff>942975</xdr:rowOff>
                  </to>
                </anchor>
              </controlPr>
            </control>
          </mc:Choice>
        </mc:AlternateContent>
        <mc:AlternateContent xmlns:mc="http://schemas.openxmlformats.org/markup-compatibility/2006">
          <mc:Choice Requires="x14">
            <control shapeId="184584" r:id="rId84" name="Option Button 264">
              <controlPr defaultSize="0" autoFill="0" autoLine="0" autoPict="0">
                <anchor moveWithCells="1">
                  <from>
                    <xdr:col>7</xdr:col>
                    <xdr:colOff>238125</xdr:colOff>
                    <xdr:row>100</xdr:row>
                    <xdr:rowOff>619125</xdr:rowOff>
                  </from>
                  <to>
                    <xdr:col>7</xdr:col>
                    <xdr:colOff>485775</xdr:colOff>
                    <xdr:row>100</xdr:row>
                    <xdr:rowOff>942975</xdr:rowOff>
                  </to>
                </anchor>
              </controlPr>
            </control>
          </mc:Choice>
        </mc:AlternateContent>
        <mc:AlternateContent xmlns:mc="http://schemas.openxmlformats.org/markup-compatibility/2006">
          <mc:Choice Requires="x14">
            <control shapeId="184585" r:id="rId85" name="Group Box 265">
              <controlPr defaultSize="0" autoFill="0" autoPict="0">
                <anchor moveWithCells="1">
                  <from>
                    <xdr:col>5</xdr:col>
                    <xdr:colOff>76200</xdr:colOff>
                    <xdr:row>100</xdr:row>
                    <xdr:rowOff>600075</xdr:rowOff>
                  </from>
                  <to>
                    <xdr:col>7</xdr:col>
                    <xdr:colOff>628650</xdr:colOff>
                    <xdr:row>101</xdr:row>
                    <xdr:rowOff>0</xdr:rowOff>
                  </to>
                </anchor>
              </controlPr>
            </control>
          </mc:Choice>
        </mc:AlternateContent>
        <mc:AlternateContent xmlns:mc="http://schemas.openxmlformats.org/markup-compatibility/2006">
          <mc:Choice Requires="x14">
            <control shapeId="184579" r:id="rId86" name="Check Box 259">
              <controlPr defaultSize="0" autoFill="0" autoLine="0" autoPict="0">
                <anchor moveWithCells="1">
                  <from>
                    <xdr:col>9</xdr:col>
                    <xdr:colOff>104775</xdr:colOff>
                    <xdr:row>84</xdr:row>
                    <xdr:rowOff>314325</xdr:rowOff>
                  </from>
                  <to>
                    <xdr:col>9</xdr:col>
                    <xdr:colOff>323850</xdr:colOff>
                    <xdr:row>84</xdr:row>
                    <xdr:rowOff>657225</xdr:rowOff>
                  </to>
                </anchor>
              </controlPr>
            </control>
          </mc:Choice>
        </mc:AlternateContent>
        <mc:AlternateContent xmlns:mc="http://schemas.openxmlformats.org/markup-compatibility/2006">
          <mc:Choice Requires="x14">
            <control shapeId="184586" r:id="rId87" name="Option Button 266">
              <controlPr defaultSize="0" autoFill="0" autoLine="0" autoPict="0" altText="">
                <anchor moveWithCells="1">
                  <from>
                    <xdr:col>5</xdr:col>
                    <xdr:colOff>228600</xdr:colOff>
                    <xdr:row>25</xdr:row>
                    <xdr:rowOff>1381125</xdr:rowOff>
                  </from>
                  <to>
                    <xdr:col>5</xdr:col>
                    <xdr:colOff>571500</xdr:colOff>
                    <xdr:row>25</xdr:row>
                    <xdr:rowOff>1724025</xdr:rowOff>
                  </to>
                </anchor>
              </controlPr>
            </control>
          </mc:Choice>
        </mc:AlternateContent>
        <mc:AlternateContent xmlns:mc="http://schemas.openxmlformats.org/markup-compatibility/2006">
          <mc:Choice Requires="x14">
            <control shapeId="184587" r:id="rId88" name="Option Button 267">
              <controlPr defaultSize="0" autoFill="0" autoLine="0" autoPict="0" altText="">
                <anchor moveWithCells="1">
                  <from>
                    <xdr:col>6</xdr:col>
                    <xdr:colOff>190500</xdr:colOff>
                    <xdr:row>25</xdr:row>
                    <xdr:rowOff>1381125</xdr:rowOff>
                  </from>
                  <to>
                    <xdr:col>6</xdr:col>
                    <xdr:colOff>533400</xdr:colOff>
                    <xdr:row>25</xdr:row>
                    <xdr:rowOff>1724025</xdr:rowOff>
                  </to>
                </anchor>
              </controlPr>
            </control>
          </mc:Choice>
        </mc:AlternateContent>
        <mc:AlternateContent xmlns:mc="http://schemas.openxmlformats.org/markup-compatibility/2006">
          <mc:Choice Requires="x14">
            <control shapeId="184588" r:id="rId89" name="Option Button 268">
              <controlPr defaultSize="0" autoFill="0" autoLine="0" autoPict="0" altText="">
                <anchor moveWithCells="1">
                  <from>
                    <xdr:col>7</xdr:col>
                    <xdr:colOff>228600</xdr:colOff>
                    <xdr:row>25</xdr:row>
                    <xdr:rowOff>1381125</xdr:rowOff>
                  </from>
                  <to>
                    <xdr:col>7</xdr:col>
                    <xdr:colOff>571500</xdr:colOff>
                    <xdr:row>25</xdr:row>
                    <xdr:rowOff>1724025</xdr:rowOff>
                  </to>
                </anchor>
              </controlPr>
            </control>
          </mc:Choice>
        </mc:AlternateContent>
        <mc:AlternateContent xmlns:mc="http://schemas.openxmlformats.org/markup-compatibility/2006">
          <mc:Choice Requires="x14">
            <control shapeId="184589" r:id="rId90" name="Group Box 269">
              <controlPr defaultSize="0" autoFill="0" autoPict="0">
                <anchor moveWithCells="1">
                  <from>
                    <xdr:col>5</xdr:col>
                    <xdr:colOff>85725</xdr:colOff>
                    <xdr:row>79</xdr:row>
                    <xdr:rowOff>276225</xdr:rowOff>
                  </from>
                  <to>
                    <xdr:col>7</xdr:col>
                    <xdr:colOff>571500</xdr:colOff>
                    <xdr:row>79</xdr:row>
                    <xdr:rowOff>800100</xdr:rowOff>
                  </to>
                </anchor>
              </controlPr>
            </control>
          </mc:Choice>
        </mc:AlternateContent>
        <mc:AlternateContent xmlns:mc="http://schemas.openxmlformats.org/markup-compatibility/2006">
          <mc:Choice Requires="x14">
            <control shapeId="184592" r:id="rId91" name="Check Box 272">
              <controlPr defaultSize="0" autoFill="0" autoLine="0" autoPict="0">
                <anchor moveWithCells="1">
                  <from>
                    <xdr:col>9</xdr:col>
                    <xdr:colOff>104775</xdr:colOff>
                    <xdr:row>71</xdr:row>
                    <xdr:rowOff>171450</xdr:rowOff>
                  </from>
                  <to>
                    <xdr:col>9</xdr:col>
                    <xdr:colOff>323850</xdr:colOff>
                    <xdr:row>71</xdr:row>
                    <xdr:rowOff>400050</xdr:rowOff>
                  </to>
                </anchor>
              </controlPr>
            </control>
          </mc:Choice>
        </mc:AlternateContent>
        <mc:AlternateContent xmlns:mc="http://schemas.openxmlformats.org/markup-compatibility/2006">
          <mc:Choice Requires="x14">
            <control shapeId="184593" r:id="rId92" name="Option Button 273">
              <controlPr defaultSize="0" autoFill="0" autoLine="0" autoPict="0" altText="">
                <anchor moveWithCells="1">
                  <from>
                    <xdr:col>5</xdr:col>
                    <xdr:colOff>257175</xdr:colOff>
                    <xdr:row>91</xdr:row>
                    <xdr:rowOff>190500</xdr:rowOff>
                  </from>
                  <to>
                    <xdr:col>5</xdr:col>
                    <xdr:colOff>609600</xdr:colOff>
                    <xdr:row>91</xdr:row>
                    <xdr:rowOff>438150</xdr:rowOff>
                  </to>
                </anchor>
              </controlPr>
            </control>
          </mc:Choice>
        </mc:AlternateContent>
        <mc:AlternateContent xmlns:mc="http://schemas.openxmlformats.org/markup-compatibility/2006">
          <mc:Choice Requires="x14">
            <control shapeId="184596" r:id="rId93" name="Group Box 276">
              <controlPr defaultSize="0" autoFill="0" autoPict="0">
                <anchor moveWithCells="1">
                  <from>
                    <xdr:col>5</xdr:col>
                    <xdr:colOff>142875</xdr:colOff>
                    <xdr:row>91</xdr:row>
                    <xdr:rowOff>123825</xdr:rowOff>
                  </from>
                  <to>
                    <xdr:col>7</xdr:col>
                    <xdr:colOff>657225</xdr:colOff>
                    <xdr:row>91</xdr:row>
                    <xdr:rowOff>495300</xdr:rowOff>
                  </to>
                </anchor>
              </controlPr>
            </control>
          </mc:Choice>
        </mc:AlternateContent>
        <mc:AlternateContent xmlns:mc="http://schemas.openxmlformats.org/markup-compatibility/2006">
          <mc:Choice Requires="x14">
            <control shapeId="184597" r:id="rId94" name="Option Button 277">
              <controlPr defaultSize="0" autoFill="0" autoLine="0" autoPict="0" altText="">
                <anchor moveWithCells="1">
                  <from>
                    <xdr:col>7</xdr:col>
                    <xdr:colOff>219075</xdr:colOff>
                    <xdr:row>91</xdr:row>
                    <xdr:rowOff>190500</xdr:rowOff>
                  </from>
                  <to>
                    <xdr:col>7</xdr:col>
                    <xdr:colOff>571500</xdr:colOff>
                    <xdr:row>91</xdr:row>
                    <xdr:rowOff>438150</xdr:rowOff>
                  </to>
                </anchor>
              </controlPr>
            </control>
          </mc:Choice>
        </mc:AlternateContent>
        <mc:AlternateContent xmlns:mc="http://schemas.openxmlformats.org/markup-compatibility/2006">
          <mc:Choice Requires="x14">
            <control shapeId="184547" r:id="rId95" name="Check Box 227">
              <controlPr defaultSize="0" autoFill="0" autoLine="0" autoPict="0">
                <anchor moveWithCells="1">
                  <from>
                    <xdr:col>9</xdr:col>
                    <xdr:colOff>104775</xdr:colOff>
                    <xdr:row>95</xdr:row>
                    <xdr:rowOff>323850</xdr:rowOff>
                  </from>
                  <to>
                    <xdr:col>9</xdr:col>
                    <xdr:colOff>323850</xdr:colOff>
                    <xdr:row>95</xdr:row>
                    <xdr:rowOff>676275</xdr:rowOff>
                  </to>
                </anchor>
              </controlPr>
            </control>
          </mc:Choice>
        </mc:AlternateContent>
        <mc:AlternateContent xmlns:mc="http://schemas.openxmlformats.org/markup-compatibility/2006">
          <mc:Choice Requires="x14">
            <control shapeId="184548" r:id="rId96" name="Check Box 228">
              <controlPr defaultSize="0" autoFill="0" autoLine="0" autoPict="0">
                <anchor moveWithCells="1">
                  <from>
                    <xdr:col>9</xdr:col>
                    <xdr:colOff>85725</xdr:colOff>
                    <xdr:row>96</xdr:row>
                    <xdr:rowOff>333375</xdr:rowOff>
                  </from>
                  <to>
                    <xdr:col>9</xdr:col>
                    <xdr:colOff>314325</xdr:colOff>
                    <xdr:row>96</xdr:row>
                    <xdr:rowOff>561975</xdr:rowOff>
                  </to>
                </anchor>
              </controlPr>
            </control>
          </mc:Choice>
        </mc:AlternateContent>
        <mc:AlternateContent xmlns:mc="http://schemas.openxmlformats.org/markup-compatibility/2006">
          <mc:Choice Requires="x14">
            <control shapeId="184549" r:id="rId97" name="Check Box 229">
              <controlPr defaultSize="0" autoFill="0" autoLine="0" autoPict="0">
                <anchor moveWithCells="1">
                  <from>
                    <xdr:col>9</xdr:col>
                    <xdr:colOff>104775</xdr:colOff>
                    <xdr:row>97</xdr:row>
                    <xdr:rowOff>333375</xdr:rowOff>
                  </from>
                  <to>
                    <xdr:col>9</xdr:col>
                    <xdr:colOff>333375</xdr:colOff>
                    <xdr:row>97</xdr:row>
                    <xdr:rowOff>561975</xdr:rowOff>
                  </to>
                </anchor>
              </controlPr>
            </control>
          </mc:Choice>
        </mc:AlternateContent>
        <mc:AlternateContent xmlns:mc="http://schemas.openxmlformats.org/markup-compatibility/2006">
          <mc:Choice Requires="x14">
            <control shapeId="184598" r:id="rId98" name="Check Box 278">
              <controlPr defaultSize="0" autoFill="0" autoLine="0" autoPict="0">
                <anchor moveWithCells="1">
                  <from>
                    <xdr:col>9</xdr:col>
                    <xdr:colOff>104775</xdr:colOff>
                    <xdr:row>104</xdr:row>
                    <xdr:rowOff>190500</xdr:rowOff>
                  </from>
                  <to>
                    <xdr:col>9</xdr:col>
                    <xdr:colOff>323850</xdr:colOff>
                    <xdr:row>104</xdr:row>
                    <xdr:rowOff>676275</xdr:rowOff>
                  </to>
                </anchor>
              </controlPr>
            </control>
          </mc:Choice>
        </mc:AlternateContent>
        <mc:AlternateContent xmlns:mc="http://schemas.openxmlformats.org/markup-compatibility/2006">
          <mc:Choice Requires="x14">
            <control shapeId="184599" r:id="rId99" name="Check Box 279">
              <controlPr defaultSize="0" autoFill="0" autoLine="0" autoPict="0">
                <anchor moveWithCells="1">
                  <from>
                    <xdr:col>9</xdr:col>
                    <xdr:colOff>85725</xdr:colOff>
                    <xdr:row>105</xdr:row>
                    <xdr:rowOff>333375</xdr:rowOff>
                  </from>
                  <to>
                    <xdr:col>9</xdr:col>
                    <xdr:colOff>314325</xdr:colOff>
                    <xdr:row>105</xdr:row>
                    <xdr:rowOff>571500</xdr:rowOff>
                  </to>
                </anchor>
              </controlPr>
            </control>
          </mc:Choice>
        </mc:AlternateContent>
        <mc:AlternateContent xmlns:mc="http://schemas.openxmlformats.org/markup-compatibility/2006">
          <mc:Choice Requires="x14">
            <control shapeId="184600" r:id="rId100" name="Check Box 280">
              <controlPr defaultSize="0" autoFill="0" autoLine="0" autoPict="0">
                <anchor moveWithCells="1">
                  <from>
                    <xdr:col>9</xdr:col>
                    <xdr:colOff>104775</xdr:colOff>
                    <xdr:row>106</xdr:row>
                    <xdr:rowOff>352425</xdr:rowOff>
                  </from>
                  <to>
                    <xdr:col>9</xdr:col>
                    <xdr:colOff>333375</xdr:colOff>
                    <xdr:row>106</xdr:row>
                    <xdr:rowOff>561975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pageSetUpPr fitToPage="1"/>
  </sheetPr>
  <dimension ref="B2:U63"/>
  <sheetViews>
    <sheetView showGridLines="0" zoomScaleNormal="100" workbookViewId="0">
      <selection activeCell="R2" sqref="R2"/>
    </sheetView>
  </sheetViews>
  <sheetFormatPr defaultColWidth="9" defaultRowHeight="13.5"/>
  <cols>
    <col min="1" max="1" width="3.5" style="69" customWidth="1"/>
    <col min="2" max="2" width="2.625" style="69" customWidth="1"/>
    <col min="3" max="3" width="10.5" style="69" customWidth="1"/>
    <col min="4" max="4" width="6.875" style="69" customWidth="1"/>
    <col min="5" max="5" width="8.625" style="69" customWidth="1"/>
    <col min="6" max="6" width="7.5" style="69" customWidth="1"/>
    <col min="7" max="7" width="8" style="69" customWidth="1"/>
    <col min="8" max="8" width="10.75" style="69" customWidth="1"/>
    <col min="9" max="9" width="10.5" style="69" customWidth="1"/>
    <col min="10" max="10" width="9" style="69"/>
    <col min="11" max="11" width="10.75" style="69" customWidth="1"/>
    <col min="12" max="14" width="9" style="69"/>
    <col min="15" max="15" width="13.125" style="70" customWidth="1"/>
    <col min="16" max="17" width="9" style="69"/>
    <col min="18" max="18" width="12.125" style="69" customWidth="1"/>
    <col min="19" max="19" width="9" style="69"/>
    <col min="20" max="20" width="10.875" style="69" customWidth="1"/>
    <col min="21" max="16384" width="9" style="69"/>
  </cols>
  <sheetData>
    <row r="2" spans="2:19" ht="18.75">
      <c r="B2" s="111" t="s">
        <v>231</v>
      </c>
      <c r="C2" s="71"/>
      <c r="D2" s="71"/>
      <c r="E2" s="71"/>
      <c r="F2" s="71"/>
      <c r="G2" s="71"/>
      <c r="H2" s="71"/>
      <c r="I2" s="71"/>
      <c r="J2" s="71"/>
      <c r="K2" s="71"/>
      <c r="L2" s="71"/>
      <c r="M2" s="71"/>
      <c r="N2" s="71"/>
      <c r="O2" s="72"/>
      <c r="P2" s="71"/>
      <c r="Q2" s="71"/>
      <c r="R2" s="71"/>
      <c r="S2" s="109"/>
    </row>
    <row r="3" spans="2:19" ht="14.25" thickBot="1">
      <c r="B3" s="71"/>
      <c r="C3" s="110" t="s">
        <v>230</v>
      </c>
      <c r="D3" s="71"/>
      <c r="E3" s="71"/>
      <c r="F3" s="71"/>
      <c r="G3" s="71"/>
      <c r="H3" s="71"/>
      <c r="I3" s="71" t="s">
        <v>229</v>
      </c>
      <c r="J3" s="71"/>
      <c r="K3" s="71"/>
      <c r="L3" s="71"/>
      <c r="M3" s="71"/>
      <c r="N3" s="71"/>
      <c r="O3" s="72"/>
      <c r="P3" s="71"/>
      <c r="Q3" s="71"/>
      <c r="R3" s="71"/>
      <c r="S3" s="109"/>
    </row>
    <row r="4" spans="2:19" ht="15" thickTop="1" thickBot="1">
      <c r="B4" s="71"/>
      <c r="C4" s="71"/>
      <c r="D4" s="71"/>
      <c r="E4" s="108"/>
      <c r="F4" s="71" t="s">
        <v>228</v>
      </c>
      <c r="G4" s="71"/>
      <c r="H4" s="71"/>
      <c r="I4" s="71" t="s">
        <v>227</v>
      </c>
      <c r="J4" s="71"/>
      <c r="K4" s="71"/>
      <c r="L4" s="71"/>
      <c r="M4" s="71"/>
      <c r="N4" s="71"/>
      <c r="O4" s="72"/>
      <c r="P4" s="71"/>
      <c r="Q4" s="71"/>
      <c r="R4" s="71"/>
      <c r="S4" s="71"/>
    </row>
    <row r="5" spans="2:19" ht="14.25" thickTop="1">
      <c r="B5" s="71"/>
      <c r="C5" s="71"/>
      <c r="D5" s="71"/>
      <c r="E5" s="102"/>
      <c r="F5" s="71" t="s">
        <v>226</v>
      </c>
      <c r="G5" s="71"/>
      <c r="H5" s="71"/>
      <c r="I5" s="71" t="s">
        <v>225</v>
      </c>
      <c r="J5" s="71"/>
      <c r="K5" s="71"/>
      <c r="L5" s="71"/>
      <c r="M5" s="71"/>
      <c r="N5" s="71"/>
      <c r="O5" s="72"/>
      <c r="P5" s="71"/>
      <c r="Q5" s="71"/>
      <c r="R5" s="71"/>
      <c r="S5" s="71"/>
    </row>
    <row r="6" spans="2:19">
      <c r="B6" s="71"/>
      <c r="C6" s="71"/>
      <c r="D6" s="71"/>
      <c r="E6" s="103"/>
      <c r="F6" s="71" t="s">
        <v>224</v>
      </c>
      <c r="G6" s="71"/>
      <c r="H6" s="71"/>
      <c r="I6" s="71"/>
      <c r="J6" s="71"/>
      <c r="K6" s="71"/>
      <c r="L6" s="71"/>
      <c r="M6" s="71"/>
      <c r="N6" s="71"/>
      <c r="O6" s="72"/>
      <c r="P6" s="71"/>
      <c r="Q6" s="71"/>
      <c r="R6" s="71"/>
      <c r="S6" s="71"/>
    </row>
    <row r="7" spans="2:19">
      <c r="B7" s="71"/>
      <c r="C7" s="71"/>
      <c r="D7" s="71"/>
      <c r="E7" s="71"/>
      <c r="F7" s="71"/>
      <c r="G7" s="71"/>
      <c r="H7" s="71"/>
      <c r="I7" s="71"/>
      <c r="J7" s="71"/>
      <c r="K7" s="71"/>
      <c r="L7" s="71"/>
      <c r="M7" s="71"/>
      <c r="N7" s="71"/>
      <c r="O7" s="72"/>
      <c r="P7" s="71"/>
      <c r="Q7" s="71"/>
      <c r="R7" s="71"/>
      <c r="S7" s="71"/>
    </row>
    <row r="8" spans="2:19" ht="14.25" thickBot="1">
      <c r="B8" s="71"/>
      <c r="C8" s="71"/>
      <c r="D8" s="71"/>
      <c r="E8" s="71"/>
      <c r="F8" s="71"/>
      <c r="G8" s="71"/>
      <c r="H8" s="71"/>
      <c r="I8" s="71"/>
      <c r="J8" s="71"/>
      <c r="K8" s="71"/>
      <c r="L8" s="71"/>
      <c r="M8" s="71"/>
      <c r="N8" s="71"/>
      <c r="O8" s="72"/>
      <c r="P8" s="71"/>
      <c r="Q8" s="71"/>
      <c r="R8" s="71"/>
      <c r="S8" s="71"/>
    </row>
    <row r="9" spans="2:19" ht="15" thickTop="1" thickBot="1">
      <c r="B9" s="71" t="s">
        <v>223</v>
      </c>
      <c r="C9" s="71" t="s">
        <v>222</v>
      </c>
      <c r="D9" s="71"/>
      <c r="E9" s="107"/>
      <c r="F9" s="71" t="s">
        <v>214</v>
      </c>
      <c r="G9" s="71"/>
      <c r="H9" s="71"/>
      <c r="I9" s="71"/>
      <c r="J9" s="71"/>
      <c r="K9" s="71"/>
      <c r="L9" s="71"/>
      <c r="M9" s="71"/>
      <c r="N9" s="71"/>
      <c r="O9" s="72"/>
      <c r="P9" s="71"/>
      <c r="Q9" s="71"/>
      <c r="R9" s="71"/>
      <c r="S9" s="71"/>
    </row>
    <row r="10" spans="2:19" ht="15" thickTop="1" thickBot="1">
      <c r="B10" s="71" t="s">
        <v>221</v>
      </c>
      <c r="C10" s="71" t="s">
        <v>96</v>
      </c>
      <c r="D10" s="71"/>
      <c r="E10" s="107"/>
      <c r="F10" s="71" t="s">
        <v>220</v>
      </c>
      <c r="G10" s="71"/>
      <c r="H10" s="71"/>
      <c r="I10" s="71"/>
      <c r="J10" s="71"/>
      <c r="K10" s="71"/>
      <c r="L10" s="71"/>
      <c r="M10" s="71"/>
      <c r="N10" s="71"/>
      <c r="O10" s="72"/>
      <c r="P10" s="71"/>
      <c r="Q10" s="71"/>
      <c r="R10" s="71"/>
      <c r="S10" s="71"/>
    </row>
    <row r="11" spans="2:19" ht="15" thickTop="1" thickBot="1">
      <c r="B11" s="71" t="s">
        <v>219</v>
      </c>
      <c r="C11" s="71" t="s">
        <v>218</v>
      </c>
      <c r="D11" s="71" t="s">
        <v>216</v>
      </c>
      <c r="E11" s="88"/>
      <c r="F11" s="71" t="s">
        <v>217</v>
      </c>
      <c r="G11" s="71" t="s">
        <v>215</v>
      </c>
      <c r="H11" s="243">
        <f>100-E11</f>
        <v>100</v>
      </c>
      <c r="I11" s="71" t="s">
        <v>217</v>
      </c>
      <c r="J11" s="71"/>
      <c r="K11" s="71"/>
      <c r="L11" s="71"/>
      <c r="M11" s="71"/>
      <c r="N11" s="71"/>
      <c r="O11" s="72"/>
      <c r="P11" s="71"/>
      <c r="Q11" s="71"/>
      <c r="R11" s="71"/>
      <c r="S11" s="71"/>
    </row>
    <row r="12" spans="2:19" ht="14.25" thickTop="1">
      <c r="B12" s="71"/>
      <c r="C12" s="71"/>
      <c r="D12" s="71" t="s">
        <v>216</v>
      </c>
      <c r="E12" s="242">
        <f>$E$9*E11/100</f>
        <v>0</v>
      </c>
      <c r="F12" s="71" t="s">
        <v>214</v>
      </c>
      <c r="G12" s="71" t="s">
        <v>215</v>
      </c>
      <c r="H12" s="242">
        <f>$E$9*H11/100</f>
        <v>0</v>
      </c>
      <c r="I12" s="71" t="s">
        <v>214</v>
      </c>
      <c r="J12" s="71"/>
      <c r="K12" s="71"/>
      <c r="L12" s="71"/>
      <c r="M12" s="71"/>
      <c r="N12" s="71"/>
      <c r="O12" s="72"/>
      <c r="P12" s="71"/>
      <c r="Q12" s="71"/>
      <c r="R12" s="71"/>
      <c r="S12" s="71"/>
    </row>
    <row r="13" spans="2:19">
      <c r="B13" s="71"/>
      <c r="C13" s="71"/>
      <c r="D13" s="71"/>
      <c r="E13" s="71"/>
      <c r="F13" s="71"/>
      <c r="G13" s="71"/>
      <c r="H13" s="71"/>
      <c r="I13" s="71"/>
      <c r="J13" s="71"/>
      <c r="K13" s="71"/>
      <c r="L13" s="71"/>
      <c r="M13" s="71"/>
      <c r="N13" s="71"/>
      <c r="O13" s="72"/>
      <c r="P13" s="71"/>
      <c r="Q13" s="71"/>
      <c r="R13" s="71"/>
      <c r="S13" s="71"/>
    </row>
    <row r="14" spans="2:19">
      <c r="B14" s="71" t="s">
        <v>213</v>
      </c>
      <c r="C14" s="71" t="s">
        <v>212</v>
      </c>
      <c r="D14" s="71"/>
      <c r="E14" s="71"/>
      <c r="F14" s="71"/>
      <c r="G14" s="71"/>
      <c r="H14" s="71"/>
      <c r="I14" s="71"/>
      <c r="J14" s="71"/>
      <c r="K14" s="71"/>
      <c r="L14" s="71"/>
      <c r="M14" s="71"/>
      <c r="N14" s="71"/>
      <c r="O14" s="72"/>
      <c r="P14" s="71"/>
      <c r="Q14" s="71"/>
      <c r="R14" s="71"/>
      <c r="S14" s="71"/>
    </row>
    <row r="15" spans="2:19">
      <c r="B15" s="71"/>
      <c r="C15" s="71" t="s">
        <v>211</v>
      </c>
      <c r="D15" s="71"/>
      <c r="E15" s="71"/>
      <c r="F15" s="71"/>
      <c r="G15" s="71"/>
      <c r="H15" s="71"/>
      <c r="I15" s="71"/>
      <c r="J15" s="71"/>
      <c r="K15" s="71"/>
      <c r="L15" s="71"/>
      <c r="M15" s="71"/>
      <c r="N15" s="71"/>
      <c r="O15" s="72"/>
      <c r="P15" s="71"/>
      <c r="Q15" s="71"/>
      <c r="R15" s="71"/>
      <c r="S15" s="71"/>
    </row>
    <row r="16" spans="2:19" ht="14.25" thickBot="1">
      <c r="B16" s="71"/>
      <c r="C16" s="71"/>
      <c r="D16" s="71"/>
      <c r="E16" s="71" t="s">
        <v>190</v>
      </c>
      <c r="F16" s="71"/>
      <c r="G16" s="71" t="s">
        <v>210</v>
      </c>
      <c r="H16" s="71"/>
      <c r="I16" s="71" t="s">
        <v>209</v>
      </c>
      <c r="J16" s="71"/>
      <c r="K16" s="71"/>
      <c r="L16" s="71"/>
      <c r="M16" s="71"/>
      <c r="N16" s="71"/>
      <c r="O16" s="72"/>
      <c r="P16" s="71"/>
      <c r="Q16" s="71"/>
      <c r="R16" s="71"/>
      <c r="S16" s="71"/>
    </row>
    <row r="17" spans="2:19" ht="15" thickTop="1" thickBot="1">
      <c r="B17" s="71"/>
      <c r="C17" s="71" t="s">
        <v>208</v>
      </c>
      <c r="D17" s="84"/>
      <c r="E17" s="570"/>
      <c r="F17" s="71" t="s">
        <v>183</v>
      </c>
      <c r="G17" s="102">
        <v>0.42</v>
      </c>
      <c r="H17" s="71" t="s">
        <v>202</v>
      </c>
      <c r="I17" s="242">
        <f>E$12</f>
        <v>0</v>
      </c>
      <c r="J17" s="71" t="s">
        <v>201</v>
      </c>
      <c r="K17" s="244">
        <f t="shared" ref="K17:K22" si="0">E17*G17*I17</f>
        <v>0</v>
      </c>
      <c r="L17" s="71" t="s">
        <v>172</v>
      </c>
      <c r="M17" s="71"/>
      <c r="N17" s="71"/>
      <c r="O17" s="72"/>
      <c r="P17" s="71"/>
      <c r="Q17" s="84" t="s">
        <v>186</v>
      </c>
      <c r="R17" s="248">
        <f t="shared" ref="R17:R22" si="1">K17*M$24</f>
        <v>0</v>
      </c>
      <c r="S17" s="71"/>
    </row>
    <row r="18" spans="2:19" ht="15" thickTop="1" thickBot="1">
      <c r="B18" s="71"/>
      <c r="C18" s="71" t="s">
        <v>207</v>
      </c>
      <c r="D18" s="84"/>
      <c r="E18" s="106"/>
      <c r="F18" s="71" t="s">
        <v>183</v>
      </c>
      <c r="G18" s="102">
        <v>2.88</v>
      </c>
      <c r="H18" s="71" t="s">
        <v>202</v>
      </c>
      <c r="I18" s="242">
        <f>E$12</f>
        <v>0</v>
      </c>
      <c r="J18" s="71" t="s">
        <v>201</v>
      </c>
      <c r="K18" s="244">
        <f t="shared" si="0"/>
        <v>0</v>
      </c>
      <c r="L18" s="71" t="s">
        <v>172</v>
      </c>
      <c r="M18" s="71"/>
      <c r="N18" s="71"/>
      <c r="O18" s="72"/>
      <c r="P18" s="71"/>
      <c r="Q18" s="84" t="s">
        <v>186</v>
      </c>
      <c r="R18" s="248">
        <f t="shared" si="1"/>
        <v>0</v>
      </c>
      <c r="S18" s="71"/>
    </row>
    <row r="19" spans="2:19" ht="15" thickTop="1" thickBot="1">
      <c r="B19" s="71"/>
      <c r="C19" s="71" t="s">
        <v>206</v>
      </c>
      <c r="D19" s="86"/>
      <c r="E19" s="106"/>
      <c r="F19" s="71" t="s">
        <v>183</v>
      </c>
      <c r="G19" s="102">
        <f>G17+G18</f>
        <v>3.3</v>
      </c>
      <c r="H19" s="71" t="s">
        <v>202</v>
      </c>
      <c r="I19" s="242">
        <f>E$12</f>
        <v>0</v>
      </c>
      <c r="J19" s="71" t="s">
        <v>201</v>
      </c>
      <c r="K19" s="244">
        <f t="shared" si="0"/>
        <v>0</v>
      </c>
      <c r="L19" s="71" t="s">
        <v>172</v>
      </c>
      <c r="M19" s="71"/>
      <c r="N19" s="71"/>
      <c r="O19" s="72"/>
      <c r="P19" s="71"/>
      <c r="Q19" s="86" t="s">
        <v>158</v>
      </c>
      <c r="R19" s="249">
        <f t="shared" si="1"/>
        <v>0</v>
      </c>
      <c r="S19" s="71"/>
    </row>
    <row r="20" spans="2:19" ht="15" thickTop="1" thickBot="1">
      <c r="B20" s="71"/>
      <c r="C20" s="71" t="s">
        <v>205</v>
      </c>
      <c r="D20" s="84"/>
      <c r="E20" s="570"/>
      <c r="F20" s="71" t="s">
        <v>183</v>
      </c>
      <c r="G20" s="102">
        <v>2.93</v>
      </c>
      <c r="H20" s="71" t="s">
        <v>202</v>
      </c>
      <c r="I20" s="242">
        <f>H$12</f>
        <v>0</v>
      </c>
      <c r="J20" s="71" t="s">
        <v>201</v>
      </c>
      <c r="K20" s="244">
        <f t="shared" si="0"/>
        <v>0</v>
      </c>
      <c r="L20" s="71" t="s">
        <v>172</v>
      </c>
      <c r="M20" s="71"/>
      <c r="N20" s="71"/>
      <c r="O20" s="72"/>
      <c r="P20" s="71"/>
      <c r="Q20" s="84" t="s">
        <v>186</v>
      </c>
      <c r="R20" s="248">
        <f t="shared" si="1"/>
        <v>0</v>
      </c>
      <c r="S20" s="71"/>
    </row>
    <row r="21" spans="2:19" ht="15" thickTop="1" thickBot="1">
      <c r="B21" s="71"/>
      <c r="C21" s="71" t="s">
        <v>204</v>
      </c>
      <c r="D21" s="86"/>
      <c r="E21" s="106"/>
      <c r="F21" s="71" t="s">
        <v>183</v>
      </c>
      <c r="G21" s="102">
        <v>3.3</v>
      </c>
      <c r="H21" s="71" t="s">
        <v>202</v>
      </c>
      <c r="I21" s="242">
        <f>H$12</f>
        <v>0</v>
      </c>
      <c r="J21" s="71" t="s">
        <v>201</v>
      </c>
      <c r="K21" s="244">
        <f t="shared" si="0"/>
        <v>0</v>
      </c>
      <c r="L21" s="71" t="s">
        <v>172</v>
      </c>
      <c r="N21" s="71"/>
      <c r="O21" s="72"/>
      <c r="P21" s="71"/>
      <c r="Q21" s="86" t="s">
        <v>158</v>
      </c>
      <c r="R21" s="249">
        <f t="shared" si="1"/>
        <v>0</v>
      </c>
      <c r="S21" s="71"/>
    </row>
    <row r="22" spans="2:19" ht="15" thickTop="1" thickBot="1">
      <c r="B22" s="71"/>
      <c r="C22" s="71" t="s">
        <v>203</v>
      </c>
      <c r="D22" s="86"/>
      <c r="E22" s="106"/>
      <c r="F22" s="71" t="s">
        <v>183</v>
      </c>
      <c r="G22" s="102">
        <v>3</v>
      </c>
      <c r="H22" s="71" t="s">
        <v>202</v>
      </c>
      <c r="I22" s="242">
        <f>$E9</f>
        <v>0</v>
      </c>
      <c r="J22" s="71" t="s">
        <v>201</v>
      </c>
      <c r="K22" s="244">
        <f t="shared" si="0"/>
        <v>0</v>
      </c>
      <c r="L22" s="71" t="s">
        <v>200</v>
      </c>
      <c r="M22" s="71"/>
      <c r="N22" s="71"/>
      <c r="O22" s="72"/>
      <c r="P22" s="71"/>
      <c r="Q22" s="86" t="s">
        <v>158</v>
      </c>
      <c r="R22" s="249">
        <f t="shared" si="1"/>
        <v>0</v>
      </c>
      <c r="S22" s="71"/>
    </row>
    <row r="23" spans="2:19" ht="14.25" thickTop="1">
      <c r="B23" s="71"/>
      <c r="C23" s="71"/>
      <c r="D23" s="86"/>
      <c r="E23" s="71"/>
      <c r="F23" s="71"/>
      <c r="G23" s="71"/>
      <c r="H23" s="71"/>
      <c r="I23" s="71"/>
      <c r="J23" s="71"/>
      <c r="K23" s="71"/>
      <c r="L23" s="71"/>
      <c r="M23" s="71" t="s">
        <v>175</v>
      </c>
      <c r="N23" s="71"/>
      <c r="O23" s="72"/>
      <c r="P23" s="71"/>
      <c r="Q23" s="71"/>
      <c r="R23" s="71"/>
      <c r="S23" s="71"/>
    </row>
    <row r="24" spans="2:19" ht="15" customHeight="1">
      <c r="B24" s="71"/>
      <c r="C24" s="71"/>
      <c r="D24" s="71"/>
      <c r="E24" s="71" t="s">
        <v>199</v>
      </c>
      <c r="F24" s="71"/>
      <c r="G24" s="71"/>
      <c r="H24" s="71"/>
      <c r="I24" s="71"/>
      <c r="J24" s="85" t="s">
        <v>181</v>
      </c>
      <c r="K24" s="244">
        <f>SUM(K17:K22)</f>
        <v>0</v>
      </c>
      <c r="L24" s="71" t="s">
        <v>180</v>
      </c>
      <c r="M24" s="102">
        <v>300</v>
      </c>
      <c r="N24" s="71" t="s">
        <v>171</v>
      </c>
      <c r="O24" s="246">
        <f>K24*M24</f>
        <v>0</v>
      </c>
      <c r="P24" s="71" t="s">
        <v>154</v>
      </c>
      <c r="Q24" s="71" t="s">
        <v>179</v>
      </c>
      <c r="R24" s="245">
        <f>SUM(R17:R23)</f>
        <v>0</v>
      </c>
      <c r="S24" s="71"/>
    </row>
    <row r="25" spans="2:19">
      <c r="B25" s="71"/>
      <c r="C25" s="71"/>
      <c r="D25" s="71"/>
      <c r="E25" s="71"/>
      <c r="F25" s="71"/>
      <c r="G25" s="71"/>
      <c r="H25" s="71"/>
      <c r="I25" s="71"/>
      <c r="J25" s="85" t="s">
        <v>197</v>
      </c>
      <c r="K25" s="245" t="e">
        <f>K24/$E$9</f>
        <v>#DIV/0!</v>
      </c>
      <c r="L25" s="71" t="s">
        <v>198</v>
      </c>
      <c r="M25" s="71"/>
      <c r="N25" s="85" t="s">
        <v>197</v>
      </c>
      <c r="O25" s="247" t="e">
        <f>O24/$E$10</f>
        <v>#DIV/0!</v>
      </c>
      <c r="P25" s="71" t="s">
        <v>152</v>
      </c>
      <c r="Q25" s="71"/>
      <c r="R25" s="71"/>
      <c r="S25" s="71"/>
    </row>
    <row r="26" spans="2:19">
      <c r="B26" s="71"/>
      <c r="C26" s="71"/>
      <c r="D26" s="71"/>
      <c r="E26" s="71"/>
      <c r="F26" s="71"/>
      <c r="G26" s="71"/>
      <c r="H26" s="71"/>
      <c r="I26" s="71"/>
      <c r="J26" s="85"/>
      <c r="K26" s="71"/>
      <c r="L26" s="71"/>
      <c r="M26" s="71"/>
      <c r="N26" s="85"/>
      <c r="O26" s="72"/>
      <c r="P26" s="71"/>
      <c r="Q26" s="71"/>
      <c r="R26" s="71"/>
      <c r="S26" s="71"/>
    </row>
    <row r="27" spans="2:19">
      <c r="B27" s="71"/>
      <c r="C27" s="71" t="s">
        <v>196</v>
      </c>
      <c r="D27" s="71"/>
      <c r="E27" s="71" t="s">
        <v>96</v>
      </c>
      <c r="F27" s="71"/>
      <c r="G27" s="71" t="s">
        <v>195</v>
      </c>
      <c r="H27" s="71"/>
      <c r="I27" s="71" t="s">
        <v>191</v>
      </c>
      <c r="J27" s="85"/>
      <c r="K27" s="71"/>
      <c r="L27" s="71"/>
      <c r="M27" s="71"/>
      <c r="N27" s="85"/>
      <c r="O27" s="72"/>
      <c r="P27" s="71"/>
      <c r="Q27" s="71"/>
      <c r="R27" s="71"/>
      <c r="S27" s="71"/>
    </row>
    <row r="28" spans="2:19">
      <c r="B28" s="71"/>
      <c r="C28" s="71" t="s">
        <v>188</v>
      </c>
      <c r="D28" s="71"/>
      <c r="E28" s="71">
        <f>E10</f>
        <v>0</v>
      </c>
      <c r="F28" s="71" t="s">
        <v>194</v>
      </c>
      <c r="G28" s="102">
        <v>4.7000000000000002E-3</v>
      </c>
      <c r="H28" s="71" t="s">
        <v>193</v>
      </c>
      <c r="I28" s="242">
        <f>E28*G28</f>
        <v>0</v>
      </c>
      <c r="J28" s="105" t="s">
        <v>192</v>
      </c>
      <c r="K28" s="71"/>
      <c r="L28" s="71"/>
      <c r="M28" s="71"/>
      <c r="N28" s="85"/>
      <c r="O28" s="72"/>
      <c r="P28" s="71"/>
      <c r="Q28" s="71"/>
      <c r="R28" s="71"/>
      <c r="S28" s="71"/>
    </row>
    <row r="29" spans="2:19">
      <c r="B29" s="71"/>
      <c r="C29" s="71" t="s">
        <v>187</v>
      </c>
      <c r="D29" s="71"/>
      <c r="E29" s="71">
        <f>E10</f>
        <v>0</v>
      </c>
      <c r="F29" s="71" t="s">
        <v>194</v>
      </c>
      <c r="G29" s="102">
        <v>2.5000000000000001E-3</v>
      </c>
      <c r="H29" s="71" t="s">
        <v>193</v>
      </c>
      <c r="I29" s="242">
        <f>E29*G29</f>
        <v>0</v>
      </c>
      <c r="J29" s="105" t="s">
        <v>192</v>
      </c>
      <c r="K29" s="71"/>
      <c r="L29" s="71"/>
      <c r="M29" s="71"/>
      <c r="N29" s="85"/>
      <c r="O29" s="72"/>
      <c r="P29" s="71"/>
      <c r="Q29" s="71"/>
      <c r="R29" s="71"/>
      <c r="S29" s="71"/>
    </row>
    <row r="30" spans="2:19">
      <c r="B30" s="71"/>
      <c r="C30" s="71" t="s">
        <v>185</v>
      </c>
      <c r="D30" s="71"/>
      <c r="E30" s="71">
        <f>E10</f>
        <v>0</v>
      </c>
      <c r="F30" s="71" t="s">
        <v>194</v>
      </c>
      <c r="G30" s="102">
        <v>4.7000000000000002E-3</v>
      </c>
      <c r="H30" s="71" t="s">
        <v>193</v>
      </c>
      <c r="I30" s="242">
        <f>E30*G30</f>
        <v>0</v>
      </c>
      <c r="J30" s="105" t="s">
        <v>192</v>
      </c>
      <c r="K30" s="71"/>
      <c r="L30" s="71"/>
      <c r="M30" s="71"/>
      <c r="N30" s="85"/>
      <c r="O30" s="72"/>
      <c r="P30" s="71"/>
      <c r="Q30" s="71"/>
      <c r="R30" s="71"/>
      <c r="S30" s="71"/>
    </row>
    <row r="31" spans="2:19">
      <c r="B31" s="71"/>
      <c r="C31" s="71"/>
      <c r="D31" s="71"/>
      <c r="E31" s="71"/>
      <c r="F31" s="71"/>
      <c r="G31" s="71"/>
      <c r="H31" s="71"/>
      <c r="I31" s="71"/>
      <c r="J31" s="85"/>
      <c r="K31" s="71"/>
      <c r="L31" s="71"/>
      <c r="M31" s="71"/>
      <c r="N31" s="85"/>
      <c r="O31" s="72"/>
      <c r="P31" s="71"/>
      <c r="Q31" s="71"/>
      <c r="R31" s="71"/>
      <c r="S31" s="71"/>
    </row>
    <row r="32" spans="2:19">
      <c r="B32" s="71"/>
      <c r="C32" s="71"/>
      <c r="D32" s="71"/>
      <c r="E32" s="71" t="s">
        <v>191</v>
      </c>
      <c r="F32" s="71"/>
      <c r="G32" s="71" t="s">
        <v>190</v>
      </c>
      <c r="H32" s="71"/>
      <c r="I32" s="71" t="s">
        <v>189</v>
      </c>
      <c r="J32" s="71"/>
      <c r="K32" s="71"/>
      <c r="L32" s="71"/>
      <c r="M32" s="71"/>
      <c r="N32" s="85"/>
      <c r="O32" s="72"/>
      <c r="P32" s="71"/>
      <c r="Q32" s="71"/>
      <c r="R32" s="71"/>
      <c r="S32" s="71"/>
    </row>
    <row r="33" spans="2:21">
      <c r="B33" s="71"/>
      <c r="C33" s="71" t="s">
        <v>188</v>
      </c>
      <c r="D33" s="84"/>
      <c r="E33" s="71">
        <f>I28</f>
        <v>0</v>
      </c>
      <c r="F33" s="71" t="s">
        <v>184</v>
      </c>
      <c r="G33" s="104">
        <f>E17</f>
        <v>0</v>
      </c>
      <c r="H33" s="71" t="s">
        <v>183</v>
      </c>
      <c r="I33" s="195">
        <v>3</v>
      </c>
      <c r="J33" s="71" t="s">
        <v>182</v>
      </c>
      <c r="K33" s="250">
        <f>E33*G33*I33</f>
        <v>0</v>
      </c>
      <c r="L33" s="71" t="s">
        <v>172</v>
      </c>
      <c r="M33" s="71"/>
      <c r="N33" s="85"/>
      <c r="O33" s="72"/>
      <c r="P33" s="71"/>
      <c r="Q33" s="84" t="s">
        <v>186</v>
      </c>
      <c r="R33" s="248">
        <f>K33*M$36</f>
        <v>0</v>
      </c>
      <c r="S33" s="71"/>
    </row>
    <row r="34" spans="2:21">
      <c r="B34" s="71"/>
      <c r="C34" s="71" t="s">
        <v>187</v>
      </c>
      <c r="D34" s="84"/>
      <c r="E34" s="71">
        <f>I29</f>
        <v>0</v>
      </c>
      <c r="F34" s="71" t="s">
        <v>184</v>
      </c>
      <c r="G34" s="104">
        <f>E18</f>
        <v>0</v>
      </c>
      <c r="H34" s="71" t="s">
        <v>183</v>
      </c>
      <c r="I34" s="195">
        <v>3</v>
      </c>
      <c r="J34" s="71" t="s">
        <v>182</v>
      </c>
      <c r="K34" s="250">
        <f>E34*G34*I34</f>
        <v>0</v>
      </c>
      <c r="L34" s="71" t="s">
        <v>172</v>
      </c>
      <c r="M34" s="71"/>
      <c r="N34" s="85"/>
      <c r="O34" s="72"/>
      <c r="P34" s="71"/>
      <c r="Q34" s="84" t="s">
        <v>186</v>
      </c>
      <c r="R34" s="248">
        <f>K34*M$36</f>
        <v>0</v>
      </c>
      <c r="S34" s="71"/>
    </row>
    <row r="35" spans="2:21">
      <c r="B35" s="71"/>
      <c r="C35" s="71" t="s">
        <v>185</v>
      </c>
      <c r="D35" s="86"/>
      <c r="E35" s="71">
        <f>I30</f>
        <v>0</v>
      </c>
      <c r="F35" s="71" t="s">
        <v>184</v>
      </c>
      <c r="G35" s="104">
        <f>E19</f>
        <v>0</v>
      </c>
      <c r="H35" s="71" t="s">
        <v>183</v>
      </c>
      <c r="I35" s="195">
        <v>3</v>
      </c>
      <c r="J35" s="71" t="s">
        <v>182</v>
      </c>
      <c r="K35" s="250">
        <f>E35*G35*I35</f>
        <v>0</v>
      </c>
      <c r="L35" s="71" t="s">
        <v>172</v>
      </c>
      <c r="M35" s="71" t="s">
        <v>175</v>
      </c>
      <c r="N35" s="71"/>
      <c r="O35" s="72"/>
      <c r="P35" s="71"/>
      <c r="Q35" s="86" t="s">
        <v>158</v>
      </c>
      <c r="R35" s="249">
        <f>K35*M$36</f>
        <v>0</v>
      </c>
      <c r="S35" s="71"/>
    </row>
    <row r="36" spans="2:21">
      <c r="B36" s="71"/>
      <c r="C36" s="71"/>
      <c r="D36" s="71"/>
      <c r="E36" s="71"/>
      <c r="F36" s="71"/>
      <c r="G36" s="71"/>
      <c r="H36" s="71"/>
      <c r="I36" s="71"/>
      <c r="J36" s="85" t="s">
        <v>181</v>
      </c>
      <c r="K36" s="244">
        <f>SUM(K33:K35)</f>
        <v>0</v>
      </c>
      <c r="L36" s="71" t="s">
        <v>180</v>
      </c>
      <c r="M36" s="102">
        <v>240</v>
      </c>
      <c r="N36" s="71" t="s">
        <v>171</v>
      </c>
      <c r="O36" s="246">
        <f>K36*M36</f>
        <v>0</v>
      </c>
      <c r="P36" s="71" t="s">
        <v>154</v>
      </c>
      <c r="Q36" s="71" t="s">
        <v>179</v>
      </c>
      <c r="R36" s="245">
        <f>SUM(R33:R35)</f>
        <v>0</v>
      </c>
      <c r="S36" s="71"/>
      <c r="T36" s="251" t="e">
        <f>(O24+O36)/E9/M36</f>
        <v>#DIV/0!</v>
      </c>
      <c r="U36" s="69" t="s">
        <v>168</v>
      </c>
    </row>
    <row r="37" spans="2:21">
      <c r="B37" s="71"/>
      <c r="C37" s="71"/>
      <c r="D37" s="71"/>
      <c r="E37" s="71"/>
      <c r="F37" s="71"/>
      <c r="G37" s="71"/>
      <c r="H37" s="71"/>
      <c r="I37" s="71"/>
      <c r="J37" s="85"/>
      <c r="K37" s="71"/>
      <c r="L37" s="71"/>
      <c r="M37" s="71"/>
      <c r="N37" s="85"/>
      <c r="O37" s="72"/>
      <c r="P37" s="71"/>
      <c r="Q37" s="71"/>
      <c r="R37" s="71"/>
      <c r="S37" s="71"/>
    </row>
    <row r="38" spans="2:21" ht="14.25" thickBot="1">
      <c r="B38" s="71"/>
      <c r="C38" s="71" t="s">
        <v>178</v>
      </c>
      <c r="D38" s="71"/>
      <c r="E38" s="71"/>
      <c r="F38" s="71"/>
      <c r="G38" s="71" t="s">
        <v>177</v>
      </c>
      <c r="H38" s="71"/>
      <c r="I38" s="71" t="s">
        <v>176</v>
      </c>
      <c r="J38" s="71"/>
      <c r="K38" s="71"/>
      <c r="L38" s="71"/>
      <c r="M38" s="71" t="s">
        <v>175</v>
      </c>
      <c r="N38" s="71"/>
      <c r="O38" s="72"/>
      <c r="P38" s="71"/>
      <c r="Q38" s="71"/>
      <c r="R38" s="71"/>
      <c r="S38" s="71"/>
    </row>
    <row r="39" spans="2:21" ht="15" thickTop="1" thickBot="1">
      <c r="B39" s="71"/>
      <c r="C39" s="71"/>
      <c r="D39" s="86"/>
      <c r="E39" s="71"/>
      <c r="F39" s="71"/>
      <c r="G39" s="102">
        <v>35</v>
      </c>
      <c r="H39" s="71" t="s">
        <v>174</v>
      </c>
      <c r="I39" s="88"/>
      <c r="J39" s="71" t="s">
        <v>173</v>
      </c>
      <c r="K39" s="242">
        <f>G39*I39</f>
        <v>0</v>
      </c>
      <c r="L39" s="71" t="s">
        <v>172</v>
      </c>
      <c r="M39" s="102">
        <v>240</v>
      </c>
      <c r="N39" s="71" t="s">
        <v>171</v>
      </c>
      <c r="O39" s="246">
        <f>K39*M39</f>
        <v>0</v>
      </c>
      <c r="P39" s="71" t="s">
        <v>154</v>
      </c>
      <c r="Q39" s="86" t="s">
        <v>158</v>
      </c>
      <c r="R39" s="252">
        <f>K39*M39</f>
        <v>0</v>
      </c>
      <c r="S39" s="71"/>
    </row>
    <row r="40" spans="2:21" ht="14.25" thickTop="1">
      <c r="B40" s="71"/>
      <c r="C40" s="71"/>
      <c r="D40" s="86"/>
      <c r="E40" s="71"/>
      <c r="F40" s="71"/>
      <c r="G40" s="71"/>
      <c r="H40" s="71"/>
      <c r="I40" s="71"/>
      <c r="J40" s="71"/>
      <c r="K40" s="71"/>
      <c r="L40" s="71"/>
      <c r="M40" s="71"/>
      <c r="N40" s="71"/>
      <c r="O40" s="71"/>
      <c r="P40" s="71"/>
      <c r="Q40" s="71"/>
      <c r="R40" s="71"/>
      <c r="S40" s="71"/>
    </row>
    <row r="41" spans="2:21">
      <c r="B41" s="71"/>
      <c r="C41" s="71"/>
      <c r="D41" s="86"/>
      <c r="E41" s="71"/>
      <c r="F41" s="71"/>
      <c r="G41" s="71"/>
      <c r="H41" s="71"/>
      <c r="I41" s="83"/>
      <c r="J41" s="71"/>
      <c r="K41" s="71"/>
      <c r="L41" s="71"/>
      <c r="M41" s="71"/>
      <c r="N41" s="71"/>
      <c r="O41" s="71"/>
      <c r="P41" s="71"/>
      <c r="Q41" s="71"/>
      <c r="R41" s="71"/>
      <c r="S41" s="71"/>
    </row>
    <row r="42" spans="2:21">
      <c r="B42" s="71"/>
      <c r="C42" s="71"/>
      <c r="D42" s="84"/>
      <c r="E42" s="71"/>
      <c r="F42" s="71"/>
      <c r="G42" s="71"/>
      <c r="H42" s="93"/>
      <c r="I42" s="101"/>
      <c r="J42" s="76"/>
      <c r="K42" s="71"/>
      <c r="L42" s="71"/>
      <c r="M42" s="71"/>
      <c r="N42" s="71"/>
      <c r="O42" s="72"/>
      <c r="P42" s="71"/>
      <c r="Q42" s="84"/>
      <c r="R42" s="100"/>
      <c r="S42" s="71"/>
    </row>
    <row r="43" spans="2:21">
      <c r="B43" s="71"/>
      <c r="C43" s="71"/>
      <c r="D43" s="71"/>
      <c r="E43" s="71"/>
      <c r="F43" s="71"/>
      <c r="G43" s="71"/>
      <c r="H43" s="71"/>
      <c r="I43" s="87"/>
      <c r="J43" s="71"/>
      <c r="K43" s="71"/>
      <c r="L43" s="71"/>
      <c r="M43" s="83"/>
      <c r="N43" s="71"/>
      <c r="O43" s="72"/>
      <c r="P43" s="71"/>
      <c r="Q43" s="71"/>
      <c r="R43" s="71"/>
      <c r="S43" s="71"/>
    </row>
    <row r="44" spans="2:21">
      <c r="B44" s="71" t="s">
        <v>170</v>
      </c>
      <c r="C44" s="71"/>
      <c r="D44" s="71"/>
      <c r="E44" s="71"/>
      <c r="F44" s="71"/>
      <c r="G44" s="71"/>
      <c r="H44" s="71"/>
      <c r="I44" s="71"/>
      <c r="J44" s="71"/>
      <c r="K44" s="71"/>
      <c r="L44" s="93"/>
      <c r="M44" s="71"/>
      <c r="N44" s="71"/>
      <c r="O44" s="72"/>
      <c r="P44" s="71"/>
      <c r="Q44" s="71"/>
      <c r="R44" s="71"/>
      <c r="S44" s="71"/>
    </row>
    <row r="45" spans="2:21">
      <c r="B45" s="71"/>
      <c r="C45" s="71"/>
      <c r="D45" s="71"/>
      <c r="E45" s="71"/>
      <c r="F45" s="71"/>
      <c r="G45" s="71"/>
      <c r="H45" s="71"/>
      <c r="I45" s="71"/>
      <c r="J45" s="86"/>
      <c r="K45" s="99"/>
      <c r="L45" s="71"/>
      <c r="M45" s="99"/>
      <c r="N45" s="71"/>
      <c r="O45" s="253">
        <f>R19+R21+R22+R35+R39</f>
        <v>0</v>
      </c>
      <c r="P45" s="71" t="s">
        <v>154</v>
      </c>
      <c r="Q45" s="71" t="s">
        <v>109</v>
      </c>
      <c r="R45" s="71"/>
      <c r="S45" s="71"/>
    </row>
    <row r="46" spans="2:21" ht="14.25" thickBot="1">
      <c r="B46" s="71"/>
      <c r="C46" s="71"/>
      <c r="D46" s="71"/>
      <c r="E46" s="71"/>
      <c r="F46" s="71"/>
      <c r="G46" s="71"/>
      <c r="H46" s="71"/>
      <c r="I46" s="71"/>
      <c r="J46" s="84"/>
      <c r="K46" s="98"/>
      <c r="L46" s="71"/>
      <c r="M46" s="98"/>
      <c r="N46" s="71"/>
      <c r="O46" s="254">
        <f>R17+R18+R20+R33+R34</f>
        <v>0</v>
      </c>
      <c r="P46" s="71" t="s">
        <v>154</v>
      </c>
      <c r="Q46" s="83" t="s">
        <v>110</v>
      </c>
      <c r="R46" s="71"/>
      <c r="S46" s="71"/>
    </row>
    <row r="47" spans="2:21" ht="15" thickTop="1" thickBot="1">
      <c r="B47" s="71"/>
      <c r="C47" s="71"/>
      <c r="D47" s="71"/>
      <c r="E47" s="71"/>
      <c r="F47" s="71"/>
      <c r="G47" s="71"/>
      <c r="H47" s="71"/>
      <c r="I47" s="71"/>
      <c r="J47" s="84"/>
      <c r="K47" s="71" t="s">
        <v>153</v>
      </c>
      <c r="L47" s="93"/>
      <c r="M47" s="97"/>
      <c r="N47" s="96" t="s">
        <v>155</v>
      </c>
      <c r="O47" s="255">
        <f>O24+O36+O39</f>
        <v>0</v>
      </c>
      <c r="P47" s="95" t="s">
        <v>154</v>
      </c>
      <c r="Q47" s="94" t="s">
        <v>169</v>
      </c>
      <c r="R47" s="76"/>
      <c r="S47" s="71"/>
      <c r="T47" s="251" t="e">
        <f>O47/E9/M39</f>
        <v>#DIV/0!</v>
      </c>
      <c r="U47" s="69" t="s">
        <v>168</v>
      </c>
    </row>
    <row r="48" spans="2:21" ht="15" thickTop="1" thickBot="1">
      <c r="B48" s="71"/>
      <c r="C48" s="71"/>
      <c r="D48" s="71"/>
      <c r="E48" s="71"/>
      <c r="F48" s="71"/>
      <c r="G48" s="71"/>
      <c r="H48" s="71"/>
      <c r="I48" s="71"/>
      <c r="J48" s="71"/>
      <c r="K48" s="71"/>
      <c r="L48" s="93"/>
      <c r="M48" s="92"/>
      <c r="N48" s="91" t="s">
        <v>153</v>
      </c>
      <c r="O48" s="256" t="e">
        <f>O47/$E$10</f>
        <v>#DIV/0!</v>
      </c>
      <c r="P48" s="90" t="s">
        <v>152</v>
      </c>
      <c r="Q48" s="89"/>
      <c r="R48" s="76"/>
      <c r="S48" s="71"/>
    </row>
    <row r="49" spans="2:19" ht="15" thickTop="1" thickBot="1">
      <c r="B49" s="71" t="s">
        <v>167</v>
      </c>
      <c r="C49" s="71" t="s">
        <v>166</v>
      </c>
      <c r="D49" s="71"/>
      <c r="E49" s="71"/>
      <c r="F49" s="71"/>
      <c r="G49" s="71"/>
      <c r="H49" s="71"/>
      <c r="I49" s="71"/>
      <c r="J49" s="71"/>
      <c r="K49" s="71"/>
      <c r="L49" s="71"/>
      <c r="M49" s="87"/>
      <c r="N49" s="71"/>
      <c r="O49" s="72"/>
      <c r="P49" s="71"/>
      <c r="Q49" s="87"/>
      <c r="R49" s="71"/>
      <c r="S49" s="71"/>
    </row>
    <row r="50" spans="2:19" ht="15" thickTop="1" thickBot="1">
      <c r="B50" s="71"/>
      <c r="C50" s="71" t="s">
        <v>165</v>
      </c>
      <c r="D50" s="71"/>
      <c r="E50" s="71"/>
      <c r="F50" s="71"/>
      <c r="G50" s="71"/>
      <c r="H50" s="571"/>
      <c r="I50" s="71" t="s">
        <v>164</v>
      </c>
      <c r="J50" s="71"/>
      <c r="K50" s="71"/>
      <c r="L50" s="71"/>
      <c r="M50" s="87"/>
      <c r="N50" s="85" t="s">
        <v>163</v>
      </c>
      <c r="O50" s="246">
        <f>O47*H50/100</f>
        <v>0</v>
      </c>
      <c r="P50" s="71" t="s">
        <v>154</v>
      </c>
      <c r="Q50" s="71" t="s">
        <v>162</v>
      </c>
      <c r="R50" s="71"/>
      <c r="S50" s="71"/>
    </row>
    <row r="51" spans="2:19" ht="14.25" thickTop="1">
      <c r="B51" s="71"/>
      <c r="C51" s="71" t="s">
        <v>161</v>
      </c>
      <c r="D51" s="71"/>
      <c r="E51" s="71"/>
      <c r="F51" s="71"/>
      <c r="G51" s="71"/>
      <c r="H51" s="71"/>
      <c r="I51" s="71"/>
      <c r="J51" s="71"/>
      <c r="K51" s="71"/>
      <c r="L51" s="71"/>
      <c r="M51" s="87"/>
      <c r="N51" s="85" t="s">
        <v>160</v>
      </c>
      <c r="O51" s="246">
        <f>IF(O50&lt;O46,O50,O46)</f>
        <v>0</v>
      </c>
      <c r="P51" s="71" t="s">
        <v>154</v>
      </c>
      <c r="Q51" s="71" t="s">
        <v>159</v>
      </c>
      <c r="R51" s="71"/>
      <c r="S51" s="71"/>
    </row>
    <row r="52" spans="2:19">
      <c r="B52" s="71"/>
      <c r="C52" s="71"/>
      <c r="D52" s="71"/>
      <c r="E52" s="71"/>
      <c r="F52" s="71"/>
      <c r="G52" s="71"/>
      <c r="H52" s="71"/>
      <c r="I52" s="71"/>
      <c r="J52" s="71"/>
      <c r="K52" s="71"/>
      <c r="L52" s="71"/>
      <c r="M52" s="71"/>
      <c r="N52" s="71"/>
      <c r="O52" s="72"/>
      <c r="P52" s="71"/>
      <c r="Q52" s="71"/>
      <c r="R52" s="71"/>
      <c r="S52" s="71"/>
    </row>
    <row r="53" spans="2:19">
      <c r="B53" s="71"/>
      <c r="C53" s="71"/>
      <c r="D53" s="71"/>
      <c r="E53" s="71"/>
      <c r="F53" s="71"/>
      <c r="G53" s="71"/>
      <c r="H53" s="71"/>
      <c r="I53" s="71"/>
      <c r="J53" s="86" t="s">
        <v>158</v>
      </c>
      <c r="K53" s="71"/>
      <c r="L53" s="71"/>
      <c r="M53" s="71"/>
      <c r="N53" s="71"/>
      <c r="O53" s="257">
        <f>O45</f>
        <v>0</v>
      </c>
      <c r="P53" s="71" t="s">
        <v>154</v>
      </c>
      <c r="Q53" s="71" t="s">
        <v>109</v>
      </c>
      <c r="R53" s="71"/>
      <c r="S53" s="71"/>
    </row>
    <row r="54" spans="2:19" ht="14.25" thickBot="1">
      <c r="B54" s="71"/>
      <c r="C54" s="71"/>
      <c r="D54" s="71"/>
      <c r="E54" s="71"/>
      <c r="F54" s="71"/>
      <c r="G54" s="85"/>
      <c r="H54" s="71"/>
      <c r="I54" s="71"/>
      <c r="J54" s="84" t="s">
        <v>157</v>
      </c>
      <c r="K54" s="71"/>
      <c r="L54" s="71"/>
      <c r="M54" s="71"/>
      <c r="N54" s="71"/>
      <c r="O54" s="258">
        <f>O46-O51</f>
        <v>0</v>
      </c>
      <c r="P54" s="71" t="s">
        <v>154</v>
      </c>
      <c r="Q54" s="83" t="s">
        <v>156</v>
      </c>
      <c r="R54" s="71"/>
      <c r="S54" s="71"/>
    </row>
    <row r="55" spans="2:19" ht="15" thickTop="1" thickBot="1">
      <c r="B55" s="71"/>
      <c r="C55" s="71"/>
      <c r="D55" s="71"/>
      <c r="E55" s="71"/>
      <c r="F55" s="71"/>
      <c r="G55" s="71"/>
      <c r="H55" s="71"/>
      <c r="I55" s="71"/>
      <c r="J55" s="71"/>
      <c r="K55" s="71"/>
      <c r="L55" s="71"/>
      <c r="M55" s="71"/>
      <c r="N55" s="82" t="s">
        <v>155</v>
      </c>
      <c r="O55" s="259">
        <f>SUM(O53:O54)</f>
        <v>0</v>
      </c>
      <c r="P55" s="81" t="s">
        <v>154</v>
      </c>
      <c r="Q55" s="80"/>
      <c r="S55" s="71"/>
    </row>
    <row r="56" spans="2:19" ht="15" thickTop="1" thickBot="1">
      <c r="B56" s="71"/>
      <c r="D56" s="71"/>
      <c r="E56" s="71"/>
      <c r="F56" s="71"/>
      <c r="G56" s="71"/>
      <c r="H56" s="71"/>
      <c r="I56" s="71"/>
      <c r="J56" s="71"/>
      <c r="K56" s="71"/>
      <c r="L56" s="71"/>
      <c r="M56" s="71"/>
      <c r="N56" s="79" t="s">
        <v>153</v>
      </c>
      <c r="O56" s="260" t="e">
        <f>O55/$E$10</f>
        <v>#DIV/0!</v>
      </c>
      <c r="P56" s="78" t="s">
        <v>152</v>
      </c>
      <c r="Q56" s="77"/>
      <c r="R56" s="76"/>
      <c r="S56" s="71"/>
    </row>
    <row r="57" spans="2:19" ht="14.25" thickTop="1">
      <c r="B57" s="71"/>
      <c r="C57" s="71" t="s">
        <v>151</v>
      </c>
      <c r="D57" s="71"/>
      <c r="E57" s="71"/>
      <c r="F57" s="71"/>
      <c r="G57" s="71"/>
      <c r="H57" s="71"/>
      <c r="I57" s="71"/>
      <c r="J57" s="71"/>
      <c r="K57" s="71"/>
      <c r="L57" s="71"/>
      <c r="M57" s="71"/>
      <c r="N57" s="75"/>
      <c r="O57" s="74"/>
      <c r="P57" s="73"/>
      <c r="R57" s="71"/>
      <c r="S57" s="71"/>
    </row>
    <row r="58" spans="2:19">
      <c r="B58" s="71"/>
      <c r="C58" s="71" t="s">
        <v>150</v>
      </c>
      <c r="D58" s="71"/>
      <c r="E58" s="71"/>
      <c r="F58" s="71"/>
      <c r="G58" s="71"/>
      <c r="H58" s="71"/>
      <c r="I58" s="71"/>
      <c r="J58" s="71"/>
      <c r="K58" s="71"/>
      <c r="L58" s="71"/>
      <c r="M58" s="71"/>
      <c r="N58" s="71"/>
      <c r="O58" s="72"/>
      <c r="P58" s="71"/>
      <c r="Q58" s="71"/>
      <c r="R58" s="71"/>
      <c r="S58" s="71"/>
    </row>
    <row r="59" spans="2:19">
      <c r="B59" s="71"/>
      <c r="C59" s="71" t="s">
        <v>149</v>
      </c>
      <c r="D59" s="71"/>
      <c r="E59" s="71"/>
      <c r="F59" s="71"/>
      <c r="G59" s="71"/>
      <c r="H59" s="71"/>
      <c r="I59" s="71"/>
      <c r="J59" s="71"/>
      <c r="K59" s="71"/>
      <c r="L59" s="71"/>
      <c r="M59" s="71"/>
      <c r="N59" s="71"/>
      <c r="O59" s="72"/>
      <c r="P59" s="71"/>
      <c r="Q59" s="71"/>
      <c r="R59" s="71"/>
      <c r="S59" s="71"/>
    </row>
    <row r="60" spans="2:19">
      <c r="B60" s="71"/>
      <c r="C60" s="71" t="s">
        <v>148</v>
      </c>
      <c r="D60" s="71"/>
      <c r="E60" s="71"/>
      <c r="F60" s="71"/>
      <c r="G60" s="71"/>
      <c r="H60" s="71"/>
      <c r="I60" s="71"/>
      <c r="J60" s="71"/>
      <c r="K60" s="71"/>
      <c r="L60" s="71"/>
      <c r="M60" s="71"/>
      <c r="N60" s="71"/>
      <c r="O60" s="72"/>
      <c r="P60" s="71"/>
      <c r="Q60" s="71"/>
      <c r="R60" s="71"/>
      <c r="S60" s="71"/>
    </row>
    <row r="61" spans="2:19">
      <c r="B61" s="71"/>
      <c r="C61" s="71" t="s">
        <v>147</v>
      </c>
      <c r="D61" s="71"/>
      <c r="E61" s="71"/>
      <c r="F61" s="71"/>
      <c r="G61" s="71"/>
      <c r="H61" s="71"/>
      <c r="I61" s="71"/>
      <c r="J61" s="71"/>
      <c r="K61" s="71"/>
      <c r="L61" s="71"/>
      <c r="M61" s="71"/>
      <c r="N61" s="71"/>
      <c r="O61" s="72"/>
      <c r="P61" s="71"/>
      <c r="Q61" s="71"/>
      <c r="R61" s="71"/>
      <c r="S61" s="71"/>
    </row>
    <row r="62" spans="2:19">
      <c r="B62" s="71"/>
      <c r="C62" s="71" t="s">
        <v>146</v>
      </c>
      <c r="D62" s="71"/>
      <c r="E62" s="71"/>
      <c r="F62" s="71"/>
      <c r="G62" s="71"/>
      <c r="H62" s="71"/>
      <c r="I62" s="71"/>
      <c r="J62" s="71"/>
      <c r="K62" s="71"/>
      <c r="L62" s="71"/>
      <c r="M62" s="71"/>
      <c r="N62" s="71"/>
      <c r="O62" s="72"/>
      <c r="P62" s="71"/>
      <c r="Q62" s="71"/>
      <c r="R62" s="71"/>
      <c r="S62" s="71"/>
    </row>
    <row r="63" spans="2:19">
      <c r="C63" s="71" t="s">
        <v>145</v>
      </c>
    </row>
  </sheetData>
  <sheetProtection algorithmName="SHA-512" hashValue="FZgpgl5xpAkqiQFUYsp/1B2y6QoukO3kE46oPoHyEudDTL/yGZsEMV4icmSq6ioc7b9f61q6AlouWxi0fI7OQg==" saltValue="EGDJIC4DsunRXuzeCnbCAA==" spinCount="100000" sheet="1" objects="1" scenarios="1"/>
  <phoneticPr fontId="3"/>
  <pageMargins left="0.78740157480314965" right="0.78740157480314965" top="0.98425196850393704" bottom="0.98425196850393704" header="0.51181102362204722" footer="0.51181102362204722"/>
  <pageSetup paperSize="9" scale="57"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pageSetUpPr fitToPage="1"/>
  </sheetPr>
  <dimension ref="A1:R63"/>
  <sheetViews>
    <sheetView showGridLines="0" workbookViewId="0">
      <selection activeCell="O2" sqref="O2"/>
    </sheetView>
  </sheetViews>
  <sheetFormatPr defaultColWidth="0" defaultRowHeight="13.5" zeroHeight="1"/>
  <cols>
    <col min="1" max="1" width="1.125" customWidth="1"/>
    <col min="2" max="2" width="9" customWidth="1"/>
    <col min="3" max="3" width="25" customWidth="1"/>
    <col min="4" max="11" width="9" customWidth="1"/>
    <col min="12" max="12" width="1.5" customWidth="1"/>
    <col min="13" max="14" width="9" customWidth="1"/>
    <col min="15" max="15" width="16.625" customWidth="1"/>
    <col min="16" max="16" width="9" hidden="1" customWidth="1"/>
    <col min="17" max="17" width="15.875" hidden="1" customWidth="1"/>
    <col min="18" max="16384" width="9" hidden="1"/>
  </cols>
  <sheetData>
    <row r="1" spans="1:15">
      <c r="A1" s="178" t="s">
        <v>322</v>
      </c>
      <c r="D1" s="178" t="s">
        <v>323</v>
      </c>
    </row>
    <row r="2" spans="1:15">
      <c r="A2" s="178"/>
      <c r="B2" s="178" t="s">
        <v>324</v>
      </c>
      <c r="O2" s="777" t="str">
        <f>オフィス評価結果!M5</f>
        <v>v1.21</v>
      </c>
    </row>
    <row r="3" spans="1:15">
      <c r="A3" s="178"/>
      <c r="B3" s="178"/>
    </row>
    <row r="4" spans="1:15">
      <c r="B4" s="46" t="s">
        <v>313</v>
      </c>
    </row>
    <row r="5" spans="1:15">
      <c r="B5" s="178"/>
    </row>
    <row r="6" spans="1:15">
      <c r="C6" s="173" t="s">
        <v>305</v>
      </c>
      <c r="D6" s="174"/>
      <c r="E6" t="s">
        <v>306</v>
      </c>
    </row>
    <row r="7" spans="1:15">
      <c r="C7" s="173"/>
      <c r="D7" s="187" t="s">
        <v>916</v>
      </c>
      <c r="G7" s="519"/>
    </row>
    <row r="8" spans="1:15">
      <c r="C8" s="173" t="s">
        <v>304</v>
      </c>
      <c r="D8" s="172"/>
      <c r="E8" t="s">
        <v>311</v>
      </c>
    </row>
    <row r="9" spans="1:15"/>
    <row r="10" spans="1:15" ht="45">
      <c r="E10" s="170" t="s">
        <v>128</v>
      </c>
      <c r="F10" s="170" t="s">
        <v>129</v>
      </c>
      <c r="G10" s="170" t="s">
        <v>130</v>
      </c>
      <c r="H10" s="170" t="s">
        <v>131</v>
      </c>
      <c r="I10" s="170" t="s">
        <v>132</v>
      </c>
      <c r="J10" s="170" t="s">
        <v>133</v>
      </c>
      <c r="K10" s="747" t="s">
        <v>922</v>
      </c>
      <c r="M10" s="170" t="s">
        <v>155</v>
      </c>
    </row>
    <row r="11" spans="1:15">
      <c r="B11" s="6" t="s">
        <v>307</v>
      </c>
      <c r="C11" s="6"/>
      <c r="D11" t="s">
        <v>96</v>
      </c>
      <c r="E11" s="198"/>
      <c r="F11" s="198">
        <v>3000</v>
      </c>
      <c r="G11" s="198"/>
      <c r="H11" s="198"/>
      <c r="I11" s="198">
        <v>5000</v>
      </c>
      <c r="J11" s="198"/>
      <c r="K11" s="198"/>
      <c r="M11" s="45">
        <f>SUM(E11:L11)</f>
        <v>8000</v>
      </c>
      <c r="N11" s="186" t="s">
        <v>308</v>
      </c>
    </row>
    <row r="12" spans="1:15">
      <c r="D12" t="s">
        <v>303</v>
      </c>
      <c r="E12" s="171">
        <f>E11/$M$11</f>
        <v>0</v>
      </c>
      <c r="F12" s="171">
        <f t="shared" ref="F12:K12" si="0">F11/$M$11</f>
        <v>0.375</v>
      </c>
      <c r="G12" s="171">
        <f t="shared" si="0"/>
        <v>0</v>
      </c>
      <c r="H12" s="171">
        <f t="shared" si="0"/>
        <v>0</v>
      </c>
      <c r="I12" s="171">
        <f t="shared" si="0"/>
        <v>0.625</v>
      </c>
      <c r="J12" s="171">
        <f t="shared" si="0"/>
        <v>0</v>
      </c>
      <c r="K12" s="171">
        <f t="shared" si="0"/>
        <v>0</v>
      </c>
      <c r="M12" s="171">
        <f>SUM(E12:L12)</f>
        <v>1</v>
      </c>
    </row>
    <row r="13" spans="1:15"/>
    <row r="14" spans="1:15">
      <c r="D14" t="s">
        <v>302</v>
      </c>
    </row>
    <row r="15" spans="1:15">
      <c r="B15" s="6" t="s">
        <v>312</v>
      </c>
      <c r="C15" s="6"/>
    </row>
    <row r="16" spans="1:15">
      <c r="B16" s="180"/>
      <c r="C16" s="187" t="s">
        <v>315</v>
      </c>
    </row>
    <row r="17" spans="2:18">
      <c r="B17" s="33">
        <v>1.1000000000000001</v>
      </c>
      <c r="C17" s="34" t="s">
        <v>31</v>
      </c>
      <c r="D17" s="172">
        <f>SUMPRODUCT($E$12:$L$12,E17:L17)</f>
        <v>0</v>
      </c>
      <c r="E17" s="199"/>
      <c r="F17" s="199"/>
      <c r="G17" s="199"/>
      <c r="H17" s="199"/>
      <c r="I17" s="199"/>
      <c r="J17" s="199"/>
      <c r="K17" s="199"/>
      <c r="L17" s="186" t="s">
        <v>741</v>
      </c>
      <c r="M17" s="188"/>
    </row>
    <row r="18" spans="2:18">
      <c r="B18" s="33" t="s">
        <v>32</v>
      </c>
      <c r="C18" s="34" t="s">
        <v>33</v>
      </c>
      <c r="D18" s="172">
        <f>SUMPRODUCT($E$12:$L$12,E18:L18)</f>
        <v>0</v>
      </c>
      <c r="E18" s="199"/>
      <c r="F18" s="199"/>
      <c r="G18" s="199"/>
      <c r="H18" s="199"/>
      <c r="I18" s="199"/>
      <c r="J18" s="199"/>
      <c r="K18" s="199"/>
      <c r="L18" s="186" t="s">
        <v>309</v>
      </c>
    </row>
    <row r="19" spans="2:18">
      <c r="B19" s="33"/>
      <c r="C19" s="33"/>
      <c r="D19" s="33"/>
      <c r="E19" s="33"/>
      <c r="F19" s="33"/>
      <c r="G19" s="33"/>
      <c r="H19" s="33"/>
      <c r="I19" s="33"/>
      <c r="J19" s="33"/>
      <c r="K19" s="33"/>
      <c r="M19" s="33"/>
      <c r="N19" s="33"/>
      <c r="O19" s="33"/>
    </row>
    <row r="20" spans="2:18">
      <c r="C20" s="62" t="s">
        <v>134</v>
      </c>
      <c r="D20" s="62"/>
      <c r="E20" s="62"/>
      <c r="F20" s="62"/>
      <c r="G20" s="66" t="s">
        <v>135</v>
      </c>
      <c r="H20" s="62"/>
    </row>
    <row r="21" spans="2:18">
      <c r="C21" s="67"/>
      <c r="D21" s="65" t="s">
        <v>303</v>
      </c>
      <c r="E21" s="65" t="s">
        <v>138</v>
      </c>
      <c r="F21" s="65" t="s">
        <v>139</v>
      </c>
      <c r="G21" s="65" t="s">
        <v>140</v>
      </c>
      <c r="H21" s="65" t="s">
        <v>141</v>
      </c>
      <c r="I21" s="511" t="s">
        <v>739</v>
      </c>
      <c r="J21" s="65" t="s">
        <v>100</v>
      </c>
      <c r="Q21" s="510" t="s">
        <v>725</v>
      </c>
      <c r="R21" s="1"/>
    </row>
    <row r="22" spans="2:18">
      <c r="C22" s="206" t="s">
        <v>128</v>
      </c>
      <c r="D22" s="184">
        <f>E12</f>
        <v>0</v>
      </c>
      <c r="E22" s="207">
        <v>1450</v>
      </c>
      <c r="F22" s="207">
        <v>2080</v>
      </c>
      <c r="G22" s="207">
        <v>2900</v>
      </c>
      <c r="H22" s="207">
        <v>3790</v>
      </c>
      <c r="I22" s="512">
        <f>R22</f>
        <v>2739</v>
      </c>
      <c r="J22" s="200"/>
      <c r="K22" s="186" t="s">
        <v>310</v>
      </c>
      <c r="Q22" s="1" t="s">
        <v>726</v>
      </c>
      <c r="R22" s="498">
        <v>2739</v>
      </c>
    </row>
    <row r="23" spans="2:18">
      <c r="C23" s="206" t="s">
        <v>129</v>
      </c>
      <c r="D23" s="184">
        <f>F12</f>
        <v>0.375</v>
      </c>
      <c r="E23" s="208">
        <v>10440</v>
      </c>
      <c r="F23" s="208">
        <v>15470</v>
      </c>
      <c r="G23" s="208">
        <v>23060</v>
      </c>
      <c r="H23" s="208">
        <v>32010</v>
      </c>
      <c r="I23" s="512">
        <f>R23</f>
        <v>19826</v>
      </c>
      <c r="J23" s="200"/>
      <c r="Q23" s="1" t="s">
        <v>727</v>
      </c>
      <c r="R23" s="498">
        <v>19826</v>
      </c>
    </row>
    <row r="24" spans="2:18">
      <c r="C24" s="206" t="s">
        <v>327</v>
      </c>
      <c r="D24" s="184">
        <f>G12</f>
        <v>0</v>
      </c>
      <c r="E24" s="208">
        <f>IF($L$24=$L$25,E25,IF($L$24=$L$26,E26,E27))</f>
        <v>6120</v>
      </c>
      <c r="F24" s="208">
        <f>IF($L$24=$L$25,F25,IF($L$24=$L$26,F26,F27))</f>
        <v>7440</v>
      </c>
      <c r="G24" s="208">
        <f>IF($L$24=$L$25,G25,IF($L$24=$L$26,G26,G27))</f>
        <v>8760</v>
      </c>
      <c r="H24" s="208">
        <f>IF($L$24=$L$25,H25,IF($L$24=$L$26,H26,H27))</f>
        <v>10230</v>
      </c>
      <c r="I24" s="512">
        <f>R24</f>
        <v>8190</v>
      </c>
      <c r="J24" s="200"/>
      <c r="K24" s="188" t="s">
        <v>333</v>
      </c>
      <c r="L24" s="188" t="str">
        <f>IF(G11&lt;K25,L25,IF(G11&lt;K26,L26,L27))</f>
        <v>2千㎡未満</v>
      </c>
      <c r="Q24" s="1" t="s">
        <v>728</v>
      </c>
      <c r="R24" s="498">
        <f>IF(G11&lt;2000,R25,IF(G11&lt;10000,R26,R27))</f>
        <v>8190</v>
      </c>
    </row>
    <row r="25" spans="2:18" hidden="1">
      <c r="C25" s="499" t="s">
        <v>329</v>
      </c>
      <c r="D25" s="500"/>
      <c r="E25" s="515">
        <v>6120</v>
      </c>
      <c r="F25" s="515">
        <v>7440</v>
      </c>
      <c r="G25" s="515">
        <v>8760</v>
      </c>
      <c r="H25" s="515">
        <v>10230</v>
      </c>
      <c r="I25" s="513"/>
      <c r="J25" s="517"/>
      <c r="K25" s="518">
        <v>2000</v>
      </c>
      <c r="L25" s="518" t="s">
        <v>334</v>
      </c>
      <c r="M25" s="502"/>
      <c r="N25" s="502"/>
      <c r="O25" s="502"/>
      <c r="P25" s="502"/>
      <c r="Q25" s="503" t="s">
        <v>732</v>
      </c>
      <c r="R25" s="504">
        <v>8190</v>
      </c>
    </row>
    <row r="26" spans="2:18" hidden="1">
      <c r="C26" s="499" t="s">
        <v>330</v>
      </c>
      <c r="D26" s="500"/>
      <c r="E26" s="515">
        <v>3740</v>
      </c>
      <c r="F26" s="515">
        <v>4900</v>
      </c>
      <c r="G26" s="515">
        <v>6350</v>
      </c>
      <c r="H26" s="515">
        <v>7240</v>
      </c>
      <c r="I26" s="513"/>
      <c r="J26" s="517"/>
      <c r="K26" s="518">
        <v>10000</v>
      </c>
      <c r="L26" s="518" t="s">
        <v>335</v>
      </c>
      <c r="M26" s="502"/>
      <c r="N26" s="502"/>
      <c r="O26" s="502"/>
      <c r="P26" s="502"/>
      <c r="Q26" s="503" t="s">
        <v>733</v>
      </c>
      <c r="R26" s="504">
        <v>5735</v>
      </c>
    </row>
    <row r="27" spans="2:18" hidden="1">
      <c r="C27" s="499" t="s">
        <v>331</v>
      </c>
      <c r="D27" s="500"/>
      <c r="E27" s="515">
        <v>2460</v>
      </c>
      <c r="F27" s="515">
        <v>3080</v>
      </c>
      <c r="G27" s="515">
        <v>3700</v>
      </c>
      <c r="H27" s="515">
        <v>4390</v>
      </c>
      <c r="I27" s="513"/>
      <c r="J27" s="517"/>
      <c r="K27" s="518"/>
      <c r="L27" s="518" t="s">
        <v>336</v>
      </c>
      <c r="M27" s="502"/>
      <c r="N27" s="502"/>
      <c r="O27" s="502"/>
      <c r="P27" s="502"/>
      <c r="Q27" s="503" t="s">
        <v>734</v>
      </c>
      <c r="R27" s="504">
        <v>3450</v>
      </c>
    </row>
    <row r="28" spans="2:18">
      <c r="C28" s="206" t="s">
        <v>131</v>
      </c>
      <c r="D28" s="184">
        <f>H12</f>
        <v>0</v>
      </c>
      <c r="E28" s="208">
        <v>2280</v>
      </c>
      <c r="F28" s="208">
        <v>2740</v>
      </c>
      <c r="G28" s="208">
        <v>3500</v>
      </c>
      <c r="H28" s="208">
        <v>4170</v>
      </c>
      <c r="I28" s="512">
        <f>R28</f>
        <v>3140</v>
      </c>
      <c r="J28" s="200"/>
      <c r="K28" s="188"/>
      <c r="L28" s="188"/>
      <c r="Q28" s="1" t="s">
        <v>729</v>
      </c>
      <c r="R28" s="498">
        <v>3140</v>
      </c>
    </row>
    <row r="29" spans="2:18">
      <c r="C29" s="206" t="s">
        <v>328</v>
      </c>
      <c r="D29" s="184">
        <f>I12</f>
        <v>0.625</v>
      </c>
      <c r="E29" s="208">
        <v>10740</v>
      </c>
      <c r="F29" s="207">
        <v>12410</v>
      </c>
      <c r="G29" s="207">
        <v>15360</v>
      </c>
      <c r="H29" s="207">
        <v>17470</v>
      </c>
      <c r="I29" s="512">
        <f>R29</f>
        <v>14180</v>
      </c>
      <c r="J29" s="200"/>
      <c r="Q29" s="1" t="s">
        <v>730</v>
      </c>
      <c r="R29" s="498">
        <v>14180</v>
      </c>
    </row>
    <row r="30" spans="2:18">
      <c r="C30" s="206" t="s">
        <v>133</v>
      </c>
      <c r="D30" s="184">
        <f>J12</f>
        <v>0</v>
      </c>
      <c r="E30" s="208">
        <v>1040</v>
      </c>
      <c r="F30" s="207">
        <v>1370</v>
      </c>
      <c r="G30" s="207">
        <v>1780</v>
      </c>
      <c r="H30" s="207">
        <v>2330</v>
      </c>
      <c r="I30" s="512">
        <f>R30</f>
        <v>1676</v>
      </c>
      <c r="J30" s="200"/>
      <c r="Q30" s="1" t="s">
        <v>735</v>
      </c>
      <c r="R30" s="498">
        <f>IF(J11&lt;10000,R31,IF(J11&lt;30000,R32,R33))</f>
        <v>1676</v>
      </c>
    </row>
    <row r="31" spans="2:18" hidden="1">
      <c r="C31" s="499"/>
      <c r="D31" s="506"/>
      <c r="E31" s="515"/>
      <c r="F31" s="516"/>
      <c r="G31" s="516"/>
      <c r="H31" s="516"/>
      <c r="I31" s="513"/>
      <c r="J31" s="517"/>
      <c r="K31" s="502"/>
      <c r="L31" s="502"/>
      <c r="M31" s="502"/>
      <c r="N31" s="502"/>
      <c r="O31" s="502"/>
      <c r="P31" s="502"/>
      <c r="Q31" s="503" t="s">
        <v>97</v>
      </c>
      <c r="R31" s="504">
        <v>1676</v>
      </c>
    </row>
    <row r="32" spans="2:18" hidden="1">
      <c r="C32" s="499"/>
      <c r="D32" s="506"/>
      <c r="E32" s="515"/>
      <c r="F32" s="516"/>
      <c r="G32" s="516"/>
      <c r="H32" s="516"/>
      <c r="I32" s="513"/>
      <c r="J32" s="517"/>
      <c r="K32" s="502"/>
      <c r="L32" s="502"/>
      <c r="M32" s="502"/>
      <c r="N32" s="502"/>
      <c r="O32" s="502"/>
      <c r="P32" s="502"/>
      <c r="Q32" s="503" t="s">
        <v>736</v>
      </c>
      <c r="R32" s="504">
        <v>2068</v>
      </c>
    </row>
    <row r="33" spans="2:18" hidden="1">
      <c r="C33" s="499"/>
      <c r="D33" s="506"/>
      <c r="E33" s="515"/>
      <c r="F33" s="516"/>
      <c r="G33" s="516"/>
      <c r="H33" s="516"/>
      <c r="I33" s="513"/>
      <c r="J33" s="517"/>
      <c r="K33" s="502"/>
      <c r="L33" s="502"/>
      <c r="M33" s="502"/>
      <c r="N33" s="502"/>
      <c r="O33" s="502"/>
      <c r="P33" s="502"/>
      <c r="Q33" s="503" t="s">
        <v>737</v>
      </c>
      <c r="R33" s="504">
        <v>2526</v>
      </c>
    </row>
    <row r="34" spans="2:18" ht="14.25" thickBot="1">
      <c r="C34" s="206" t="s">
        <v>923</v>
      </c>
      <c r="D34" s="185">
        <f>K12</f>
        <v>0</v>
      </c>
      <c r="E34" s="208">
        <v>1450</v>
      </c>
      <c r="F34" s="208">
        <v>2080</v>
      </c>
      <c r="G34" s="208">
        <v>2900</v>
      </c>
      <c r="H34" s="208">
        <v>3790</v>
      </c>
      <c r="I34" s="512">
        <f>R34</f>
        <v>2739</v>
      </c>
      <c r="J34" s="200"/>
      <c r="Q34" s="497" t="s">
        <v>731</v>
      </c>
      <c r="R34" s="507">
        <v>2739</v>
      </c>
    </row>
    <row r="35" spans="2:18" ht="14.25" thickBot="1">
      <c r="C35" s="175" t="s">
        <v>144</v>
      </c>
      <c r="D35" s="176"/>
      <c r="E35" s="176">
        <f>SUMPRODUCT($D$22:$D$34,E22:E34)</f>
        <v>10627.5</v>
      </c>
      <c r="F35" s="176">
        <f>SUMPRODUCT($D$22:$D$34,F22:F34)</f>
        <v>13557.5</v>
      </c>
      <c r="G35" s="176">
        <f>SUMPRODUCT($D$22:$D$34,G22:G34)</f>
        <v>18247.5</v>
      </c>
      <c r="H35" s="177">
        <f>SUMPRODUCT($D$22:$D$34,H22:H34)</f>
        <v>22922.5</v>
      </c>
    </row>
    <row r="36" spans="2:18">
      <c r="D36" s="743"/>
    </row>
    <row r="37" spans="2:18">
      <c r="D37" s="743"/>
    </row>
    <row r="38" spans="2:18">
      <c r="B38" s="36" t="s">
        <v>36</v>
      </c>
      <c r="C38" s="36"/>
    </row>
    <row r="39" spans="2:18">
      <c r="B39" s="33" t="s">
        <v>39</v>
      </c>
      <c r="C39" s="34" t="s">
        <v>40</v>
      </c>
      <c r="D39" s="172">
        <f>SUMPRODUCT($E$12:$L$12,E39:L39)</f>
        <v>0</v>
      </c>
      <c r="E39" s="199"/>
      <c r="F39" s="199"/>
      <c r="G39" s="199"/>
      <c r="H39" s="199"/>
      <c r="I39" s="199"/>
      <c r="J39" s="199"/>
      <c r="K39" s="199"/>
      <c r="L39" s="186" t="s">
        <v>741</v>
      </c>
      <c r="M39" s="179"/>
    </row>
    <row r="40" spans="2:18">
      <c r="B40" s="33">
        <v>2.2999999999999998</v>
      </c>
      <c r="C40" s="34" t="s">
        <v>314</v>
      </c>
      <c r="D40" s="172">
        <f>SUMPRODUCT($E$12:$L$12,E40:L40)</f>
        <v>0</v>
      </c>
      <c r="E40" s="199"/>
      <c r="F40" s="199"/>
      <c r="G40" s="199"/>
      <c r="H40" s="199"/>
      <c r="I40" s="199"/>
      <c r="J40" s="199"/>
      <c r="K40" s="199"/>
      <c r="L40" s="186" t="s">
        <v>309</v>
      </c>
      <c r="M40" s="179"/>
    </row>
    <row r="41" spans="2:18">
      <c r="E41" s="11"/>
    </row>
    <row r="42" spans="2:18">
      <c r="C42" s="62" t="s">
        <v>136</v>
      </c>
      <c r="D42" s="62"/>
      <c r="E42" s="62"/>
      <c r="F42" s="62"/>
      <c r="G42" s="66" t="s">
        <v>137</v>
      </c>
    </row>
    <row r="43" spans="2:18">
      <c r="C43" s="67"/>
      <c r="D43" s="65" t="s">
        <v>303</v>
      </c>
      <c r="E43" s="65" t="s">
        <v>138</v>
      </c>
      <c r="F43" s="65" t="s">
        <v>139</v>
      </c>
      <c r="G43" s="65" t="s">
        <v>140</v>
      </c>
      <c r="H43" s="65" t="s">
        <v>141</v>
      </c>
      <c r="J43" s="65" t="s">
        <v>100</v>
      </c>
    </row>
    <row r="44" spans="2:18">
      <c r="C44" s="63" t="s">
        <v>128</v>
      </c>
      <c r="D44" s="182">
        <f>E12</f>
        <v>0</v>
      </c>
      <c r="E44" s="64">
        <v>404</v>
      </c>
      <c r="F44" s="64">
        <v>1102</v>
      </c>
      <c r="G44" s="64">
        <v>1731</v>
      </c>
      <c r="H44" s="64">
        <v>3089</v>
      </c>
      <c r="J44" s="200"/>
      <c r="K44" s="186" t="s">
        <v>318</v>
      </c>
    </row>
    <row r="45" spans="2:18">
      <c r="C45" s="63" t="s">
        <v>129</v>
      </c>
      <c r="D45" s="182">
        <f>F12</f>
        <v>0.375</v>
      </c>
      <c r="E45" s="64">
        <v>14205</v>
      </c>
      <c r="F45" s="64">
        <v>21053</v>
      </c>
      <c r="G45" s="64">
        <v>30404</v>
      </c>
      <c r="H45" s="64">
        <v>36641</v>
      </c>
      <c r="J45" s="200"/>
    </row>
    <row r="46" spans="2:18">
      <c r="C46" s="63" t="s">
        <v>332</v>
      </c>
      <c r="D46" s="182">
        <f>G12</f>
        <v>0</v>
      </c>
      <c r="E46" s="64">
        <v>1267</v>
      </c>
      <c r="F46" s="64">
        <v>1901</v>
      </c>
      <c r="G46" s="64">
        <v>2780</v>
      </c>
      <c r="H46" s="64">
        <v>3800</v>
      </c>
      <c r="J46" s="200"/>
    </row>
    <row r="47" spans="2:18">
      <c r="C47" s="63" t="s">
        <v>143</v>
      </c>
      <c r="D47" s="182">
        <f>H12</f>
        <v>0</v>
      </c>
      <c r="E47" s="64">
        <v>404</v>
      </c>
      <c r="F47" s="64">
        <v>1102</v>
      </c>
      <c r="G47" s="64">
        <v>1731</v>
      </c>
      <c r="H47" s="64">
        <v>3089</v>
      </c>
      <c r="J47" s="200"/>
    </row>
    <row r="48" spans="2:18">
      <c r="C48" s="63" t="s">
        <v>328</v>
      </c>
      <c r="D48" s="182">
        <f>I12</f>
        <v>0.625</v>
      </c>
      <c r="E48" s="64">
        <v>2000</v>
      </c>
      <c r="F48" s="64">
        <v>2700</v>
      </c>
      <c r="G48" s="64">
        <v>3750</v>
      </c>
      <c r="H48" s="64">
        <v>5000</v>
      </c>
      <c r="J48" s="200"/>
    </row>
    <row r="49" spans="2:13">
      <c r="C49" s="63" t="s">
        <v>133</v>
      </c>
      <c r="D49" s="182">
        <f>J12</f>
        <v>0</v>
      </c>
      <c r="E49" s="64">
        <v>490</v>
      </c>
      <c r="F49" s="64">
        <v>693</v>
      </c>
      <c r="G49" s="64">
        <v>975</v>
      </c>
      <c r="H49" s="64">
        <v>1293</v>
      </c>
      <c r="J49" s="200"/>
    </row>
    <row r="50" spans="2:13" ht="14.25" thickBot="1">
      <c r="C50" s="206" t="s">
        <v>923</v>
      </c>
      <c r="D50" s="183">
        <f>K12</f>
        <v>0</v>
      </c>
      <c r="E50" s="64">
        <v>404</v>
      </c>
      <c r="F50" s="64">
        <v>1102</v>
      </c>
      <c r="G50" s="64">
        <v>1731</v>
      </c>
      <c r="H50" s="64">
        <v>3089</v>
      </c>
      <c r="J50" s="200"/>
    </row>
    <row r="51" spans="2:13" ht="14.25" thickBot="1">
      <c r="C51" s="175" t="s">
        <v>144</v>
      </c>
      <c r="D51" s="176"/>
      <c r="E51" s="176">
        <f>SUMPRODUCT($D$44:$D$50,E44:E50)</f>
        <v>6576.875</v>
      </c>
      <c r="F51" s="176">
        <f>SUMPRODUCT($D$44:$D$50,F44:F50)</f>
        <v>9582.375</v>
      </c>
      <c r="G51" s="176">
        <f>SUMPRODUCT($D$44:$D$50,G44:G50)</f>
        <v>13745.25</v>
      </c>
      <c r="H51" s="177">
        <f>SUMPRODUCT($D$44:$D$50,H44:H50)</f>
        <v>16865.375</v>
      </c>
    </row>
    <row r="52" spans="2:13">
      <c r="E52" s="11"/>
    </row>
    <row r="53" spans="2:13" ht="45">
      <c r="E53" s="170" t="s">
        <v>128</v>
      </c>
      <c r="F53" s="170" t="s">
        <v>129</v>
      </c>
      <c r="G53" s="170" t="s">
        <v>130</v>
      </c>
      <c r="H53" s="170" t="s">
        <v>131</v>
      </c>
      <c r="I53" s="170" t="s">
        <v>132</v>
      </c>
      <c r="J53" s="170" t="s">
        <v>133</v>
      </c>
      <c r="K53" s="747" t="s">
        <v>922</v>
      </c>
      <c r="M53" s="170" t="s">
        <v>155</v>
      </c>
    </row>
    <row r="54" spans="2:13">
      <c r="B54" s="36" t="s">
        <v>61</v>
      </c>
      <c r="C54" s="36"/>
      <c r="F54" s="11"/>
      <c r="G54" s="42"/>
    </row>
    <row r="55" spans="2:13">
      <c r="B55" s="33" t="s">
        <v>62</v>
      </c>
      <c r="C55" s="34" t="s">
        <v>301</v>
      </c>
      <c r="D55" s="172">
        <f>D56*2/3+D58*1/3</f>
        <v>5</v>
      </c>
    </row>
    <row r="56" spans="2:13">
      <c r="B56" s="52" t="s">
        <v>378</v>
      </c>
      <c r="C56" s="53" t="s">
        <v>123</v>
      </c>
      <c r="D56" s="172">
        <f>SUMPRODUCT(E57:L57,E56:L56)/M57</f>
        <v>5</v>
      </c>
      <c r="E56" s="199"/>
      <c r="F56" s="199">
        <v>5</v>
      </c>
      <c r="G56" s="199"/>
      <c r="H56" s="199"/>
      <c r="I56" s="199">
        <v>5</v>
      </c>
      <c r="K56" s="199"/>
      <c r="L56" s="186" t="s">
        <v>309</v>
      </c>
    </row>
    <row r="57" spans="2:13">
      <c r="B57" s="52"/>
      <c r="C57" s="42" t="s">
        <v>958</v>
      </c>
      <c r="D57" s="53"/>
      <c r="E57" s="198"/>
      <c r="F57" s="198">
        <v>3000</v>
      </c>
      <c r="G57" s="198"/>
      <c r="H57" s="198"/>
      <c r="I57" s="198">
        <v>5000</v>
      </c>
      <c r="K57" s="198"/>
      <c r="M57" s="45">
        <f>SUM(E57:L57)</f>
        <v>8000</v>
      </c>
    </row>
    <row r="58" spans="2:13">
      <c r="B58" s="52" t="s">
        <v>379</v>
      </c>
      <c r="C58" s="53" t="s">
        <v>119</v>
      </c>
      <c r="D58" s="199">
        <v>5</v>
      </c>
      <c r="E58" s="186" t="s">
        <v>316</v>
      </c>
    </row>
    <row r="59" spans="2:13">
      <c r="B59" s="33" t="s">
        <v>65</v>
      </c>
      <c r="C59" s="34" t="s">
        <v>66</v>
      </c>
      <c r="D59" s="172">
        <f>SUMPRODUCT(E60:L60,E59:L59)/M60</f>
        <v>4</v>
      </c>
      <c r="E59" s="199"/>
      <c r="F59" s="199">
        <v>4</v>
      </c>
      <c r="G59" s="199"/>
      <c r="H59" s="199"/>
      <c r="I59" s="199">
        <v>4</v>
      </c>
      <c r="J59" s="199"/>
      <c r="K59" s="199"/>
      <c r="L59" s="186" t="s">
        <v>309</v>
      </c>
    </row>
    <row r="60" spans="2:13">
      <c r="B60" s="33"/>
      <c r="C60" s="42" t="s">
        <v>958</v>
      </c>
      <c r="D60" s="53"/>
      <c r="E60" s="198"/>
      <c r="F60" s="198">
        <v>3000</v>
      </c>
      <c r="G60" s="198"/>
      <c r="H60" s="198"/>
      <c r="I60" s="198">
        <v>5000</v>
      </c>
      <c r="J60" s="198"/>
      <c r="K60" s="198"/>
      <c r="M60" s="45">
        <f>SUM(E60:L60)</f>
        <v>8000</v>
      </c>
    </row>
    <row r="61" spans="2:13">
      <c r="B61" s="33" t="s">
        <v>67</v>
      </c>
      <c r="C61" s="34" t="s">
        <v>300</v>
      </c>
      <c r="D61" s="172">
        <f>SUMPRODUCT(E62:L62,E61:L61)/M62</f>
        <v>0</v>
      </c>
      <c r="E61" s="199"/>
      <c r="F61" s="199"/>
      <c r="G61" s="199"/>
      <c r="H61" s="199"/>
      <c r="I61" s="199"/>
      <c r="K61" s="199"/>
      <c r="L61" s="186" t="s">
        <v>309</v>
      </c>
    </row>
    <row r="62" spans="2:13">
      <c r="C62" s="42" t="s">
        <v>958</v>
      </c>
      <c r="D62" s="53"/>
      <c r="E62" s="198"/>
      <c r="F62" s="198">
        <v>3000</v>
      </c>
      <c r="G62" s="198"/>
      <c r="H62" s="198"/>
      <c r="I62" s="198">
        <v>5000</v>
      </c>
      <c r="K62" s="198"/>
      <c r="M62" s="45">
        <f>SUM(E62:L62)</f>
        <v>8000</v>
      </c>
    </row>
    <row r="63" spans="2:13">
      <c r="B63" s="519"/>
    </row>
  </sheetData>
  <sheetProtection algorithmName="SHA-512" hashValue="wy+0xUjRj1h+6nYejUysV7Z6nz0JxRljtl6BUX2IlIA3adeiqyXi5ifjDYsfEmrQkN2cccj71I4NgxHDJSnSxg==" saltValue="59XC527/UavBzejeJknkXQ==" spinCount="100000" sheet="1" objects="1" scenarios="1"/>
  <phoneticPr fontId="3"/>
  <conditionalFormatting sqref="D58">
    <cfRule type="expression" dxfId="13" priority="1" stopIfTrue="1">
      <formula>D$11&gt;0</formula>
    </cfRule>
  </conditionalFormatting>
  <conditionalFormatting sqref="E56:I56 K56">
    <cfRule type="expression" dxfId="12" priority="3" stopIfTrue="1">
      <formula>E$11&gt;0</formula>
    </cfRule>
  </conditionalFormatting>
  <conditionalFormatting sqref="E17:K18">
    <cfRule type="expression" dxfId="11" priority="8" stopIfTrue="1">
      <formula>E$11&gt;0</formula>
    </cfRule>
  </conditionalFormatting>
  <conditionalFormatting sqref="E39:K40">
    <cfRule type="expression" dxfId="10" priority="7" stopIfTrue="1">
      <formula>E$11&gt;0</formula>
    </cfRule>
  </conditionalFormatting>
  <conditionalFormatting sqref="E59:K59 E61:I61 K61">
    <cfRule type="expression" dxfId="9" priority="2" stopIfTrue="1">
      <formula>E$11&gt;0</formula>
    </cfRule>
  </conditionalFormatting>
  <pageMargins left="0.7" right="0.7" top="0.75" bottom="0.75" header="0.3" footer="0.3"/>
  <pageSetup paperSize="9" scale="65"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pageSetUpPr fitToPage="1"/>
  </sheetPr>
  <dimension ref="A1:R64"/>
  <sheetViews>
    <sheetView showGridLines="0" zoomScaleNormal="100" workbookViewId="0">
      <selection activeCell="N4" sqref="N4"/>
    </sheetView>
  </sheetViews>
  <sheetFormatPr defaultColWidth="0" defaultRowHeight="13.5" zeroHeight="1"/>
  <cols>
    <col min="1" max="1" width="1.125" customWidth="1"/>
    <col min="2" max="2" width="9" customWidth="1"/>
    <col min="3" max="3" width="25" customWidth="1"/>
    <col min="4" max="11" width="9" customWidth="1"/>
    <col min="12" max="12" width="1.625" customWidth="1"/>
    <col min="13" max="14" width="9" customWidth="1"/>
    <col min="15" max="15" width="14.5" customWidth="1"/>
    <col min="16" max="16" width="7.25" hidden="1" customWidth="1"/>
    <col min="17" max="17" width="18.875" hidden="1" customWidth="1"/>
    <col min="18" max="16384" width="9" hidden="1"/>
  </cols>
  <sheetData>
    <row r="1" spans="1:15">
      <c r="A1" s="178" t="s">
        <v>322</v>
      </c>
      <c r="D1" s="178" t="s">
        <v>323</v>
      </c>
    </row>
    <row r="2" spans="1:15">
      <c r="B2" s="178" t="s">
        <v>324</v>
      </c>
      <c r="O2" s="777" t="str">
        <f>オフィス評価結果!M5</f>
        <v>v1.21</v>
      </c>
    </row>
    <row r="3" spans="1:15">
      <c r="B3" s="178"/>
    </row>
    <row r="4" spans="1:15">
      <c r="B4" s="46" t="s">
        <v>317</v>
      </c>
    </row>
    <row r="5" spans="1:15">
      <c r="B5" s="178"/>
    </row>
    <row r="6" spans="1:15">
      <c r="C6" s="173" t="s">
        <v>305</v>
      </c>
      <c r="D6" s="174"/>
      <c r="E6" t="s">
        <v>306</v>
      </c>
    </row>
    <row r="7" spans="1:15">
      <c r="C7" s="173"/>
      <c r="D7" s="187" t="s">
        <v>916</v>
      </c>
      <c r="G7" s="519"/>
    </row>
    <row r="8" spans="1:15">
      <c r="C8" s="173" t="s">
        <v>304</v>
      </c>
      <c r="D8" s="172"/>
      <c r="E8" t="s">
        <v>311</v>
      </c>
    </row>
    <row r="9" spans="1:15"/>
    <row r="10" spans="1:15" ht="45">
      <c r="E10" s="170" t="s">
        <v>128</v>
      </c>
      <c r="F10" s="170" t="s">
        <v>129</v>
      </c>
      <c r="G10" s="170" t="s">
        <v>130</v>
      </c>
      <c r="H10" s="170" t="s">
        <v>131</v>
      </c>
      <c r="I10" s="170" t="s">
        <v>132</v>
      </c>
      <c r="J10" s="170" t="s">
        <v>133</v>
      </c>
      <c r="K10" s="747" t="s">
        <v>922</v>
      </c>
      <c r="M10" s="170" t="s">
        <v>155</v>
      </c>
    </row>
    <row r="11" spans="1:15">
      <c r="B11" s="6" t="s">
        <v>307</v>
      </c>
      <c r="C11" s="6"/>
      <c r="D11" t="s">
        <v>96</v>
      </c>
      <c r="E11" s="198"/>
      <c r="F11" s="198">
        <v>3000</v>
      </c>
      <c r="G11" s="198"/>
      <c r="H11" s="198"/>
      <c r="I11" s="198">
        <v>5000</v>
      </c>
      <c r="J11" s="198"/>
      <c r="K11" s="198"/>
      <c r="M11" s="45">
        <f>SUM(E11:L11)</f>
        <v>8000</v>
      </c>
      <c r="N11" s="186" t="s">
        <v>308</v>
      </c>
    </row>
    <row r="12" spans="1:15">
      <c r="D12" t="s">
        <v>303</v>
      </c>
      <c r="E12" s="171">
        <f>E11/$M$11</f>
        <v>0</v>
      </c>
      <c r="F12" s="171">
        <f t="shared" ref="F12:K12" si="0">F11/$M$11</f>
        <v>0.375</v>
      </c>
      <c r="G12" s="171">
        <f t="shared" si="0"/>
        <v>0</v>
      </c>
      <c r="H12" s="171">
        <f t="shared" si="0"/>
        <v>0</v>
      </c>
      <c r="I12" s="171">
        <f t="shared" si="0"/>
        <v>0.625</v>
      </c>
      <c r="J12" s="171">
        <f t="shared" si="0"/>
        <v>0</v>
      </c>
      <c r="K12" s="171">
        <f t="shared" si="0"/>
        <v>0</v>
      </c>
      <c r="M12" s="171">
        <f>SUM(E12:L12)</f>
        <v>1</v>
      </c>
    </row>
    <row r="13" spans="1:15"/>
    <row r="14" spans="1:15">
      <c r="D14" t="s">
        <v>302</v>
      </c>
    </row>
    <row r="15" spans="1:15">
      <c r="B15" s="6" t="s">
        <v>312</v>
      </c>
      <c r="C15" s="6"/>
    </row>
    <row r="16" spans="1:15">
      <c r="B16" s="180"/>
      <c r="C16" s="187" t="s">
        <v>315</v>
      </c>
    </row>
    <row r="17" spans="2:18">
      <c r="B17" s="33">
        <v>1.1000000000000001</v>
      </c>
      <c r="C17" s="34" t="s">
        <v>31</v>
      </c>
      <c r="D17" s="172">
        <f>SUMPRODUCT($E$12:$L$12,E17:L17)</f>
        <v>23.125</v>
      </c>
      <c r="E17" s="199"/>
      <c r="F17" s="199">
        <v>20</v>
      </c>
      <c r="G17" s="199"/>
      <c r="H17" s="199"/>
      <c r="I17" s="199">
        <v>25</v>
      </c>
      <c r="J17" s="199"/>
      <c r="K17" s="199"/>
      <c r="L17" s="186" t="s">
        <v>741</v>
      </c>
    </row>
    <row r="18" spans="2:18">
      <c r="B18" s="33" t="s">
        <v>32</v>
      </c>
      <c r="C18" s="34" t="s">
        <v>33</v>
      </c>
      <c r="D18" s="186" t="s">
        <v>325</v>
      </c>
    </row>
    <row r="19" spans="2:18">
      <c r="B19" s="33"/>
      <c r="C19" s="33"/>
      <c r="D19" s="33"/>
      <c r="E19" s="33"/>
      <c r="F19" s="33"/>
      <c r="G19" s="33"/>
      <c r="H19" s="33"/>
      <c r="I19" s="33"/>
      <c r="J19" s="33"/>
      <c r="K19" s="33"/>
      <c r="M19" s="33"/>
      <c r="N19" s="33"/>
      <c r="O19" s="33"/>
    </row>
    <row r="20" spans="2:18">
      <c r="C20" s="62" t="s">
        <v>134</v>
      </c>
      <c r="D20" s="62"/>
      <c r="E20" s="62"/>
      <c r="F20" s="62"/>
      <c r="G20" s="66" t="s">
        <v>135</v>
      </c>
      <c r="H20" s="62"/>
    </row>
    <row r="21" spans="2:18">
      <c r="C21" s="67"/>
      <c r="D21" s="65" t="s">
        <v>303</v>
      </c>
      <c r="E21" s="65" t="s">
        <v>138</v>
      </c>
      <c r="F21" s="65" t="s">
        <v>139</v>
      </c>
      <c r="G21" s="65" t="s">
        <v>140</v>
      </c>
      <c r="H21" s="65" t="s">
        <v>141</v>
      </c>
      <c r="I21" s="511" t="s">
        <v>739</v>
      </c>
      <c r="J21" s="65" t="s">
        <v>100</v>
      </c>
      <c r="Q21" s="510" t="s">
        <v>725</v>
      </c>
      <c r="R21" s="1"/>
    </row>
    <row r="22" spans="2:18">
      <c r="C22" s="63" t="s">
        <v>128</v>
      </c>
      <c r="D22" s="184">
        <f>E12</f>
        <v>0</v>
      </c>
      <c r="E22" s="64">
        <f>①店舗スコア表!E22</f>
        <v>1450</v>
      </c>
      <c r="F22" s="64">
        <f>①店舗スコア表!F22</f>
        <v>2080</v>
      </c>
      <c r="G22" s="64">
        <f>①店舗スコア表!G22</f>
        <v>2900</v>
      </c>
      <c r="H22" s="64">
        <f>①店舗スコア表!H22</f>
        <v>3790</v>
      </c>
      <c r="I22" s="512">
        <f>R22</f>
        <v>2739</v>
      </c>
      <c r="Q22" s="1" t="s">
        <v>726</v>
      </c>
      <c r="R22" s="498">
        <v>2739</v>
      </c>
    </row>
    <row r="23" spans="2:18">
      <c r="C23" s="63" t="s">
        <v>129</v>
      </c>
      <c r="D23" s="184">
        <f>F12</f>
        <v>0.375</v>
      </c>
      <c r="E23" s="64">
        <f>①店舗スコア表!E23</f>
        <v>10440</v>
      </c>
      <c r="F23" s="64">
        <f>①店舗スコア表!F23</f>
        <v>15470</v>
      </c>
      <c r="G23" s="64">
        <f>①店舗スコア表!G23</f>
        <v>23060</v>
      </c>
      <c r="H23" s="64">
        <f>①店舗スコア表!H23</f>
        <v>32010</v>
      </c>
      <c r="I23" s="512">
        <f>R23</f>
        <v>19826</v>
      </c>
      <c r="Q23" s="1" t="s">
        <v>727</v>
      </c>
      <c r="R23" s="498">
        <v>19826</v>
      </c>
    </row>
    <row r="24" spans="2:18">
      <c r="C24" s="63" t="s">
        <v>142</v>
      </c>
      <c r="D24" s="184">
        <f>G12</f>
        <v>0</v>
      </c>
      <c r="E24" s="64">
        <f>①店舗スコア表!E24</f>
        <v>6120</v>
      </c>
      <c r="F24" s="64">
        <f>①店舗スコア表!F24</f>
        <v>7440</v>
      </c>
      <c r="G24" s="64">
        <f>①店舗スコア表!G24</f>
        <v>8760</v>
      </c>
      <c r="H24" s="64">
        <f>①店舗スコア表!H24</f>
        <v>10230</v>
      </c>
      <c r="I24" s="512">
        <f>R24</f>
        <v>8190</v>
      </c>
      <c r="K24" s="188" t="s">
        <v>333</v>
      </c>
      <c r="L24" s="188" t="str">
        <f>IF(G11&lt;K25,L25,IF(G11&lt;K26,L26,L27))</f>
        <v>2千㎡未満</v>
      </c>
      <c r="Q24" s="1" t="s">
        <v>728</v>
      </c>
      <c r="R24" s="498">
        <f>IF(G11&lt;2000,R25,IF(G11&lt;10000,R26,R27))</f>
        <v>8190</v>
      </c>
    </row>
    <row r="25" spans="2:18" hidden="1">
      <c r="C25" s="499"/>
      <c r="D25" s="500"/>
      <c r="E25" s="501">
        <f>①店舗スコア表!E25</f>
        <v>6120</v>
      </c>
      <c r="F25" s="501">
        <f>①店舗スコア表!F25</f>
        <v>7440</v>
      </c>
      <c r="G25" s="501">
        <f>①店舗スコア表!G25</f>
        <v>8760</v>
      </c>
      <c r="H25" s="501">
        <f>①店舗スコア表!H25</f>
        <v>10230</v>
      </c>
      <c r="I25" s="513"/>
      <c r="J25" s="502"/>
      <c r="K25" s="518">
        <v>2000</v>
      </c>
      <c r="L25" s="518" t="s">
        <v>334</v>
      </c>
      <c r="M25" s="502"/>
      <c r="N25" s="502"/>
      <c r="O25" s="502"/>
      <c r="P25" s="502"/>
      <c r="Q25" s="503" t="s">
        <v>732</v>
      </c>
      <c r="R25" s="504">
        <v>8190</v>
      </c>
    </row>
    <row r="26" spans="2:18" hidden="1">
      <c r="C26" s="499"/>
      <c r="D26" s="500"/>
      <c r="E26" s="501">
        <f>①店舗スコア表!E26</f>
        <v>3740</v>
      </c>
      <c r="F26" s="501">
        <f>①店舗スコア表!F26</f>
        <v>4900</v>
      </c>
      <c r="G26" s="501">
        <f>①店舗スコア表!G26</f>
        <v>6350</v>
      </c>
      <c r="H26" s="501">
        <f>①店舗スコア表!H26</f>
        <v>7240</v>
      </c>
      <c r="I26" s="513"/>
      <c r="J26" s="502"/>
      <c r="K26" s="518">
        <v>10000</v>
      </c>
      <c r="L26" s="518" t="s">
        <v>335</v>
      </c>
      <c r="M26" s="502"/>
      <c r="N26" s="502"/>
      <c r="O26" s="502"/>
      <c r="P26" s="502"/>
      <c r="Q26" s="503" t="s">
        <v>733</v>
      </c>
      <c r="R26" s="504">
        <v>5735</v>
      </c>
    </row>
    <row r="27" spans="2:18" hidden="1">
      <c r="C27" s="499"/>
      <c r="D27" s="500"/>
      <c r="E27" s="501">
        <f>①店舗スコア表!E27</f>
        <v>2460</v>
      </c>
      <c r="F27" s="501">
        <f>①店舗スコア表!F27</f>
        <v>3080</v>
      </c>
      <c r="G27" s="501">
        <f>①店舗スコア表!G27</f>
        <v>3700</v>
      </c>
      <c r="H27" s="501">
        <f>①店舗スコア表!H27</f>
        <v>4390</v>
      </c>
      <c r="I27" s="513"/>
      <c r="J27" s="502"/>
      <c r="K27" s="518"/>
      <c r="L27" s="518" t="s">
        <v>336</v>
      </c>
      <c r="M27" s="502"/>
      <c r="N27" s="502"/>
      <c r="O27" s="502"/>
      <c r="P27" s="502"/>
      <c r="Q27" s="503" t="s">
        <v>734</v>
      </c>
      <c r="R27" s="504">
        <v>3450</v>
      </c>
    </row>
    <row r="28" spans="2:18">
      <c r="C28" s="63" t="s">
        <v>131</v>
      </c>
      <c r="D28" s="184">
        <f>H12</f>
        <v>0</v>
      </c>
      <c r="E28" s="64">
        <f>①店舗スコア表!E28</f>
        <v>2280</v>
      </c>
      <c r="F28" s="64">
        <f>①店舗スコア表!F28</f>
        <v>2740</v>
      </c>
      <c r="G28" s="64">
        <f>①店舗スコア表!G28</f>
        <v>3500</v>
      </c>
      <c r="H28" s="64">
        <f>①店舗スコア表!H28</f>
        <v>4170</v>
      </c>
      <c r="I28" s="512">
        <f>R28</f>
        <v>3140</v>
      </c>
      <c r="Q28" s="1" t="s">
        <v>729</v>
      </c>
      <c r="R28" s="498">
        <v>3140</v>
      </c>
    </row>
    <row r="29" spans="2:18">
      <c r="C29" s="63" t="s">
        <v>132</v>
      </c>
      <c r="D29" s="184">
        <f>I12</f>
        <v>0.625</v>
      </c>
      <c r="E29" s="64">
        <f>①店舗スコア表!E29</f>
        <v>10740</v>
      </c>
      <c r="F29" s="64">
        <f>①店舗スコア表!F29</f>
        <v>12410</v>
      </c>
      <c r="G29" s="64">
        <f>①店舗スコア表!G29</f>
        <v>15360</v>
      </c>
      <c r="H29" s="64">
        <f>①店舗スコア表!H29</f>
        <v>17470</v>
      </c>
      <c r="I29" s="512">
        <f>R29</f>
        <v>14180</v>
      </c>
      <c r="Q29" s="1" t="s">
        <v>730</v>
      </c>
      <c r="R29" s="498">
        <v>14180</v>
      </c>
    </row>
    <row r="30" spans="2:18">
      <c r="C30" s="63" t="s">
        <v>133</v>
      </c>
      <c r="D30" s="184">
        <f>J12</f>
        <v>0</v>
      </c>
      <c r="E30" s="64">
        <f>①店舗スコア表!E30</f>
        <v>1040</v>
      </c>
      <c r="F30" s="64">
        <f>①店舗スコア表!F30</f>
        <v>1370</v>
      </c>
      <c r="G30" s="64">
        <f>①店舗スコア表!G30</f>
        <v>1780</v>
      </c>
      <c r="H30" s="64">
        <f>①店舗スコア表!H30</f>
        <v>2330</v>
      </c>
      <c r="I30" s="512">
        <f>R30</f>
        <v>1676</v>
      </c>
      <c r="Q30" s="1" t="s">
        <v>735</v>
      </c>
      <c r="R30" s="498">
        <f>IF(J11&lt;10000,R31,IF(J11&lt;30000,R32,R33))</f>
        <v>1676</v>
      </c>
    </row>
    <row r="31" spans="2:18" hidden="1">
      <c r="C31" s="505"/>
      <c r="D31" s="506"/>
      <c r="E31" s="501"/>
      <c r="F31" s="501"/>
      <c r="G31" s="501"/>
      <c r="H31" s="501"/>
      <c r="I31" s="513"/>
      <c r="J31" s="502"/>
      <c r="K31" s="502"/>
      <c r="L31" s="502"/>
      <c r="M31" s="502"/>
      <c r="N31" s="502"/>
      <c r="O31" s="502"/>
      <c r="P31" s="502"/>
      <c r="Q31" s="503" t="s">
        <v>97</v>
      </c>
      <c r="R31" s="504">
        <v>1676</v>
      </c>
    </row>
    <row r="32" spans="2:18" hidden="1">
      <c r="C32" s="505"/>
      <c r="D32" s="506"/>
      <c r="E32" s="501"/>
      <c r="F32" s="501"/>
      <c r="G32" s="501"/>
      <c r="H32" s="501"/>
      <c r="I32" s="513"/>
      <c r="J32" s="502"/>
      <c r="K32" s="502"/>
      <c r="L32" s="502"/>
      <c r="M32" s="502"/>
      <c r="N32" s="502"/>
      <c r="O32" s="502"/>
      <c r="P32" s="502"/>
      <c r="Q32" s="503" t="s">
        <v>736</v>
      </c>
      <c r="R32" s="504">
        <v>2068</v>
      </c>
    </row>
    <row r="33" spans="2:18" hidden="1">
      <c r="C33" s="505"/>
      <c r="D33" s="506"/>
      <c r="E33" s="501"/>
      <c r="F33" s="501"/>
      <c r="G33" s="501"/>
      <c r="H33" s="501"/>
      <c r="I33" s="513"/>
      <c r="J33" s="502"/>
      <c r="K33" s="502"/>
      <c r="L33" s="502"/>
      <c r="M33" s="502"/>
      <c r="N33" s="502"/>
      <c r="O33" s="502"/>
      <c r="P33" s="502"/>
      <c r="Q33" s="503" t="s">
        <v>737</v>
      </c>
      <c r="R33" s="504">
        <v>2526</v>
      </c>
    </row>
    <row r="34" spans="2:18" ht="14.25" thickBot="1">
      <c r="C34" s="206" t="s">
        <v>923</v>
      </c>
      <c r="D34" s="185">
        <f>K12</f>
        <v>0</v>
      </c>
      <c r="E34" s="64">
        <f>①店舗スコア表!E34</f>
        <v>1450</v>
      </c>
      <c r="F34" s="64">
        <f>①店舗スコア表!F34</f>
        <v>2080</v>
      </c>
      <c r="G34" s="64">
        <f>①店舗スコア表!G34</f>
        <v>2900</v>
      </c>
      <c r="H34" s="64">
        <f>①店舗スコア表!H34</f>
        <v>3790</v>
      </c>
      <c r="I34" s="512">
        <f>R34</f>
        <v>2739</v>
      </c>
      <c r="J34" s="1"/>
      <c r="Q34" s="497" t="s">
        <v>731</v>
      </c>
      <c r="R34" s="507">
        <v>2739</v>
      </c>
    </row>
    <row r="35" spans="2:18" ht="14.25" thickBot="1">
      <c r="C35" s="175" t="s">
        <v>144</v>
      </c>
      <c r="D35" s="176"/>
      <c r="E35" s="176">
        <f>SUMPRODUCT($D$22:$D$34,E22:E34)</f>
        <v>10627.5</v>
      </c>
      <c r="F35" s="176">
        <f>SUMPRODUCT($D$22:$D$34,F22:F34)</f>
        <v>13557.5</v>
      </c>
      <c r="G35" s="176">
        <f>SUMPRODUCT($D$22:$D$34,G22:G34)</f>
        <v>18247.5</v>
      </c>
      <c r="H35" s="177">
        <f>SUMPRODUCT($D$22:$D$34,H22:H34)</f>
        <v>22922.5</v>
      </c>
      <c r="I35" s="514">
        <f>SUMPRODUCT(D22:D34,I22:I34)</f>
        <v>16297.25</v>
      </c>
      <c r="J35" s="201">
        <v>22500</v>
      </c>
    </row>
    <row r="36" spans="2:18">
      <c r="C36" s="508"/>
      <c r="D36" s="509"/>
      <c r="E36" s="509"/>
      <c r="F36" s="509"/>
      <c r="G36" s="509"/>
      <c r="H36" s="509"/>
      <c r="I36" s="186"/>
      <c r="J36" s="186" t="s">
        <v>738</v>
      </c>
    </row>
    <row r="37" spans="2:18"/>
    <row r="38" spans="2:18">
      <c r="B38" s="36" t="s">
        <v>36</v>
      </c>
      <c r="C38" s="36"/>
    </row>
    <row r="39" spans="2:18">
      <c r="B39" s="33" t="s">
        <v>39</v>
      </c>
      <c r="C39" s="34" t="s">
        <v>40</v>
      </c>
      <c r="D39" s="172">
        <f>SUMPRODUCT($E$12:$L$12,E39:L39)</f>
        <v>0</v>
      </c>
      <c r="E39" s="199"/>
      <c r="F39" s="199"/>
      <c r="G39" s="199"/>
      <c r="H39" s="199"/>
      <c r="I39" s="199"/>
      <c r="J39" s="199"/>
      <c r="K39" s="199"/>
      <c r="L39" s="186" t="s">
        <v>742</v>
      </c>
    </row>
    <row r="40" spans="2:18">
      <c r="B40" s="33">
        <v>2.2999999999999998</v>
      </c>
      <c r="C40" s="34" t="s">
        <v>42</v>
      </c>
      <c r="D40" s="186" t="s">
        <v>325</v>
      </c>
      <c r="E40" s="68"/>
      <c r="F40" s="68"/>
      <c r="G40" s="68"/>
      <c r="H40" s="68"/>
      <c r="I40" s="68"/>
      <c r="J40" s="68"/>
      <c r="K40" s="68"/>
      <c r="L40" s="179"/>
    </row>
    <row r="41" spans="2:18">
      <c r="E41" s="11"/>
    </row>
    <row r="42" spans="2:18">
      <c r="C42" s="62" t="s">
        <v>136</v>
      </c>
      <c r="D42" s="62"/>
      <c r="E42" s="62"/>
      <c r="F42" s="62"/>
      <c r="G42" s="66" t="s">
        <v>137</v>
      </c>
    </row>
    <row r="43" spans="2:18">
      <c r="C43" s="67"/>
      <c r="D43" s="65" t="s">
        <v>303</v>
      </c>
      <c r="E43" s="65" t="s">
        <v>138</v>
      </c>
      <c r="F43" s="65" t="s">
        <v>139</v>
      </c>
      <c r="G43" s="65" t="s">
        <v>140</v>
      </c>
      <c r="H43" s="65" t="s">
        <v>141</v>
      </c>
      <c r="J43" s="65" t="s">
        <v>100</v>
      </c>
      <c r="Q43" s="510"/>
    </row>
    <row r="44" spans="2:18">
      <c r="C44" s="63" t="s">
        <v>128</v>
      </c>
      <c r="D44" s="182">
        <f>E12</f>
        <v>0</v>
      </c>
      <c r="E44" s="64">
        <f>①店舗スコア表!E44</f>
        <v>404</v>
      </c>
      <c r="F44" s="64">
        <f>①店舗スコア表!F44</f>
        <v>1102</v>
      </c>
      <c r="G44" s="64">
        <f>①店舗スコア表!G44</f>
        <v>1731</v>
      </c>
      <c r="H44" s="64">
        <f>①店舗スコア表!H44</f>
        <v>3089</v>
      </c>
      <c r="Q44" s="1"/>
    </row>
    <row r="45" spans="2:18">
      <c r="C45" s="63" t="s">
        <v>129</v>
      </c>
      <c r="D45" s="182">
        <f>F12</f>
        <v>0.375</v>
      </c>
      <c r="E45" s="64">
        <f>①店舗スコア表!E45</f>
        <v>14205</v>
      </c>
      <c r="F45" s="64">
        <f>①店舗スコア表!F45</f>
        <v>21053</v>
      </c>
      <c r="G45" s="64">
        <f>①店舗スコア表!G45</f>
        <v>30404</v>
      </c>
      <c r="H45" s="64">
        <f>①店舗スコア表!H45</f>
        <v>36641</v>
      </c>
      <c r="Q45" s="1"/>
    </row>
    <row r="46" spans="2:18">
      <c r="C46" s="63" t="s">
        <v>380</v>
      </c>
      <c r="D46" s="182">
        <f>G12</f>
        <v>0</v>
      </c>
      <c r="E46" s="64">
        <f>①店舗スコア表!E46</f>
        <v>1267</v>
      </c>
      <c r="F46" s="64">
        <f>①店舗スコア表!F46</f>
        <v>1901</v>
      </c>
      <c r="G46" s="64">
        <f>①店舗スコア表!G46</f>
        <v>2780</v>
      </c>
      <c r="H46" s="64">
        <f>①店舗スコア表!H46</f>
        <v>3800</v>
      </c>
      <c r="Q46" s="1"/>
    </row>
    <row r="47" spans="2:18">
      <c r="C47" s="63" t="s">
        <v>143</v>
      </c>
      <c r="D47" s="182">
        <f>H12</f>
        <v>0</v>
      </c>
      <c r="E47" s="64">
        <f>①店舗スコア表!E47</f>
        <v>404</v>
      </c>
      <c r="F47" s="64">
        <f>①店舗スコア表!F47</f>
        <v>1102</v>
      </c>
      <c r="G47" s="64">
        <f>①店舗スコア表!G47</f>
        <v>1731</v>
      </c>
      <c r="H47" s="64">
        <f>①店舗スコア表!H47</f>
        <v>3089</v>
      </c>
      <c r="Q47" s="2"/>
    </row>
    <row r="48" spans="2:18">
      <c r="C48" s="63" t="s">
        <v>132</v>
      </c>
      <c r="D48" s="182">
        <f>I12</f>
        <v>0.625</v>
      </c>
      <c r="E48" s="64">
        <f>①店舗スコア表!E48</f>
        <v>2000</v>
      </c>
      <c r="F48" s="64">
        <f>①店舗スコア表!F48</f>
        <v>2700</v>
      </c>
      <c r="G48" s="64">
        <f>①店舗スコア表!G48</f>
        <v>3750</v>
      </c>
      <c r="H48" s="64">
        <f>①店舗スコア表!H48</f>
        <v>5000</v>
      </c>
      <c r="Q48" s="2"/>
    </row>
    <row r="49" spans="2:17">
      <c r="C49" s="63" t="s">
        <v>133</v>
      </c>
      <c r="D49" s="182">
        <f>J12</f>
        <v>0</v>
      </c>
      <c r="E49" s="64">
        <f>①店舗スコア表!E49</f>
        <v>490</v>
      </c>
      <c r="F49" s="64">
        <f>①店舗スコア表!F49</f>
        <v>693</v>
      </c>
      <c r="G49" s="64">
        <f>①店舗スコア表!G49</f>
        <v>975</v>
      </c>
      <c r="H49" s="64">
        <f>①店舗スコア表!H49</f>
        <v>1293</v>
      </c>
      <c r="Q49" s="2"/>
    </row>
    <row r="50" spans="2:17" ht="14.25" thickBot="1">
      <c r="C50" s="206" t="s">
        <v>923</v>
      </c>
      <c r="D50" s="183">
        <f>K12</f>
        <v>0</v>
      </c>
      <c r="E50" s="64">
        <f>①店舗スコア表!E50</f>
        <v>404</v>
      </c>
      <c r="F50" s="64">
        <f>①店舗スコア表!F50</f>
        <v>1102</v>
      </c>
      <c r="G50" s="64">
        <f>①店舗スコア表!G50</f>
        <v>1731</v>
      </c>
      <c r="H50" s="64">
        <f>①店舗スコア表!H50</f>
        <v>3089</v>
      </c>
      <c r="J50" s="1"/>
      <c r="Q50" s="1"/>
    </row>
    <row r="51" spans="2:17" ht="14.25" thickBot="1">
      <c r="C51" s="175" t="s">
        <v>144</v>
      </c>
      <c r="D51" s="176"/>
      <c r="E51" s="176">
        <f>SUMPRODUCT($D$44:$D$50,E44:E50)</f>
        <v>6576.875</v>
      </c>
      <c r="F51" s="176">
        <f>SUMPRODUCT($D$44:$D$50,F44:F50)</f>
        <v>9582.375</v>
      </c>
      <c r="G51" s="176">
        <f>SUMPRODUCT($D$44:$D$50,G44:G50)</f>
        <v>13745.25</v>
      </c>
      <c r="H51" s="177">
        <f>SUMPRODUCT($D$44:$D$50,H44:H50)</f>
        <v>16865.375</v>
      </c>
      <c r="J51" s="201"/>
      <c r="Q51" s="1"/>
    </row>
    <row r="52" spans="2:17">
      <c r="E52" s="11"/>
      <c r="J52" s="186" t="s">
        <v>740</v>
      </c>
      <c r="Q52" s="1"/>
    </row>
    <row r="53" spans="2:17" ht="45">
      <c r="E53" s="170" t="s">
        <v>128</v>
      </c>
      <c r="F53" s="170" t="s">
        <v>129</v>
      </c>
      <c r="G53" s="170" t="s">
        <v>130</v>
      </c>
      <c r="H53" s="170" t="s">
        <v>131</v>
      </c>
      <c r="I53" s="170" t="s">
        <v>132</v>
      </c>
      <c r="J53" s="170" t="s">
        <v>133</v>
      </c>
      <c r="K53" s="747" t="s">
        <v>922</v>
      </c>
      <c r="M53" s="170" t="s">
        <v>155</v>
      </c>
      <c r="Q53" s="1"/>
    </row>
    <row r="54" spans="2:17">
      <c r="B54" s="36" t="s">
        <v>61</v>
      </c>
      <c r="C54" s="36"/>
      <c r="F54" s="11"/>
      <c r="G54" s="42"/>
      <c r="Q54" s="2"/>
    </row>
    <row r="55" spans="2:17">
      <c r="B55" s="33" t="s">
        <v>62</v>
      </c>
      <c r="C55" s="34" t="s">
        <v>301</v>
      </c>
      <c r="D55" s="172">
        <f>D56*2/3+D58*1/3</f>
        <v>5</v>
      </c>
      <c r="Q55" s="2"/>
    </row>
    <row r="56" spans="2:17">
      <c r="B56" s="52" t="s">
        <v>362</v>
      </c>
      <c r="C56" s="53" t="s">
        <v>123</v>
      </c>
      <c r="D56" s="172">
        <f>SUMPRODUCT(E57:L57,E56:L56)/M57</f>
        <v>5</v>
      </c>
      <c r="E56" s="199"/>
      <c r="F56" s="199">
        <v>5</v>
      </c>
      <c r="G56" s="199"/>
      <c r="H56" s="199"/>
      <c r="I56" s="199">
        <v>5</v>
      </c>
      <c r="K56" s="199"/>
      <c r="L56" s="186" t="s">
        <v>309</v>
      </c>
      <c r="Q56" s="2"/>
    </row>
    <row r="57" spans="2:17">
      <c r="B57" s="52"/>
      <c r="C57" s="42" t="s">
        <v>958</v>
      </c>
      <c r="D57" s="53"/>
      <c r="E57" s="198"/>
      <c r="F57" s="198">
        <v>3000</v>
      </c>
      <c r="G57" s="198"/>
      <c r="H57" s="198"/>
      <c r="I57" s="198">
        <v>5000</v>
      </c>
      <c r="K57" s="198"/>
      <c r="M57" s="45">
        <f>SUM(E57:L57)</f>
        <v>8000</v>
      </c>
      <c r="Q57" s="2"/>
    </row>
    <row r="58" spans="2:17">
      <c r="B58" s="52" t="s">
        <v>363</v>
      </c>
      <c r="C58" s="53" t="s">
        <v>119</v>
      </c>
      <c r="D58" s="199">
        <v>5</v>
      </c>
      <c r="E58" s="186" t="s">
        <v>316</v>
      </c>
      <c r="Q58" s="497"/>
    </row>
    <row r="59" spans="2:17">
      <c r="B59" s="33" t="s">
        <v>65</v>
      </c>
      <c r="C59" s="34" t="s">
        <v>66</v>
      </c>
      <c r="D59" s="172">
        <f>SUMPRODUCT(E60:L60,E59:L59)/M60</f>
        <v>4</v>
      </c>
      <c r="E59" s="199"/>
      <c r="F59" s="199">
        <v>4</v>
      </c>
      <c r="G59" s="199"/>
      <c r="H59" s="199"/>
      <c r="I59" s="199">
        <v>4</v>
      </c>
      <c r="J59" s="199"/>
      <c r="K59" s="199"/>
      <c r="L59" s="186" t="s">
        <v>309</v>
      </c>
    </row>
    <row r="60" spans="2:17">
      <c r="B60" s="33"/>
      <c r="C60" s="42" t="s">
        <v>958</v>
      </c>
      <c r="D60" s="53"/>
      <c r="E60" s="198"/>
      <c r="F60" s="198">
        <v>3000</v>
      </c>
      <c r="G60" s="198"/>
      <c r="H60" s="198"/>
      <c r="I60" s="198">
        <v>5000</v>
      </c>
      <c r="J60" s="198"/>
      <c r="K60" s="198"/>
      <c r="M60" s="45">
        <f>SUM(E60:L60)</f>
        <v>8000</v>
      </c>
    </row>
    <row r="61" spans="2:17">
      <c r="B61" s="33" t="s">
        <v>67</v>
      </c>
      <c r="C61" s="34" t="s">
        <v>300</v>
      </c>
      <c r="D61" s="172">
        <f>SUMPRODUCT(E62:L62,E61:L61)/M62</f>
        <v>0</v>
      </c>
      <c r="E61" s="199"/>
      <c r="F61" s="199"/>
      <c r="G61" s="199"/>
      <c r="H61" s="199"/>
      <c r="I61" s="199"/>
      <c r="K61" s="199"/>
      <c r="L61" s="186" t="s">
        <v>309</v>
      </c>
    </row>
    <row r="62" spans="2:17">
      <c r="C62" s="42" t="s">
        <v>958</v>
      </c>
      <c r="D62" s="53"/>
      <c r="E62" s="198"/>
      <c r="F62" s="198">
        <v>3000</v>
      </c>
      <c r="G62" s="198"/>
      <c r="H62" s="198"/>
      <c r="I62" s="198">
        <v>5000</v>
      </c>
      <c r="K62" s="198"/>
      <c r="M62" s="45">
        <f>SUM(E62:L62)</f>
        <v>8000</v>
      </c>
    </row>
    <row r="63" spans="2:17">
      <c r="B63" s="519"/>
    </row>
    <row r="64" spans="2:17"/>
  </sheetData>
  <sheetProtection algorithmName="SHA-512" hashValue="TA/QyAJDB/tA+wn609wo5c+vayvZAsdHLnOXO9rTFcApXpxmW6kABdFPRUU3ieoOsCIavojAzGhA+QGqGbxk1Q==" saltValue="caK8u3cgjECHPyhdNlx4Ag==" spinCount="100000" sheet="1" objects="1" scenarios="1"/>
  <phoneticPr fontId="3"/>
  <conditionalFormatting sqref="D58">
    <cfRule type="expression" dxfId="8" priority="3" stopIfTrue="1">
      <formula>D$11&gt;0</formula>
    </cfRule>
  </conditionalFormatting>
  <conditionalFormatting sqref="E56:I56 K56">
    <cfRule type="expression" dxfId="7" priority="13" stopIfTrue="1">
      <formula>E$11&gt;0</formula>
    </cfRule>
  </conditionalFormatting>
  <conditionalFormatting sqref="E17:K17">
    <cfRule type="expression" dxfId="6" priority="5" stopIfTrue="1">
      <formula>E$11&gt;0</formula>
    </cfRule>
  </conditionalFormatting>
  <conditionalFormatting sqref="E39:K39">
    <cfRule type="expression" dxfId="5" priority="12" stopIfTrue="1">
      <formula>E$11&gt;0</formula>
    </cfRule>
  </conditionalFormatting>
  <conditionalFormatting sqref="E59:K59 E61:I61 K61">
    <cfRule type="expression" dxfId="4" priority="2" stopIfTrue="1">
      <formula>E$11&gt;0</formula>
    </cfRule>
  </conditionalFormatting>
  <conditionalFormatting sqref="J35">
    <cfRule type="expression" dxfId="3" priority="9" stopIfTrue="1">
      <formula>I$11&gt;0</formula>
    </cfRule>
  </conditionalFormatting>
  <conditionalFormatting sqref="J51">
    <cfRule type="expression" dxfId="2" priority="6" stopIfTrue="1">
      <formula>I$11&gt;0</formula>
    </cfRule>
  </conditionalFormatting>
  <pageMargins left="0.7" right="0.7" top="0.75" bottom="0.75" header="0.3" footer="0.3"/>
  <pageSetup paperSize="9" scale="65"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pageSetUpPr fitToPage="1"/>
  </sheetPr>
  <dimension ref="A1:X81"/>
  <sheetViews>
    <sheetView showGridLines="0" zoomScaleNormal="100" workbookViewId="0">
      <selection activeCell="C2" sqref="C2"/>
    </sheetView>
  </sheetViews>
  <sheetFormatPr defaultColWidth="9" defaultRowHeight="13.5"/>
  <cols>
    <col min="1" max="1" width="3.5" style="113" customWidth="1"/>
    <col min="2" max="2" width="2.625" style="113" customWidth="1"/>
    <col min="3" max="3" width="10.5" style="113" customWidth="1"/>
    <col min="4" max="4" width="6.875" style="113" customWidth="1"/>
    <col min="5" max="5" width="7.875" style="113" customWidth="1"/>
    <col min="6" max="6" width="7.5" style="113" customWidth="1"/>
    <col min="7" max="7" width="8" style="113" customWidth="1"/>
    <col min="8" max="8" width="10.25" style="113" customWidth="1"/>
    <col min="9" max="9" width="9.5" style="113" customWidth="1"/>
    <col min="10" max="10" width="9" style="113"/>
    <col min="11" max="11" width="11.125" style="113" customWidth="1"/>
    <col min="12" max="12" width="9" style="113"/>
    <col min="13" max="13" width="11.5" style="113" customWidth="1"/>
    <col min="14" max="14" width="9" style="113"/>
    <col min="15" max="15" width="13.625" style="114" customWidth="1"/>
    <col min="16" max="16" width="9" style="113"/>
    <col min="17" max="17" width="13.625" style="113" customWidth="1"/>
    <col min="18" max="18" width="11" style="113" bestFit="1" customWidth="1"/>
    <col min="19" max="19" width="9" style="113"/>
    <col min="20" max="20" width="13.875" style="113" customWidth="1"/>
    <col min="21" max="21" width="10.25" style="113" customWidth="1"/>
    <col min="22" max="22" width="10.625" style="113" customWidth="1"/>
    <col min="23" max="23" width="9" style="113"/>
    <col min="24" max="24" width="10.5" style="113" bestFit="1" customWidth="1"/>
    <col min="25" max="16384" width="9" style="113"/>
  </cols>
  <sheetData>
    <row r="1" spans="1:24">
      <c r="A1" s="124"/>
      <c r="B1" s="124"/>
      <c r="C1" s="124"/>
      <c r="D1" s="124"/>
      <c r="E1" s="124"/>
      <c r="F1" s="124"/>
      <c r="G1" s="124"/>
      <c r="H1" s="124"/>
      <c r="I1" s="124"/>
      <c r="J1" s="124"/>
      <c r="K1" s="124"/>
      <c r="L1" s="124"/>
      <c r="M1" s="124"/>
      <c r="N1" s="124"/>
      <c r="O1" s="125"/>
      <c r="P1" s="124"/>
      <c r="Q1" s="124"/>
      <c r="R1" s="124"/>
      <c r="S1" s="124"/>
      <c r="T1" s="124"/>
      <c r="U1" s="124"/>
      <c r="V1" s="124"/>
      <c r="W1" s="124"/>
      <c r="X1" s="124"/>
    </row>
    <row r="2" spans="1:24" ht="18.75">
      <c r="A2" s="124"/>
      <c r="B2" s="126" t="s">
        <v>232</v>
      </c>
      <c r="C2" s="127"/>
      <c r="D2" s="127"/>
      <c r="E2" s="127"/>
      <c r="F2" s="127"/>
      <c r="G2" s="127"/>
      <c r="H2" s="127"/>
      <c r="I2" s="127"/>
      <c r="J2" s="127"/>
      <c r="K2" s="127"/>
      <c r="L2" s="127"/>
      <c r="M2" s="127"/>
      <c r="N2" s="127"/>
      <c r="O2" s="128"/>
      <c r="P2" s="127"/>
      <c r="Q2" s="127"/>
      <c r="R2" s="127"/>
      <c r="S2" s="129"/>
      <c r="T2" s="124"/>
      <c r="U2" s="124"/>
      <c r="V2" s="124"/>
      <c r="W2" s="124"/>
      <c r="X2" s="130"/>
    </row>
    <row r="3" spans="1:24" ht="14.25" thickBot="1">
      <c r="A3" s="124"/>
      <c r="B3" s="127"/>
      <c r="C3" s="131" t="s">
        <v>230</v>
      </c>
      <c r="D3" s="127"/>
      <c r="E3" s="127"/>
      <c r="F3" s="127"/>
      <c r="G3" s="127"/>
      <c r="H3" s="127"/>
      <c r="I3" s="127" t="s">
        <v>229</v>
      </c>
      <c r="J3" s="127"/>
      <c r="K3" s="127"/>
      <c r="L3" s="127"/>
      <c r="M3" s="127"/>
      <c r="N3" s="127"/>
      <c r="O3" s="128"/>
      <c r="P3" s="127"/>
      <c r="Q3" s="127"/>
      <c r="R3" s="127"/>
      <c r="S3" s="129"/>
      <c r="T3" s="124"/>
      <c r="U3" s="124"/>
      <c r="V3" s="124"/>
      <c r="W3" s="124"/>
      <c r="X3" s="124"/>
    </row>
    <row r="4" spans="1:24" ht="15" thickTop="1" thickBot="1">
      <c r="A4" s="124"/>
      <c r="B4" s="127"/>
      <c r="C4" s="127"/>
      <c r="D4" s="127"/>
      <c r="E4" s="189"/>
      <c r="F4" s="127" t="s">
        <v>228</v>
      </c>
      <c r="G4" s="127"/>
      <c r="H4" s="127"/>
      <c r="I4" s="127" t="s">
        <v>227</v>
      </c>
      <c r="J4" s="127"/>
      <c r="K4" s="127"/>
      <c r="L4" s="127"/>
      <c r="M4" s="127"/>
      <c r="N4" s="127"/>
      <c r="O4" s="128"/>
      <c r="P4" s="127"/>
      <c r="Q4" s="127"/>
      <c r="R4" s="127"/>
      <c r="S4" s="127"/>
      <c r="T4" s="124"/>
      <c r="U4" s="124"/>
      <c r="V4" s="124"/>
      <c r="W4" s="124"/>
      <c r="X4" s="124"/>
    </row>
    <row r="5" spans="1:24" ht="14.25" thickTop="1">
      <c r="A5" s="124"/>
      <c r="B5" s="127"/>
      <c r="C5" s="127"/>
      <c r="D5" s="127"/>
      <c r="E5" s="194"/>
      <c r="F5" s="127" t="s">
        <v>226</v>
      </c>
      <c r="G5" s="127"/>
      <c r="H5" s="127"/>
      <c r="I5" s="127" t="s">
        <v>225</v>
      </c>
      <c r="J5" s="127"/>
      <c r="K5" s="127"/>
      <c r="L5" s="127"/>
      <c r="M5" s="127"/>
      <c r="N5" s="127"/>
      <c r="O5" s="128"/>
      <c r="P5" s="127"/>
      <c r="Q5" s="127"/>
      <c r="R5" s="127"/>
      <c r="S5" s="127"/>
      <c r="T5" s="124"/>
      <c r="U5" s="124"/>
      <c r="V5" s="124"/>
      <c r="W5" s="124"/>
      <c r="X5" s="124"/>
    </row>
    <row r="6" spans="1:24">
      <c r="A6" s="124"/>
      <c r="B6" s="127"/>
      <c r="C6" s="127"/>
      <c r="D6" s="127"/>
      <c r="E6" s="193"/>
      <c r="F6" s="127" t="s">
        <v>224</v>
      </c>
      <c r="G6" s="127"/>
      <c r="H6" s="127"/>
      <c r="I6" s="127"/>
      <c r="J6" s="127"/>
      <c r="K6" s="127"/>
      <c r="L6" s="127"/>
      <c r="M6" s="127"/>
      <c r="N6" s="127"/>
      <c r="O6" s="128"/>
      <c r="P6" s="127"/>
      <c r="Q6" s="127"/>
      <c r="R6" s="127"/>
      <c r="S6" s="127"/>
      <c r="T6" s="124"/>
      <c r="U6" s="124"/>
      <c r="V6" s="124"/>
      <c r="W6" s="124"/>
      <c r="X6" s="124"/>
    </row>
    <row r="7" spans="1:24">
      <c r="A7" s="124"/>
      <c r="B7" s="127"/>
      <c r="C7" s="127"/>
      <c r="D7" s="127"/>
      <c r="E7" s="127"/>
      <c r="F7" s="127"/>
      <c r="G7" s="127"/>
      <c r="H7" s="127"/>
      <c r="I7" s="127"/>
      <c r="J7" s="127"/>
      <c r="K7" s="127"/>
      <c r="L7" s="127"/>
      <c r="M7" s="127"/>
      <c r="N7" s="127"/>
      <c r="O7" s="128"/>
      <c r="P7" s="127"/>
      <c r="Q7" s="127"/>
      <c r="R7" s="127"/>
      <c r="S7" s="127"/>
      <c r="T7" s="124"/>
      <c r="U7" s="124"/>
      <c r="V7" s="124"/>
      <c r="W7" s="124"/>
      <c r="X7" s="124"/>
    </row>
    <row r="8" spans="1:24" ht="14.25" thickBot="1">
      <c r="A8" s="124"/>
      <c r="B8" s="127"/>
      <c r="C8" s="127"/>
      <c r="D8" s="127"/>
      <c r="E8" s="127"/>
      <c r="F8" s="127"/>
      <c r="G8" s="127"/>
      <c r="H8" s="127"/>
      <c r="I8" s="127"/>
      <c r="J8" s="127"/>
      <c r="K8" s="127"/>
      <c r="L8" s="127"/>
      <c r="M8" s="127"/>
      <c r="N8" s="127"/>
      <c r="O8" s="128"/>
      <c r="P8" s="127"/>
      <c r="Q8" s="127"/>
      <c r="R8" s="127"/>
      <c r="S8" s="127"/>
      <c r="T8" s="124"/>
      <c r="U8" s="124"/>
      <c r="V8" s="124"/>
      <c r="W8" s="124"/>
      <c r="X8" s="124"/>
    </row>
    <row r="9" spans="1:24" ht="15" thickTop="1" thickBot="1">
      <c r="A9" s="124"/>
      <c r="B9" s="127" t="s">
        <v>233</v>
      </c>
      <c r="C9" s="127" t="s">
        <v>234</v>
      </c>
      <c r="D9" s="127"/>
      <c r="E9" s="190"/>
      <c r="F9" s="127" t="s">
        <v>214</v>
      </c>
      <c r="G9" s="127"/>
      <c r="H9" s="127"/>
      <c r="I9" s="127"/>
      <c r="J9" s="127"/>
      <c r="K9" s="127"/>
      <c r="L9" s="127"/>
      <c r="M9" s="127"/>
      <c r="N9" s="127"/>
      <c r="O9" s="128"/>
      <c r="P9" s="127"/>
      <c r="Q9" s="127"/>
      <c r="R9" s="127"/>
      <c r="S9" s="127"/>
      <c r="T9" s="124"/>
      <c r="U9" s="124"/>
      <c r="V9" s="124"/>
      <c r="W9" s="124"/>
      <c r="X9" s="124"/>
    </row>
    <row r="10" spans="1:24" ht="15" thickTop="1" thickBot="1">
      <c r="A10" s="124"/>
      <c r="B10" s="127"/>
      <c r="C10" s="127" t="s">
        <v>235</v>
      </c>
      <c r="D10" s="127"/>
      <c r="E10" s="190"/>
      <c r="F10" s="127" t="s">
        <v>214</v>
      </c>
      <c r="G10" s="127"/>
      <c r="H10" s="127"/>
      <c r="I10" s="127"/>
      <c r="J10" s="127"/>
      <c r="K10" s="127"/>
      <c r="L10" s="127"/>
      <c r="M10" s="127"/>
      <c r="N10" s="127"/>
      <c r="O10" s="128"/>
      <c r="P10" s="127"/>
      <c r="Q10" s="127"/>
      <c r="R10" s="127"/>
      <c r="S10" s="127"/>
      <c r="T10" s="124"/>
      <c r="U10" s="124"/>
      <c r="V10" s="124"/>
      <c r="W10" s="124"/>
      <c r="X10" s="124"/>
    </row>
    <row r="11" spans="1:24" ht="15" thickTop="1" thickBot="1">
      <c r="A11" s="124"/>
      <c r="B11" s="127" t="s">
        <v>236</v>
      </c>
      <c r="C11" s="127" t="s">
        <v>295</v>
      </c>
      <c r="D11" s="127"/>
      <c r="E11" s="190"/>
      <c r="F11" s="127" t="s">
        <v>237</v>
      </c>
      <c r="G11" s="127"/>
      <c r="H11" s="127"/>
      <c r="I11" s="127"/>
      <c r="J11" s="127"/>
      <c r="K11" s="127"/>
      <c r="L11" s="127"/>
      <c r="M11" s="127"/>
      <c r="N11" s="127"/>
      <c r="O11" s="128"/>
      <c r="P11" s="127"/>
      <c r="Q11" s="127"/>
      <c r="R11" s="127"/>
      <c r="S11" s="127"/>
      <c r="T11" s="124"/>
      <c r="U11" s="124"/>
      <c r="V11" s="124"/>
      <c r="W11" s="124"/>
      <c r="X11" s="124"/>
    </row>
    <row r="12" spans="1:24" ht="15" thickTop="1" thickBot="1">
      <c r="A12" s="124"/>
      <c r="B12" s="127" t="s">
        <v>238</v>
      </c>
      <c r="C12" s="127" t="s">
        <v>239</v>
      </c>
      <c r="D12" s="127"/>
      <c r="E12" s="190"/>
      <c r="F12" s="127" t="s">
        <v>240</v>
      </c>
      <c r="G12" s="127"/>
      <c r="H12" s="127"/>
      <c r="I12" s="127"/>
      <c r="J12" s="127"/>
      <c r="K12" s="127"/>
      <c r="L12" s="127"/>
      <c r="M12" s="127"/>
      <c r="N12" s="127"/>
      <c r="O12" s="128"/>
      <c r="P12" s="127"/>
      <c r="Q12" s="127"/>
      <c r="R12" s="127"/>
      <c r="S12" s="127"/>
      <c r="T12" s="124"/>
      <c r="U12" s="124"/>
      <c r="V12" s="124"/>
      <c r="W12" s="124"/>
      <c r="X12" s="124"/>
    </row>
    <row r="13" spans="1:24" ht="15" thickTop="1" thickBot="1">
      <c r="A13" s="124"/>
      <c r="B13" s="127" t="s">
        <v>241</v>
      </c>
      <c r="C13" s="127" t="s">
        <v>218</v>
      </c>
      <c r="D13" s="127" t="s">
        <v>216</v>
      </c>
      <c r="E13" s="191"/>
      <c r="F13" s="127" t="s">
        <v>242</v>
      </c>
      <c r="G13" s="127" t="s">
        <v>215</v>
      </c>
      <c r="H13" s="241">
        <f>100-E13</f>
        <v>100</v>
      </c>
      <c r="I13" s="127" t="s">
        <v>164</v>
      </c>
      <c r="J13" s="127"/>
      <c r="K13" s="127"/>
      <c r="L13" s="127"/>
      <c r="M13" s="127"/>
      <c r="N13" s="127"/>
      <c r="O13" s="128"/>
      <c r="P13" s="127"/>
      <c r="Q13" s="127"/>
      <c r="R13" s="127"/>
      <c r="S13" s="127"/>
      <c r="T13" s="124"/>
      <c r="U13" s="124"/>
      <c r="V13" s="124"/>
      <c r="W13" s="124"/>
      <c r="X13" s="124"/>
    </row>
    <row r="14" spans="1:24" ht="15" thickTop="1" thickBot="1">
      <c r="A14" s="124"/>
      <c r="B14" s="127"/>
      <c r="C14" s="127" t="s">
        <v>243</v>
      </c>
      <c r="D14" s="127" t="s">
        <v>216</v>
      </c>
      <c r="E14" s="224">
        <f>$E$9*E13/100</f>
        <v>0</v>
      </c>
      <c r="F14" s="127" t="s">
        <v>214</v>
      </c>
      <c r="G14" s="127" t="s">
        <v>215</v>
      </c>
      <c r="H14" s="224">
        <f>$E$9*H13/100</f>
        <v>0</v>
      </c>
      <c r="I14" s="127" t="s">
        <v>214</v>
      </c>
      <c r="J14" s="127"/>
      <c r="K14" s="127"/>
      <c r="L14" s="127"/>
      <c r="M14" s="127"/>
      <c r="N14" s="127"/>
      <c r="O14" s="128"/>
      <c r="P14" s="127"/>
      <c r="Q14" s="127"/>
      <c r="R14" s="127"/>
      <c r="S14" s="127"/>
      <c r="T14" s="124"/>
      <c r="U14" s="124"/>
      <c r="V14" s="124"/>
      <c r="W14" s="124"/>
      <c r="X14" s="124"/>
    </row>
    <row r="15" spans="1:24" ht="15" thickTop="1" thickBot="1">
      <c r="A15" s="124"/>
      <c r="B15" s="127"/>
      <c r="C15" s="127" t="s">
        <v>218</v>
      </c>
      <c r="D15" s="127" t="s">
        <v>216</v>
      </c>
      <c r="E15" s="191"/>
      <c r="F15" s="127" t="s">
        <v>244</v>
      </c>
      <c r="G15" s="127" t="s">
        <v>215</v>
      </c>
      <c r="H15" s="241">
        <f>100-E15</f>
        <v>100</v>
      </c>
      <c r="I15" s="127" t="s">
        <v>164</v>
      </c>
      <c r="J15" s="127"/>
      <c r="K15" s="127"/>
      <c r="L15" s="127"/>
      <c r="M15" s="127"/>
      <c r="N15" s="127"/>
      <c r="O15" s="128"/>
      <c r="P15" s="127"/>
      <c r="Q15" s="127"/>
      <c r="R15" s="127"/>
      <c r="S15" s="127"/>
      <c r="T15" s="124"/>
      <c r="U15" s="124"/>
      <c r="V15" s="124"/>
      <c r="W15" s="124"/>
      <c r="X15" s="124"/>
    </row>
    <row r="16" spans="1:24" ht="14.25" thickTop="1">
      <c r="A16" s="124"/>
      <c r="B16" s="127"/>
      <c r="C16" s="127" t="s">
        <v>245</v>
      </c>
      <c r="D16" s="127" t="s">
        <v>216</v>
      </c>
      <c r="E16" s="224">
        <f>$E$10*E15/100</f>
        <v>0</v>
      </c>
      <c r="F16" s="127" t="s">
        <v>214</v>
      </c>
      <c r="G16" s="127" t="s">
        <v>215</v>
      </c>
      <c r="H16" s="224">
        <f>$E$10*H15/100</f>
        <v>0</v>
      </c>
      <c r="I16" s="127" t="s">
        <v>214</v>
      </c>
      <c r="J16" s="127"/>
      <c r="K16" s="127"/>
      <c r="L16" s="127"/>
      <c r="M16" s="127"/>
      <c r="N16" s="127"/>
      <c r="O16" s="128"/>
      <c r="P16" s="127"/>
      <c r="Q16" s="127"/>
      <c r="R16" s="127"/>
      <c r="S16" s="127"/>
      <c r="T16" s="124"/>
      <c r="U16" s="124"/>
      <c r="V16" s="124"/>
      <c r="W16" s="124"/>
      <c r="X16" s="124"/>
    </row>
    <row r="17" spans="1:24">
      <c r="A17" s="124"/>
      <c r="B17" s="127"/>
      <c r="C17" s="127"/>
      <c r="D17" s="127"/>
      <c r="E17" s="127"/>
      <c r="F17" s="127"/>
      <c r="G17" s="127"/>
      <c r="H17" s="127"/>
      <c r="I17" s="127"/>
      <c r="J17" s="127"/>
      <c r="K17" s="127"/>
      <c r="L17" s="127"/>
      <c r="M17" s="127"/>
      <c r="N17" s="127"/>
      <c r="O17" s="128"/>
      <c r="P17" s="127"/>
      <c r="Q17" s="127"/>
      <c r="R17" s="127"/>
      <c r="S17" s="127"/>
      <c r="T17" s="124"/>
      <c r="U17" s="124"/>
      <c r="V17" s="124"/>
      <c r="W17" s="124"/>
      <c r="X17" s="124"/>
    </row>
    <row r="18" spans="1:24">
      <c r="A18" s="124"/>
      <c r="B18" s="127" t="s">
        <v>246</v>
      </c>
      <c r="C18" s="127" t="s">
        <v>212</v>
      </c>
      <c r="D18" s="127"/>
      <c r="E18" s="127"/>
      <c r="F18" s="127"/>
      <c r="G18" s="127"/>
      <c r="H18" s="127"/>
      <c r="I18" s="127"/>
      <c r="J18" s="127"/>
      <c r="K18" s="127"/>
      <c r="L18" s="127"/>
      <c r="M18" s="127"/>
      <c r="N18" s="127"/>
      <c r="O18" s="128"/>
      <c r="P18" s="127"/>
      <c r="Q18" s="127"/>
      <c r="R18" s="127"/>
      <c r="S18" s="127"/>
      <c r="T18" s="124"/>
      <c r="U18" s="124"/>
      <c r="V18" s="124"/>
      <c r="W18" s="124"/>
      <c r="X18" s="124"/>
    </row>
    <row r="19" spans="1:24">
      <c r="A19" s="124"/>
      <c r="B19" s="127"/>
      <c r="C19" s="127" t="s">
        <v>247</v>
      </c>
      <c r="D19" s="127"/>
      <c r="E19" s="127"/>
      <c r="F19" s="127"/>
      <c r="G19" s="127"/>
      <c r="H19" s="127"/>
      <c r="I19" s="127"/>
      <c r="J19" s="127"/>
      <c r="K19" s="127"/>
      <c r="L19" s="127"/>
      <c r="M19" s="127"/>
      <c r="N19" s="127"/>
      <c r="O19" s="128"/>
      <c r="P19" s="127"/>
      <c r="Q19" s="127"/>
      <c r="R19" s="127"/>
      <c r="S19" s="127"/>
      <c r="T19" s="124"/>
      <c r="U19" s="124"/>
      <c r="V19" s="124"/>
      <c r="W19" s="124"/>
      <c r="X19" s="124"/>
    </row>
    <row r="20" spans="1:24" ht="14.25" thickBot="1">
      <c r="A20" s="124"/>
      <c r="B20" s="127"/>
      <c r="C20" s="127"/>
      <c r="D20" s="127"/>
      <c r="E20" s="127" t="s">
        <v>190</v>
      </c>
      <c r="F20" s="127"/>
      <c r="G20" s="127" t="s">
        <v>210</v>
      </c>
      <c r="H20" s="127"/>
      <c r="I20" s="140" t="s">
        <v>248</v>
      </c>
      <c r="J20" s="127"/>
      <c r="K20" s="127" t="s">
        <v>209</v>
      </c>
      <c r="L20" s="127"/>
      <c r="M20" s="127"/>
      <c r="N20" s="127"/>
      <c r="O20" s="127"/>
      <c r="P20" s="127"/>
      <c r="Q20" s="128"/>
      <c r="R20" s="127"/>
      <c r="S20" s="127"/>
      <c r="T20" s="127"/>
      <c r="U20" s="127"/>
      <c r="V20" s="124"/>
      <c r="W20" s="124"/>
      <c r="X20" s="124"/>
    </row>
    <row r="21" spans="1:24" ht="15" thickTop="1" thickBot="1">
      <c r="A21" s="124"/>
      <c r="B21" s="127"/>
      <c r="C21" s="127" t="s">
        <v>208</v>
      </c>
      <c r="D21" s="132"/>
      <c r="E21" s="192"/>
      <c r="F21" s="127" t="s">
        <v>183</v>
      </c>
      <c r="G21" s="194">
        <v>4.7E-2</v>
      </c>
      <c r="H21" s="142" t="s">
        <v>249</v>
      </c>
      <c r="I21" s="197"/>
      <c r="J21" s="146" t="s">
        <v>250</v>
      </c>
      <c r="K21" s="193">
        <f>E$14</f>
        <v>0</v>
      </c>
      <c r="L21" s="127" t="s">
        <v>201</v>
      </c>
      <c r="M21" s="223">
        <f>E21*G21*I21*K21</f>
        <v>0</v>
      </c>
      <c r="N21" s="127" t="s">
        <v>172</v>
      </c>
      <c r="O21" s="127"/>
      <c r="P21" s="127"/>
      <c r="Q21" s="128"/>
      <c r="R21" s="127"/>
      <c r="S21" s="132" t="s">
        <v>186</v>
      </c>
      <c r="T21" s="236">
        <f t="shared" ref="T21:T26" si="0">M21*O$28</f>
        <v>0</v>
      </c>
      <c r="U21" s="127"/>
      <c r="V21" s="124"/>
      <c r="W21" s="124"/>
      <c r="X21" s="124"/>
    </row>
    <row r="22" spans="1:24" ht="15" thickTop="1" thickBot="1">
      <c r="A22" s="124"/>
      <c r="B22" s="127"/>
      <c r="C22" s="127" t="s">
        <v>207</v>
      </c>
      <c r="D22" s="132"/>
      <c r="E22" s="192"/>
      <c r="F22" s="127" t="s">
        <v>183</v>
      </c>
      <c r="G22" s="194">
        <v>0.32</v>
      </c>
      <c r="H22" s="142" t="s">
        <v>249</v>
      </c>
      <c r="I22" s="197"/>
      <c r="J22" s="146" t="s">
        <v>251</v>
      </c>
      <c r="K22" s="193">
        <f>E$14</f>
        <v>0</v>
      </c>
      <c r="L22" s="127" t="s">
        <v>201</v>
      </c>
      <c r="M22" s="223">
        <f>E22*G22*I22*K22</f>
        <v>0</v>
      </c>
      <c r="N22" s="127" t="s">
        <v>172</v>
      </c>
      <c r="O22" s="127"/>
      <c r="P22" s="127"/>
      <c r="Q22" s="128"/>
      <c r="R22" s="127"/>
      <c r="S22" s="132" t="s">
        <v>186</v>
      </c>
      <c r="T22" s="236">
        <f t="shared" si="0"/>
        <v>0</v>
      </c>
      <c r="U22" s="127"/>
      <c r="V22" s="124"/>
      <c r="W22" s="124"/>
      <c r="X22" s="124"/>
    </row>
    <row r="23" spans="1:24" ht="15" thickTop="1" thickBot="1">
      <c r="A23" s="124"/>
      <c r="B23" s="127"/>
      <c r="C23" s="127" t="s">
        <v>206</v>
      </c>
      <c r="D23" s="135"/>
      <c r="E23" s="192"/>
      <c r="F23" s="127" t="s">
        <v>183</v>
      </c>
      <c r="G23" s="194">
        <f>G21+G22</f>
        <v>0.36699999999999999</v>
      </c>
      <c r="H23" s="142" t="s">
        <v>249</v>
      </c>
      <c r="I23" s="197"/>
      <c r="J23" s="146" t="s">
        <v>252</v>
      </c>
      <c r="K23" s="193">
        <f>E$14</f>
        <v>0</v>
      </c>
      <c r="L23" s="127" t="s">
        <v>201</v>
      </c>
      <c r="M23" s="223">
        <f>E23*G23*I23*K23</f>
        <v>0</v>
      </c>
      <c r="N23" s="127" t="s">
        <v>172</v>
      </c>
      <c r="O23" s="127"/>
      <c r="P23" s="127"/>
      <c r="Q23" s="128"/>
      <c r="R23" s="127"/>
      <c r="S23" s="135" t="s">
        <v>158</v>
      </c>
      <c r="T23" s="237">
        <f t="shared" si="0"/>
        <v>0</v>
      </c>
      <c r="U23" s="127"/>
      <c r="V23" s="124"/>
      <c r="W23" s="124"/>
      <c r="X23" s="124"/>
    </row>
    <row r="24" spans="1:24" ht="15" thickTop="1" thickBot="1">
      <c r="A24" s="124"/>
      <c r="B24" s="127"/>
      <c r="C24" s="127" t="s">
        <v>205</v>
      </c>
      <c r="D24" s="132"/>
      <c r="E24" s="192"/>
      <c r="F24" s="127" t="s">
        <v>183</v>
      </c>
      <c r="G24" s="194">
        <v>0.32600000000000001</v>
      </c>
      <c r="H24" s="142" t="s">
        <v>249</v>
      </c>
      <c r="I24" s="197"/>
      <c r="J24" s="146" t="s">
        <v>252</v>
      </c>
      <c r="K24" s="193">
        <f>H$14</f>
        <v>0</v>
      </c>
      <c r="L24" s="127" t="s">
        <v>201</v>
      </c>
      <c r="M24" s="223">
        <f>E24*G24*I24*K24</f>
        <v>0</v>
      </c>
      <c r="N24" s="127" t="s">
        <v>172</v>
      </c>
      <c r="O24" s="127"/>
      <c r="P24" s="127"/>
      <c r="Q24" s="128"/>
      <c r="R24" s="127"/>
      <c r="S24" s="132" t="s">
        <v>186</v>
      </c>
      <c r="T24" s="236">
        <f t="shared" si="0"/>
        <v>0</v>
      </c>
      <c r="U24" s="127"/>
      <c r="V24" s="124"/>
      <c r="W24" s="124"/>
      <c r="X24" s="124"/>
    </row>
    <row r="25" spans="1:24" ht="15" thickTop="1" thickBot="1">
      <c r="A25" s="124"/>
      <c r="B25" s="127"/>
      <c r="C25" s="127" t="s">
        <v>204</v>
      </c>
      <c r="D25" s="135"/>
      <c r="E25" s="192"/>
      <c r="F25" s="127" t="s">
        <v>183</v>
      </c>
      <c r="G25" s="194">
        <f>G24</f>
        <v>0.32600000000000001</v>
      </c>
      <c r="H25" s="142" t="s">
        <v>249</v>
      </c>
      <c r="I25" s="197"/>
      <c r="J25" s="146" t="s">
        <v>252</v>
      </c>
      <c r="K25" s="193">
        <f>H$14</f>
        <v>0</v>
      </c>
      <c r="L25" s="127" t="s">
        <v>201</v>
      </c>
      <c r="M25" s="223">
        <f>E25*G25*I25*K25</f>
        <v>0</v>
      </c>
      <c r="N25" s="127" t="s">
        <v>172</v>
      </c>
      <c r="O25" s="124"/>
      <c r="P25" s="127"/>
      <c r="Q25" s="128"/>
      <c r="R25" s="127"/>
      <c r="S25" s="135" t="s">
        <v>158</v>
      </c>
      <c r="T25" s="237">
        <f t="shared" si="0"/>
        <v>0</v>
      </c>
      <c r="U25" s="127"/>
      <c r="V25" s="124"/>
      <c r="W25" s="124"/>
      <c r="X25" s="124"/>
    </row>
    <row r="26" spans="1:24" ht="15" thickTop="1" thickBot="1">
      <c r="A26" s="124"/>
      <c r="B26" s="127"/>
      <c r="C26" s="127" t="s">
        <v>203</v>
      </c>
      <c r="D26" s="135"/>
      <c r="E26" s="192"/>
      <c r="F26" s="127" t="s">
        <v>183</v>
      </c>
      <c r="G26" s="194">
        <v>3</v>
      </c>
      <c r="H26" s="127" t="s">
        <v>202</v>
      </c>
      <c r="I26" s="151"/>
      <c r="J26" s="127"/>
      <c r="K26" s="193">
        <f>$E9</f>
        <v>0</v>
      </c>
      <c r="L26" s="127" t="s">
        <v>201</v>
      </c>
      <c r="M26" s="223">
        <f>E26*G26*K26</f>
        <v>0</v>
      </c>
      <c r="N26" s="127" t="s">
        <v>200</v>
      </c>
      <c r="O26" s="127"/>
      <c r="P26" s="127"/>
      <c r="Q26" s="128"/>
      <c r="R26" s="127"/>
      <c r="S26" s="135" t="s">
        <v>158</v>
      </c>
      <c r="T26" s="237">
        <f t="shared" si="0"/>
        <v>0</v>
      </c>
      <c r="U26" s="127"/>
      <c r="V26" s="124"/>
      <c r="W26" s="124"/>
      <c r="X26" s="124"/>
    </row>
    <row r="27" spans="1:24" ht="14.25" thickTop="1">
      <c r="A27" s="124"/>
      <c r="B27" s="127"/>
      <c r="C27" s="127"/>
      <c r="D27" s="135"/>
      <c r="E27" s="127"/>
      <c r="F27" s="127"/>
      <c r="G27" s="127"/>
      <c r="H27" s="127"/>
      <c r="I27" s="127"/>
      <c r="J27" s="127"/>
      <c r="K27" s="127"/>
      <c r="L27" s="127"/>
      <c r="M27" s="127"/>
      <c r="N27" s="127"/>
      <c r="O27" s="127" t="s">
        <v>175</v>
      </c>
      <c r="P27" s="127"/>
      <c r="Q27" s="128"/>
      <c r="R27" s="127"/>
      <c r="S27" s="127"/>
      <c r="T27" s="127"/>
      <c r="U27" s="127"/>
      <c r="V27" s="124"/>
      <c r="W27" s="124"/>
      <c r="X27" s="124"/>
    </row>
    <row r="28" spans="1:24" ht="15" customHeight="1">
      <c r="A28" s="124"/>
      <c r="B28" s="127"/>
      <c r="C28" s="127"/>
      <c r="D28" s="127"/>
      <c r="E28" s="127" t="s">
        <v>199</v>
      </c>
      <c r="F28" s="127"/>
      <c r="G28" s="127"/>
      <c r="H28" s="127"/>
      <c r="I28" s="127"/>
      <c r="J28" s="127"/>
      <c r="K28" s="127"/>
      <c r="L28" s="137" t="s">
        <v>181</v>
      </c>
      <c r="M28" s="223">
        <f>SUM(M21:M26)</f>
        <v>0</v>
      </c>
      <c r="N28" s="127" t="s">
        <v>180</v>
      </c>
      <c r="O28" s="224">
        <f>$E$12</f>
        <v>0</v>
      </c>
      <c r="P28" s="127" t="s">
        <v>171</v>
      </c>
      <c r="Q28" s="225">
        <f>M28*O28</f>
        <v>0</v>
      </c>
      <c r="R28" s="127" t="s">
        <v>154</v>
      </c>
      <c r="S28" s="127" t="s">
        <v>179</v>
      </c>
      <c r="T28" s="235">
        <f>SUM(T21:T27)</f>
        <v>0</v>
      </c>
      <c r="U28" s="127" t="s">
        <v>253</v>
      </c>
      <c r="V28" s="240" t="e">
        <f>T28/E9/E12</f>
        <v>#DIV/0!</v>
      </c>
      <c r="W28" s="124" t="s">
        <v>168</v>
      </c>
      <c r="X28" s="124"/>
    </row>
    <row r="29" spans="1:24">
      <c r="A29" s="124"/>
      <c r="B29" s="127"/>
      <c r="C29" s="127"/>
      <c r="D29" s="127"/>
      <c r="E29" s="127"/>
      <c r="F29" s="127"/>
      <c r="G29" s="127"/>
      <c r="H29" s="127"/>
      <c r="I29" s="127"/>
      <c r="J29" s="127"/>
      <c r="K29" s="127"/>
      <c r="L29" s="137" t="s">
        <v>254</v>
      </c>
      <c r="M29" s="133" t="e">
        <f>M28/$E$9</f>
        <v>#DIV/0!</v>
      </c>
      <c r="N29" s="127" t="s">
        <v>198</v>
      </c>
      <c r="O29" s="127"/>
      <c r="P29" s="137" t="s">
        <v>254</v>
      </c>
      <c r="Q29" s="128" t="e">
        <f>Q28/$E$11</f>
        <v>#DIV/0!</v>
      </c>
      <c r="R29" s="127" t="s">
        <v>152</v>
      </c>
      <c r="S29" s="127"/>
      <c r="T29" s="127"/>
      <c r="U29" s="127"/>
      <c r="V29" s="124"/>
      <c r="W29" s="124"/>
      <c r="X29" s="124"/>
    </row>
    <row r="30" spans="1:24">
      <c r="A30" s="124"/>
      <c r="B30" s="127"/>
      <c r="C30" s="127"/>
      <c r="D30" s="127"/>
      <c r="E30" s="127"/>
      <c r="F30" s="127"/>
      <c r="G30" s="127"/>
      <c r="H30" s="127"/>
      <c r="I30" s="127"/>
      <c r="J30" s="127"/>
      <c r="K30" s="127"/>
      <c r="L30" s="137"/>
      <c r="M30" s="133"/>
      <c r="N30" s="127"/>
      <c r="O30" s="127"/>
      <c r="P30" s="137"/>
      <c r="Q30" s="128"/>
      <c r="R30" s="127"/>
      <c r="S30" s="127"/>
      <c r="T30" s="127"/>
      <c r="U30" s="127"/>
      <c r="V30" s="124"/>
      <c r="W30" s="124"/>
      <c r="X30" s="124"/>
    </row>
    <row r="31" spans="1:24">
      <c r="A31" s="124"/>
      <c r="B31" s="127"/>
      <c r="C31" s="127" t="s">
        <v>255</v>
      </c>
      <c r="D31" s="127"/>
      <c r="E31" s="127"/>
      <c r="F31" s="127"/>
      <c r="G31" s="127"/>
      <c r="H31" s="127"/>
      <c r="I31" s="127"/>
      <c r="J31" s="127"/>
      <c r="K31" s="127"/>
      <c r="L31" s="127"/>
      <c r="M31" s="127"/>
      <c r="N31" s="127"/>
      <c r="O31" s="127"/>
      <c r="P31" s="127"/>
      <c r="Q31" s="128"/>
      <c r="R31" s="127"/>
      <c r="S31" s="127"/>
      <c r="T31" s="127"/>
      <c r="U31" s="127"/>
      <c r="V31" s="124"/>
      <c r="W31" s="124"/>
      <c r="X31" s="124"/>
    </row>
    <row r="32" spans="1:24" ht="14.25" thickBot="1">
      <c r="A32" s="124"/>
      <c r="B32" s="127"/>
      <c r="C32" s="127"/>
      <c r="D32" s="127"/>
      <c r="E32" s="127" t="s">
        <v>190</v>
      </c>
      <c r="F32" s="127"/>
      <c r="G32" s="127" t="s">
        <v>210</v>
      </c>
      <c r="H32" s="127"/>
      <c r="I32" s="140" t="s">
        <v>248</v>
      </c>
      <c r="J32" s="127"/>
      <c r="K32" s="127" t="s">
        <v>209</v>
      </c>
      <c r="L32" s="127"/>
      <c r="M32" s="127"/>
      <c r="N32" s="127"/>
      <c r="O32" s="127"/>
      <c r="P32" s="127"/>
      <c r="Q32" s="128"/>
      <c r="R32" s="127"/>
      <c r="S32" s="127"/>
      <c r="T32" s="127"/>
      <c r="U32" s="127"/>
      <c r="V32" s="124"/>
      <c r="W32" s="124"/>
      <c r="X32" s="124"/>
    </row>
    <row r="33" spans="1:24" ht="15" thickTop="1" thickBot="1">
      <c r="A33" s="124"/>
      <c r="B33" s="127"/>
      <c r="C33" s="127" t="s">
        <v>208</v>
      </c>
      <c r="D33" s="132"/>
      <c r="E33" s="192"/>
      <c r="F33" s="127" t="s">
        <v>183</v>
      </c>
      <c r="G33" s="194">
        <v>4.7E-2</v>
      </c>
      <c r="H33" s="142" t="s">
        <v>249</v>
      </c>
      <c r="I33" s="197"/>
      <c r="J33" s="146" t="s">
        <v>252</v>
      </c>
      <c r="K33" s="193">
        <f>E$16</f>
        <v>0</v>
      </c>
      <c r="L33" s="127" t="s">
        <v>201</v>
      </c>
      <c r="M33" s="223">
        <f>E33*G33*I33*K33</f>
        <v>0</v>
      </c>
      <c r="N33" s="127" t="s">
        <v>172</v>
      </c>
      <c r="O33" s="127"/>
      <c r="P33" s="127"/>
      <c r="Q33" s="128"/>
      <c r="R33" s="127"/>
      <c r="S33" s="132" t="s">
        <v>186</v>
      </c>
      <c r="T33" s="236">
        <f>M33*O$28</f>
        <v>0</v>
      </c>
      <c r="U33" s="127"/>
      <c r="V33" s="124"/>
      <c r="W33" s="124"/>
      <c r="X33" s="124"/>
    </row>
    <row r="34" spans="1:24" ht="15" thickTop="1" thickBot="1">
      <c r="A34" s="124"/>
      <c r="B34" s="127"/>
      <c r="C34" s="127" t="s">
        <v>207</v>
      </c>
      <c r="D34" s="132"/>
      <c r="E34" s="192"/>
      <c r="F34" s="127" t="s">
        <v>183</v>
      </c>
      <c r="G34" s="194">
        <v>0.32</v>
      </c>
      <c r="H34" s="142" t="s">
        <v>249</v>
      </c>
      <c r="I34" s="197"/>
      <c r="J34" s="146" t="s">
        <v>252</v>
      </c>
      <c r="K34" s="193">
        <f>E$16</f>
        <v>0</v>
      </c>
      <c r="L34" s="127" t="s">
        <v>201</v>
      </c>
      <c r="M34" s="223">
        <f>E34*G34*I34*K34</f>
        <v>0</v>
      </c>
      <c r="N34" s="127" t="s">
        <v>172</v>
      </c>
      <c r="O34" s="127"/>
      <c r="P34" s="127"/>
      <c r="Q34" s="128"/>
      <c r="R34" s="127"/>
      <c r="S34" s="132" t="s">
        <v>186</v>
      </c>
      <c r="T34" s="236">
        <f>M34*O$28</f>
        <v>0</v>
      </c>
      <c r="U34" s="127"/>
      <c r="V34" s="124"/>
      <c r="W34" s="124"/>
      <c r="X34" s="124"/>
    </row>
    <row r="35" spans="1:24" ht="15" thickTop="1" thickBot="1">
      <c r="A35" s="124"/>
      <c r="B35" s="127"/>
      <c r="C35" s="127" t="s">
        <v>206</v>
      </c>
      <c r="D35" s="135"/>
      <c r="E35" s="192"/>
      <c r="F35" s="127" t="s">
        <v>183</v>
      </c>
      <c r="G35" s="194">
        <f>G33+G34</f>
        <v>0.36699999999999999</v>
      </c>
      <c r="H35" s="142" t="s">
        <v>249</v>
      </c>
      <c r="I35" s="197"/>
      <c r="J35" s="146" t="s">
        <v>252</v>
      </c>
      <c r="K35" s="193">
        <f>E$16</f>
        <v>0</v>
      </c>
      <c r="L35" s="127" t="s">
        <v>201</v>
      </c>
      <c r="M35" s="223">
        <f>E35*G35*I35*K35</f>
        <v>0</v>
      </c>
      <c r="N35" s="127" t="s">
        <v>172</v>
      </c>
      <c r="O35" s="127"/>
      <c r="P35" s="127"/>
      <c r="Q35" s="128"/>
      <c r="R35" s="127"/>
      <c r="S35" s="135" t="s">
        <v>158</v>
      </c>
      <c r="T35" s="237">
        <f>M35*O$28</f>
        <v>0</v>
      </c>
      <c r="U35" s="127"/>
      <c r="V35" s="124"/>
      <c r="W35" s="124"/>
      <c r="X35" s="124"/>
    </row>
    <row r="36" spans="1:24" ht="15" thickTop="1" thickBot="1">
      <c r="A36" s="124"/>
      <c r="B36" s="127"/>
      <c r="C36" s="127" t="s">
        <v>205</v>
      </c>
      <c r="D36" s="132"/>
      <c r="E36" s="192"/>
      <c r="F36" s="127" t="s">
        <v>183</v>
      </c>
      <c r="G36" s="194">
        <v>0.32600000000000001</v>
      </c>
      <c r="H36" s="142" t="s">
        <v>249</v>
      </c>
      <c r="I36" s="197"/>
      <c r="J36" s="146" t="s">
        <v>252</v>
      </c>
      <c r="K36" s="193">
        <f>H$16</f>
        <v>0</v>
      </c>
      <c r="L36" s="127" t="s">
        <v>201</v>
      </c>
      <c r="M36" s="223">
        <f>E36*G36*I36*K36</f>
        <v>0</v>
      </c>
      <c r="N36" s="127" t="s">
        <v>172</v>
      </c>
      <c r="O36" s="127"/>
      <c r="P36" s="127"/>
      <c r="Q36" s="128"/>
      <c r="R36" s="127"/>
      <c r="S36" s="132" t="s">
        <v>186</v>
      </c>
      <c r="T36" s="236">
        <f>M36*O$28</f>
        <v>0</v>
      </c>
      <c r="U36" s="127"/>
      <c r="V36" s="124"/>
      <c r="W36" s="124"/>
      <c r="X36" s="124"/>
    </row>
    <row r="37" spans="1:24" ht="15" thickTop="1" thickBot="1">
      <c r="A37" s="124"/>
      <c r="B37" s="127"/>
      <c r="C37" s="127" t="s">
        <v>204</v>
      </c>
      <c r="D37" s="135"/>
      <c r="E37" s="192"/>
      <c r="F37" s="127" t="s">
        <v>183</v>
      </c>
      <c r="G37" s="194">
        <f>G36</f>
        <v>0.32600000000000001</v>
      </c>
      <c r="H37" s="142" t="s">
        <v>249</v>
      </c>
      <c r="I37" s="197"/>
      <c r="J37" s="146" t="s">
        <v>252</v>
      </c>
      <c r="K37" s="193">
        <f>H$16</f>
        <v>0</v>
      </c>
      <c r="L37" s="127" t="s">
        <v>201</v>
      </c>
      <c r="M37" s="223">
        <f>E37*G37*I37*K37</f>
        <v>0</v>
      </c>
      <c r="N37" s="127" t="s">
        <v>172</v>
      </c>
      <c r="O37" s="124"/>
      <c r="P37" s="127"/>
      <c r="Q37" s="128"/>
      <c r="R37" s="127"/>
      <c r="S37" s="135" t="s">
        <v>158</v>
      </c>
      <c r="T37" s="237">
        <f>M37*O$28</f>
        <v>0</v>
      </c>
      <c r="U37" s="127"/>
      <c r="V37" s="124"/>
      <c r="W37" s="124"/>
      <c r="X37" s="124"/>
    </row>
    <row r="38" spans="1:24" ht="14.25" thickTop="1">
      <c r="A38" s="124"/>
      <c r="B38" s="127"/>
      <c r="C38" s="127"/>
      <c r="D38" s="135"/>
      <c r="E38" s="127"/>
      <c r="F38" s="127"/>
      <c r="G38" s="127"/>
      <c r="H38" s="127"/>
      <c r="I38" s="151"/>
      <c r="J38" s="127"/>
      <c r="K38" s="127"/>
      <c r="L38" s="127"/>
      <c r="M38" s="124"/>
      <c r="N38" s="127"/>
      <c r="O38" s="127" t="s">
        <v>175</v>
      </c>
      <c r="P38" s="127"/>
      <c r="Q38" s="127"/>
      <c r="R38" s="127"/>
      <c r="S38" s="127"/>
      <c r="T38" s="124"/>
      <c r="U38" s="124"/>
      <c r="V38" s="124"/>
      <c r="W38" s="124"/>
      <c r="X38" s="124"/>
    </row>
    <row r="39" spans="1:24" ht="15" customHeight="1">
      <c r="A39" s="124"/>
      <c r="B39" s="127"/>
      <c r="C39" s="127"/>
      <c r="D39" s="127"/>
      <c r="E39" s="127" t="s">
        <v>199</v>
      </c>
      <c r="F39" s="127"/>
      <c r="G39" s="127"/>
      <c r="H39" s="127"/>
      <c r="I39" s="127"/>
      <c r="J39" s="127"/>
      <c r="K39" s="127"/>
      <c r="L39" s="137" t="s">
        <v>181</v>
      </c>
      <c r="M39" s="223">
        <f>SUM(M33:M37)</f>
        <v>0</v>
      </c>
      <c r="N39" s="127" t="s">
        <v>180</v>
      </c>
      <c r="O39" s="127">
        <f>$E$12</f>
        <v>0</v>
      </c>
      <c r="P39" s="127" t="s">
        <v>171</v>
      </c>
      <c r="Q39" s="225">
        <f>M39*O39</f>
        <v>0</v>
      </c>
      <c r="R39" s="127" t="s">
        <v>154</v>
      </c>
      <c r="S39" s="127" t="s">
        <v>179</v>
      </c>
      <c r="T39" s="235">
        <f>SUM(T33:T38)</f>
        <v>0</v>
      </c>
      <c r="U39" s="127" t="s">
        <v>256</v>
      </c>
      <c r="V39" s="240" t="e">
        <f>T39/E10/E12</f>
        <v>#DIV/0!</v>
      </c>
      <c r="W39" s="124" t="s">
        <v>168</v>
      </c>
      <c r="X39" s="124"/>
    </row>
    <row r="40" spans="1:24">
      <c r="A40" s="124"/>
      <c r="B40" s="127"/>
      <c r="C40" s="127"/>
      <c r="D40" s="127"/>
      <c r="E40" s="127"/>
      <c r="F40" s="127"/>
      <c r="G40" s="127"/>
      <c r="H40" s="127"/>
      <c r="I40" s="127"/>
      <c r="J40" s="127"/>
      <c r="K40" s="127"/>
      <c r="L40" s="137" t="s">
        <v>254</v>
      </c>
      <c r="M40" s="239" t="e">
        <f>M39/$E$9</f>
        <v>#DIV/0!</v>
      </c>
      <c r="N40" s="127" t="s">
        <v>198</v>
      </c>
      <c r="O40" s="127"/>
      <c r="P40" s="137" t="s">
        <v>254</v>
      </c>
      <c r="Q40" s="238" t="e">
        <f>Q39/$E$11</f>
        <v>#DIV/0!</v>
      </c>
      <c r="R40" s="127" t="s">
        <v>152</v>
      </c>
      <c r="S40" s="127"/>
      <c r="T40" s="127"/>
      <c r="U40" s="127"/>
      <c r="V40" s="124"/>
      <c r="W40" s="124"/>
      <c r="X40" s="124"/>
    </row>
    <row r="41" spans="1:24">
      <c r="A41" s="124"/>
      <c r="B41" s="127"/>
      <c r="C41" s="127"/>
      <c r="D41" s="127"/>
      <c r="E41" s="127"/>
      <c r="F41" s="127"/>
      <c r="G41" s="127"/>
      <c r="H41" s="127"/>
      <c r="I41" s="127"/>
      <c r="J41" s="137"/>
      <c r="K41" s="133"/>
      <c r="L41" s="127"/>
      <c r="M41" s="127"/>
      <c r="N41" s="137"/>
      <c r="O41" s="128"/>
      <c r="P41" s="127"/>
      <c r="Q41" s="127"/>
      <c r="R41" s="127"/>
      <c r="S41" s="127"/>
      <c r="T41" s="124"/>
      <c r="U41" s="124"/>
      <c r="V41" s="124"/>
      <c r="W41" s="124"/>
      <c r="X41" s="124"/>
    </row>
    <row r="42" spans="1:24">
      <c r="A42" s="124"/>
      <c r="B42" s="127"/>
      <c r="C42" s="127"/>
      <c r="D42" s="127"/>
      <c r="E42" s="127"/>
      <c r="F42" s="127"/>
      <c r="G42" s="127"/>
      <c r="H42" s="127"/>
      <c r="I42" s="127"/>
      <c r="J42" s="137"/>
      <c r="K42" s="127"/>
      <c r="L42" s="127"/>
      <c r="M42" s="127"/>
      <c r="N42" s="137"/>
      <c r="O42" s="128"/>
      <c r="P42" s="127"/>
      <c r="Q42" s="127"/>
      <c r="R42" s="127"/>
      <c r="S42" s="127"/>
      <c r="T42" s="124"/>
      <c r="U42" s="124"/>
      <c r="V42" s="124"/>
      <c r="W42" s="124"/>
      <c r="X42" s="124"/>
    </row>
    <row r="43" spans="1:24">
      <c r="A43" s="124"/>
      <c r="B43" s="127"/>
      <c r="C43" s="127" t="s">
        <v>257</v>
      </c>
      <c r="D43" s="127"/>
      <c r="E43" s="127" t="s">
        <v>96</v>
      </c>
      <c r="F43" s="127"/>
      <c r="G43" s="127" t="s">
        <v>195</v>
      </c>
      <c r="H43" s="127"/>
      <c r="I43" s="127" t="s">
        <v>191</v>
      </c>
      <c r="J43" s="137"/>
      <c r="K43" s="127"/>
      <c r="L43" s="127"/>
      <c r="M43" s="127"/>
      <c r="N43" s="137"/>
      <c r="O43" s="128"/>
      <c r="P43" s="127"/>
      <c r="Q43" s="127"/>
      <c r="R43" s="127"/>
      <c r="S43" s="127"/>
      <c r="T43" s="124"/>
      <c r="U43" s="124"/>
      <c r="V43" s="124"/>
      <c r="W43" s="124"/>
      <c r="X43" s="124"/>
    </row>
    <row r="44" spans="1:24">
      <c r="A44" s="124"/>
      <c r="B44" s="127"/>
      <c r="C44" s="127" t="s">
        <v>188</v>
      </c>
      <c r="D44" s="127"/>
      <c r="E44" s="127">
        <f>E11</f>
        <v>0</v>
      </c>
      <c r="F44" s="127" t="s">
        <v>258</v>
      </c>
      <c r="G44" s="194">
        <v>2.3E-3</v>
      </c>
      <c r="H44" s="127" t="s">
        <v>193</v>
      </c>
      <c r="I44" s="224">
        <f>E44*G44</f>
        <v>0</v>
      </c>
      <c r="J44" s="139" t="s">
        <v>192</v>
      </c>
      <c r="K44" s="127"/>
      <c r="L44" s="127"/>
      <c r="M44" s="127"/>
      <c r="N44" s="137"/>
      <c r="O44" s="128"/>
      <c r="P44" s="127"/>
      <c r="Q44" s="127"/>
      <c r="R44" s="127"/>
      <c r="S44" s="127"/>
      <c r="T44" s="124"/>
      <c r="U44" s="124"/>
      <c r="V44" s="124"/>
      <c r="W44" s="124"/>
      <c r="X44" s="124"/>
    </row>
    <row r="45" spans="1:24">
      <c r="A45" s="124"/>
      <c r="B45" s="127"/>
      <c r="C45" s="127" t="s">
        <v>187</v>
      </c>
      <c r="D45" s="127"/>
      <c r="E45" s="127">
        <f>E11</f>
        <v>0</v>
      </c>
      <c r="F45" s="127" t="s">
        <v>194</v>
      </c>
      <c r="G45" s="194">
        <v>1.1000000000000001E-3</v>
      </c>
      <c r="H45" s="127" t="s">
        <v>193</v>
      </c>
      <c r="I45" s="224">
        <f>E45*G45</f>
        <v>0</v>
      </c>
      <c r="J45" s="139" t="s">
        <v>192</v>
      </c>
      <c r="K45" s="127"/>
      <c r="L45" s="127"/>
      <c r="M45" s="127"/>
      <c r="N45" s="137"/>
      <c r="O45" s="128"/>
      <c r="P45" s="127"/>
      <c r="Q45" s="127"/>
      <c r="R45" s="127"/>
      <c r="S45" s="127"/>
      <c r="T45" s="124"/>
      <c r="U45" s="124"/>
      <c r="V45" s="124"/>
      <c r="W45" s="124"/>
      <c r="X45" s="124"/>
    </row>
    <row r="46" spans="1:24">
      <c r="A46" s="124"/>
      <c r="B46" s="127"/>
      <c r="C46" s="127" t="s">
        <v>185</v>
      </c>
      <c r="D46" s="127"/>
      <c r="E46" s="127">
        <f>E11</f>
        <v>0</v>
      </c>
      <c r="F46" s="127" t="s">
        <v>194</v>
      </c>
      <c r="G46" s="194">
        <v>2.3999999999999998E-3</v>
      </c>
      <c r="H46" s="127" t="s">
        <v>193</v>
      </c>
      <c r="I46" s="224">
        <f>E46*G46</f>
        <v>0</v>
      </c>
      <c r="J46" s="139" t="s">
        <v>192</v>
      </c>
      <c r="K46" s="127"/>
      <c r="L46" s="127"/>
      <c r="M46" s="127"/>
      <c r="N46" s="137"/>
      <c r="O46" s="128"/>
      <c r="P46" s="127"/>
      <c r="Q46" s="127"/>
      <c r="R46" s="127"/>
      <c r="S46" s="127"/>
      <c r="T46" s="124"/>
      <c r="U46" s="124"/>
      <c r="V46" s="124"/>
      <c r="W46" s="124"/>
      <c r="X46" s="124"/>
    </row>
    <row r="47" spans="1:24">
      <c r="A47" s="124"/>
      <c r="B47" s="127"/>
      <c r="C47" s="127"/>
      <c r="D47" s="127"/>
      <c r="E47" s="127"/>
      <c r="F47" s="127"/>
      <c r="G47" s="127"/>
      <c r="H47" s="127"/>
      <c r="I47" s="127"/>
      <c r="J47" s="137"/>
      <c r="K47" s="127"/>
      <c r="L47" s="127"/>
      <c r="M47" s="127"/>
      <c r="N47" s="137"/>
      <c r="O47" s="128"/>
      <c r="P47" s="127"/>
      <c r="Q47" s="127"/>
      <c r="R47" s="127"/>
      <c r="S47" s="127"/>
      <c r="T47" s="124"/>
      <c r="U47" s="124"/>
      <c r="V47" s="124"/>
      <c r="W47" s="124"/>
      <c r="X47" s="124"/>
    </row>
    <row r="48" spans="1:24">
      <c r="A48" s="124"/>
      <c r="B48" s="127"/>
      <c r="C48" s="127"/>
      <c r="D48" s="127"/>
      <c r="E48" s="127" t="s">
        <v>191</v>
      </c>
      <c r="F48" s="127"/>
      <c r="G48" s="127" t="s">
        <v>190</v>
      </c>
      <c r="H48" s="127"/>
      <c r="I48" s="127" t="s">
        <v>189</v>
      </c>
      <c r="J48" s="127"/>
      <c r="K48" s="127"/>
      <c r="L48" s="127"/>
      <c r="M48" s="127"/>
      <c r="N48" s="137"/>
      <c r="O48" s="128"/>
      <c r="P48" s="127"/>
      <c r="Q48" s="140"/>
      <c r="R48" s="140"/>
      <c r="S48" s="127"/>
      <c r="T48" s="124"/>
      <c r="U48" s="124"/>
      <c r="V48" s="124"/>
      <c r="W48" s="124"/>
      <c r="X48" s="124"/>
    </row>
    <row r="49" spans="1:24">
      <c r="A49" s="124"/>
      <c r="B49" s="127"/>
      <c r="C49" s="127" t="s">
        <v>188</v>
      </c>
      <c r="D49" s="132"/>
      <c r="E49" s="127">
        <f>I44</f>
        <v>0</v>
      </c>
      <c r="F49" s="127" t="s">
        <v>184</v>
      </c>
      <c r="G49" s="141">
        <f>E21</f>
        <v>0</v>
      </c>
      <c r="H49" s="127" t="s">
        <v>183</v>
      </c>
      <c r="I49" s="196">
        <v>6</v>
      </c>
      <c r="J49" s="127" t="s">
        <v>182</v>
      </c>
      <c r="K49" s="127">
        <f>E49*G49*I49</f>
        <v>0</v>
      </c>
      <c r="L49" s="127" t="s">
        <v>172</v>
      </c>
      <c r="M49" s="127"/>
      <c r="N49" s="137"/>
      <c r="O49" s="128"/>
      <c r="P49" s="142"/>
      <c r="Q49" s="143"/>
      <c r="R49" s="143"/>
      <c r="S49" s="144" t="s">
        <v>186</v>
      </c>
      <c r="T49" s="236">
        <f>K49*M$52</f>
        <v>0</v>
      </c>
      <c r="U49" s="127"/>
      <c r="V49" s="124"/>
      <c r="W49" s="124"/>
      <c r="X49" s="124"/>
    </row>
    <row r="50" spans="1:24">
      <c r="A50" s="124"/>
      <c r="B50" s="127"/>
      <c r="C50" s="127" t="s">
        <v>187</v>
      </c>
      <c r="D50" s="132"/>
      <c r="E50" s="127">
        <f>I45</f>
        <v>0</v>
      </c>
      <c r="F50" s="127" t="s">
        <v>184</v>
      </c>
      <c r="G50" s="141">
        <f>E22</f>
        <v>0</v>
      </c>
      <c r="H50" s="127" t="s">
        <v>183</v>
      </c>
      <c r="I50" s="196">
        <v>6</v>
      </c>
      <c r="J50" s="127" t="s">
        <v>182</v>
      </c>
      <c r="K50" s="127">
        <f>E50*G50*I50</f>
        <v>0</v>
      </c>
      <c r="L50" s="127" t="s">
        <v>172</v>
      </c>
      <c r="M50" s="127"/>
      <c r="N50" s="137"/>
      <c r="O50" s="128"/>
      <c r="P50" s="142"/>
      <c r="Q50" s="143"/>
      <c r="R50" s="143"/>
      <c r="S50" s="144" t="s">
        <v>186</v>
      </c>
      <c r="T50" s="236">
        <f>K50*M$52</f>
        <v>0</v>
      </c>
      <c r="U50" s="127"/>
      <c r="V50" s="124"/>
      <c r="W50" s="124"/>
      <c r="X50" s="124"/>
    </row>
    <row r="51" spans="1:24">
      <c r="A51" s="124"/>
      <c r="B51" s="127"/>
      <c r="C51" s="127" t="s">
        <v>185</v>
      </c>
      <c r="D51" s="135"/>
      <c r="E51" s="127">
        <f>I46</f>
        <v>0</v>
      </c>
      <c r="F51" s="127" t="s">
        <v>184</v>
      </c>
      <c r="G51" s="141">
        <f>E23</f>
        <v>0</v>
      </c>
      <c r="H51" s="127" t="s">
        <v>183</v>
      </c>
      <c r="I51" s="196">
        <v>6</v>
      </c>
      <c r="J51" s="127" t="s">
        <v>182</v>
      </c>
      <c r="K51" s="127">
        <f>E51*G51*I51</f>
        <v>0</v>
      </c>
      <c r="L51" s="127" t="s">
        <v>172</v>
      </c>
      <c r="M51" s="127" t="s">
        <v>175</v>
      </c>
      <c r="N51" s="127"/>
      <c r="O51" s="128"/>
      <c r="P51" s="142"/>
      <c r="Q51" s="143"/>
      <c r="R51" s="143"/>
      <c r="S51" s="145" t="s">
        <v>158</v>
      </c>
      <c r="T51" s="237">
        <f>K51*M$52</f>
        <v>0</v>
      </c>
      <c r="U51" s="127"/>
      <c r="V51" s="124" t="s">
        <v>259</v>
      </c>
      <c r="W51" s="124"/>
      <c r="X51" s="124"/>
    </row>
    <row r="52" spans="1:24">
      <c r="A52" s="124"/>
      <c r="B52" s="127"/>
      <c r="C52" s="127"/>
      <c r="D52" s="127"/>
      <c r="E52" s="127"/>
      <c r="F52" s="127"/>
      <c r="G52" s="127"/>
      <c r="H52" s="127"/>
      <c r="I52" s="127"/>
      <c r="J52" s="137" t="s">
        <v>181</v>
      </c>
      <c r="K52" s="223">
        <f>SUM(K49:K51)</f>
        <v>0</v>
      </c>
      <c r="L52" s="127" t="s">
        <v>180</v>
      </c>
      <c r="M52" s="127">
        <f>$E$12</f>
        <v>0</v>
      </c>
      <c r="N52" s="127" t="s">
        <v>171</v>
      </c>
      <c r="O52" s="225">
        <f>K52*M52</f>
        <v>0</v>
      </c>
      <c r="P52" s="142" t="s">
        <v>154</v>
      </c>
      <c r="Q52" s="143"/>
      <c r="R52" s="143"/>
      <c r="S52" s="146" t="s">
        <v>179</v>
      </c>
      <c r="T52" s="235">
        <f>SUM(T49:T51)</f>
        <v>0</v>
      </c>
      <c r="U52" s="127" t="s">
        <v>260</v>
      </c>
      <c r="V52" s="240" t="e">
        <f>(T28+T39+T52)/(E9+E10)/E12</f>
        <v>#DIV/0!</v>
      </c>
      <c r="W52" s="124" t="s">
        <v>168</v>
      </c>
      <c r="X52" s="124"/>
    </row>
    <row r="53" spans="1:24">
      <c r="A53" s="124"/>
      <c r="B53" s="127"/>
      <c r="C53" s="127"/>
      <c r="D53" s="127"/>
      <c r="E53" s="127"/>
      <c r="F53" s="127"/>
      <c r="G53" s="127"/>
      <c r="H53" s="127"/>
      <c r="I53" s="127"/>
      <c r="J53" s="137"/>
      <c r="K53" s="127"/>
      <c r="L53" s="127"/>
      <c r="M53" s="127"/>
      <c r="N53" s="137"/>
      <c r="O53" s="128"/>
      <c r="P53" s="142"/>
      <c r="Q53" s="143"/>
      <c r="R53" s="143"/>
      <c r="S53" s="146"/>
      <c r="T53" s="127"/>
      <c r="U53" s="127"/>
      <c r="V53" s="124"/>
      <c r="W53" s="124"/>
      <c r="X53" s="124"/>
    </row>
    <row r="54" spans="1:24" ht="14.25" thickBot="1">
      <c r="A54" s="124"/>
      <c r="B54" s="127"/>
      <c r="C54" s="127" t="s">
        <v>261</v>
      </c>
      <c r="D54" s="127"/>
      <c r="E54" s="127"/>
      <c r="F54" s="127"/>
      <c r="G54" s="127" t="s">
        <v>262</v>
      </c>
      <c r="H54" s="127"/>
      <c r="I54" s="127" t="s">
        <v>263</v>
      </c>
      <c r="J54" s="127"/>
      <c r="K54" s="127"/>
      <c r="L54" s="127"/>
      <c r="M54" s="127" t="s">
        <v>175</v>
      </c>
      <c r="N54" s="127"/>
      <c r="O54" s="128"/>
      <c r="P54" s="142"/>
      <c r="Q54" s="143"/>
      <c r="R54" s="143"/>
      <c r="S54" s="146"/>
      <c r="T54" s="127"/>
      <c r="U54" s="127"/>
      <c r="V54" s="124"/>
      <c r="W54" s="124"/>
      <c r="X54" s="124"/>
    </row>
    <row r="55" spans="1:24" ht="15" thickTop="1" thickBot="1">
      <c r="A55" s="124"/>
      <c r="B55" s="127"/>
      <c r="C55" s="127"/>
      <c r="D55" s="135"/>
      <c r="E55" s="127" t="s">
        <v>264</v>
      </c>
      <c r="F55" s="127"/>
      <c r="G55" s="194">
        <v>15</v>
      </c>
      <c r="H55" s="127" t="s">
        <v>265</v>
      </c>
      <c r="I55" s="191"/>
      <c r="J55" s="127" t="s">
        <v>201</v>
      </c>
      <c r="K55" s="224">
        <f>G55*I55</f>
        <v>0</v>
      </c>
      <c r="L55" s="127" t="s">
        <v>172</v>
      </c>
      <c r="M55" s="127">
        <f>$E$12</f>
        <v>0</v>
      </c>
      <c r="N55" s="127" t="s">
        <v>171</v>
      </c>
      <c r="O55" s="225">
        <f>K55*M55</f>
        <v>0</v>
      </c>
      <c r="P55" s="142" t="s">
        <v>154</v>
      </c>
      <c r="Q55" s="143"/>
      <c r="R55" s="143"/>
      <c r="S55" s="145" t="s">
        <v>158</v>
      </c>
      <c r="T55" s="234">
        <f>K55*M55</f>
        <v>0</v>
      </c>
      <c r="U55" s="127"/>
      <c r="V55" s="124"/>
      <c r="W55" s="124"/>
      <c r="X55" s="124"/>
    </row>
    <row r="56" spans="1:24" ht="15" thickTop="1" thickBot="1">
      <c r="A56" s="124"/>
      <c r="B56" s="127"/>
      <c r="C56" s="127"/>
      <c r="D56" s="135"/>
      <c r="E56" s="127" t="s">
        <v>266</v>
      </c>
      <c r="F56" s="127"/>
      <c r="G56" s="194">
        <v>30</v>
      </c>
      <c r="H56" s="127" t="s">
        <v>265</v>
      </c>
      <c r="I56" s="191"/>
      <c r="J56" s="127" t="s">
        <v>201</v>
      </c>
      <c r="K56" s="224">
        <f>G56*I56</f>
        <v>0</v>
      </c>
      <c r="L56" s="127" t="s">
        <v>172</v>
      </c>
      <c r="M56" s="127">
        <f>$E$12</f>
        <v>0</v>
      </c>
      <c r="N56" s="127" t="s">
        <v>171</v>
      </c>
      <c r="O56" s="225">
        <f>K56*M56</f>
        <v>0</v>
      </c>
      <c r="P56" s="142" t="s">
        <v>154</v>
      </c>
      <c r="Q56" s="143"/>
      <c r="R56" s="143"/>
      <c r="S56" s="145" t="s">
        <v>158</v>
      </c>
      <c r="T56" s="234">
        <f>K56*M56</f>
        <v>0</v>
      </c>
      <c r="U56" s="127"/>
      <c r="V56" s="124"/>
      <c r="W56" s="124"/>
      <c r="X56" s="124"/>
    </row>
    <row r="57" spans="1:24" ht="15" thickTop="1" thickBot="1">
      <c r="A57" s="124"/>
      <c r="B57" s="127"/>
      <c r="C57" s="127"/>
      <c r="D57" s="135"/>
      <c r="E57" s="127" t="s">
        <v>267</v>
      </c>
      <c r="F57" s="127"/>
      <c r="G57" s="194">
        <v>70</v>
      </c>
      <c r="H57" s="127" t="s">
        <v>265</v>
      </c>
      <c r="I57" s="191"/>
      <c r="J57" s="127" t="s">
        <v>201</v>
      </c>
      <c r="K57" s="224">
        <f>G57*I57</f>
        <v>0</v>
      </c>
      <c r="L57" s="127" t="s">
        <v>172</v>
      </c>
      <c r="M57" s="127">
        <f>$E$12</f>
        <v>0</v>
      </c>
      <c r="N57" s="127" t="s">
        <v>171</v>
      </c>
      <c r="O57" s="225">
        <f>K57*M57</f>
        <v>0</v>
      </c>
      <c r="P57" s="142" t="s">
        <v>154</v>
      </c>
      <c r="Q57" s="143"/>
      <c r="R57" s="143"/>
      <c r="S57" s="145" t="s">
        <v>158</v>
      </c>
      <c r="T57" s="234">
        <f>K57*M57</f>
        <v>0</v>
      </c>
      <c r="U57" s="127"/>
      <c r="V57" s="124"/>
      <c r="W57" s="124"/>
      <c r="X57" s="124"/>
    </row>
    <row r="58" spans="1:24" ht="15" thickTop="1" thickBot="1">
      <c r="A58" s="124"/>
      <c r="B58" s="127"/>
      <c r="C58" s="127"/>
      <c r="D58" s="135"/>
      <c r="E58" s="127" t="s">
        <v>268</v>
      </c>
      <c r="F58" s="127"/>
      <c r="G58" s="194">
        <v>50</v>
      </c>
      <c r="H58" s="127" t="s">
        <v>265</v>
      </c>
      <c r="I58" s="191"/>
      <c r="J58" s="127" t="s">
        <v>201</v>
      </c>
      <c r="K58" s="224">
        <f>G58*I58</f>
        <v>0</v>
      </c>
      <c r="L58" s="127" t="s">
        <v>172</v>
      </c>
      <c r="M58" s="127">
        <f>$E$12</f>
        <v>0</v>
      </c>
      <c r="N58" s="127" t="s">
        <v>171</v>
      </c>
      <c r="O58" s="225">
        <f>K58*M58</f>
        <v>0</v>
      </c>
      <c r="P58" s="142" t="s">
        <v>154</v>
      </c>
      <c r="Q58" s="143"/>
      <c r="R58" s="143"/>
      <c r="S58" s="145" t="s">
        <v>158</v>
      </c>
      <c r="T58" s="234">
        <f>K58*M58</f>
        <v>0</v>
      </c>
      <c r="U58" s="127"/>
      <c r="V58" s="124"/>
      <c r="W58" s="124"/>
      <c r="X58" s="124"/>
    </row>
    <row r="59" spans="1:24" ht="14.25" thickTop="1">
      <c r="A59" s="124"/>
      <c r="B59" s="127"/>
      <c r="C59" s="127"/>
      <c r="D59" s="132"/>
      <c r="E59" s="127"/>
      <c r="F59" s="127"/>
      <c r="G59" s="127"/>
      <c r="H59" s="147" t="s">
        <v>181</v>
      </c>
      <c r="I59" s="148">
        <f>SUM(I55:I58)</f>
        <v>0</v>
      </c>
      <c r="J59" s="146" t="s">
        <v>201</v>
      </c>
      <c r="K59" s="127"/>
      <c r="L59" s="127"/>
      <c r="M59" s="127"/>
      <c r="N59" s="127"/>
      <c r="O59" s="128"/>
      <c r="P59" s="142"/>
      <c r="Q59" s="143"/>
      <c r="R59" s="143"/>
      <c r="S59" s="146" t="s">
        <v>179</v>
      </c>
      <c r="T59" s="235">
        <f>SUM(T55:T58)</f>
        <v>0</v>
      </c>
      <c r="U59" s="127" t="s">
        <v>269</v>
      </c>
      <c r="V59" s="240" t="e">
        <f>(T59)/(I59)/E12</f>
        <v>#DIV/0!</v>
      </c>
      <c r="W59" s="124" t="s">
        <v>270</v>
      </c>
      <c r="X59" s="124"/>
    </row>
    <row r="60" spans="1:24">
      <c r="A60" s="124"/>
      <c r="B60" s="127"/>
      <c r="C60" s="127"/>
      <c r="D60" s="132"/>
      <c r="E60" s="127"/>
      <c r="F60" s="127"/>
      <c r="G60" s="127" t="s">
        <v>271</v>
      </c>
      <c r="H60" s="147"/>
      <c r="I60" s="149"/>
      <c r="J60" s="146"/>
      <c r="K60" s="127"/>
      <c r="L60" s="127"/>
      <c r="M60" s="140"/>
      <c r="N60" s="127"/>
      <c r="O60" s="128"/>
      <c r="P60" s="142"/>
      <c r="Q60" s="143"/>
      <c r="R60" s="143"/>
      <c r="S60" s="146"/>
      <c r="T60" s="150"/>
      <c r="U60" s="124"/>
      <c r="V60" s="138"/>
      <c r="W60" s="124"/>
      <c r="X60" s="124"/>
    </row>
    <row r="61" spans="1:24">
      <c r="A61" s="124"/>
      <c r="B61" s="127"/>
      <c r="C61" s="127"/>
      <c r="D61" s="127"/>
      <c r="E61" s="127"/>
      <c r="F61" s="127"/>
      <c r="G61" s="127"/>
      <c r="H61" s="127"/>
      <c r="I61" s="151"/>
      <c r="J61" s="127"/>
      <c r="K61" s="127"/>
      <c r="L61" s="127"/>
      <c r="M61" s="140"/>
      <c r="N61" s="127"/>
      <c r="O61" s="128"/>
      <c r="P61" s="127"/>
      <c r="Q61" s="151"/>
      <c r="R61" s="151"/>
      <c r="S61" s="127"/>
      <c r="T61" s="124"/>
      <c r="U61" s="124"/>
      <c r="V61" s="124"/>
      <c r="W61" s="124"/>
      <c r="X61" s="124"/>
    </row>
    <row r="62" spans="1:24">
      <c r="A62" s="124"/>
      <c r="B62" s="127" t="s">
        <v>272</v>
      </c>
      <c r="C62" s="127"/>
      <c r="D62" s="127"/>
      <c r="E62" s="127"/>
      <c r="F62" s="127"/>
      <c r="G62" s="127"/>
      <c r="H62" s="127"/>
      <c r="I62" s="127"/>
      <c r="J62" s="127"/>
      <c r="K62" s="127"/>
      <c r="L62" s="142"/>
      <c r="M62" s="127"/>
      <c r="N62" s="127"/>
      <c r="O62" s="128"/>
      <c r="P62" s="127"/>
      <c r="Q62" s="127"/>
      <c r="R62" s="127"/>
      <c r="S62" s="127"/>
      <c r="T62" s="124"/>
      <c r="U62" s="124"/>
      <c r="V62" s="124"/>
      <c r="W62" s="124"/>
      <c r="X62" s="124"/>
    </row>
    <row r="63" spans="1:24">
      <c r="A63" s="124"/>
      <c r="B63" s="127"/>
      <c r="C63" s="127"/>
      <c r="D63" s="127"/>
      <c r="E63" s="127"/>
      <c r="F63" s="127"/>
      <c r="G63" s="127"/>
      <c r="H63" s="127"/>
      <c r="I63" s="127"/>
      <c r="J63" s="135"/>
      <c r="K63" s="136"/>
      <c r="L63" s="127"/>
      <c r="M63" s="136"/>
      <c r="N63" s="127" t="s">
        <v>158</v>
      </c>
      <c r="O63" s="226">
        <f>T23+T25+T26+T35+T37+T51+T59</f>
        <v>0</v>
      </c>
      <c r="P63" s="127" t="s">
        <v>154</v>
      </c>
      <c r="Q63" s="127" t="s">
        <v>273</v>
      </c>
      <c r="R63" s="127"/>
      <c r="S63" s="127"/>
      <c r="T63" s="124"/>
      <c r="U63" s="124"/>
      <c r="V63" s="124"/>
      <c r="W63" s="124"/>
      <c r="X63" s="124"/>
    </row>
    <row r="64" spans="1:24" ht="14.25" thickBot="1">
      <c r="A64" s="124"/>
      <c r="B64" s="127"/>
      <c r="C64" s="127"/>
      <c r="D64" s="127"/>
      <c r="E64" s="127"/>
      <c r="F64" s="127"/>
      <c r="G64" s="127"/>
      <c r="H64" s="127"/>
      <c r="I64" s="127"/>
      <c r="J64" s="132"/>
      <c r="K64" s="134"/>
      <c r="L64" s="127"/>
      <c r="M64" s="134"/>
      <c r="N64" s="127" t="s">
        <v>186</v>
      </c>
      <c r="O64" s="227">
        <f>T21+T22+T24+T33+T34+T36+T49+T50</f>
        <v>0</v>
      </c>
      <c r="P64" s="127" t="s">
        <v>154</v>
      </c>
      <c r="Q64" s="140" t="s">
        <v>274</v>
      </c>
      <c r="R64" s="127"/>
      <c r="S64" s="127"/>
      <c r="T64" s="124"/>
      <c r="U64" s="124" t="s">
        <v>275</v>
      </c>
      <c r="V64" s="124"/>
      <c r="W64" s="124"/>
      <c r="X64" s="124"/>
    </row>
    <row r="65" spans="1:24" ht="15" thickTop="1" thickBot="1">
      <c r="A65" s="124"/>
      <c r="B65" s="127"/>
      <c r="C65" s="127"/>
      <c r="D65" s="127"/>
      <c r="E65" s="127"/>
      <c r="F65" s="127"/>
      <c r="G65" s="127"/>
      <c r="H65" s="127"/>
      <c r="I65" s="127"/>
      <c r="J65" s="132"/>
      <c r="K65" s="127"/>
      <c r="L65" s="142"/>
      <c r="M65" s="152"/>
      <c r="N65" s="153" t="s">
        <v>276</v>
      </c>
      <c r="O65" s="228">
        <f>O63+O64</f>
        <v>0</v>
      </c>
      <c r="P65" s="154" t="s">
        <v>154</v>
      </c>
      <c r="Q65" s="155" t="s">
        <v>277</v>
      </c>
      <c r="R65" s="146"/>
      <c r="S65" s="127"/>
      <c r="T65" s="233">
        <f>T28+T39+T52+T59</f>
        <v>0</v>
      </c>
      <c r="U65" s="124" t="s">
        <v>278</v>
      </c>
      <c r="V65" s="240" t="e">
        <f>T65/(E9+E10)/E12</f>
        <v>#DIV/0!</v>
      </c>
      <c r="W65" s="124" t="s">
        <v>168</v>
      </c>
      <c r="X65" s="124"/>
    </row>
    <row r="66" spans="1:24" ht="15" thickTop="1" thickBot="1">
      <c r="A66" s="124"/>
      <c r="B66" s="127"/>
      <c r="C66" s="127"/>
      <c r="D66" s="127"/>
      <c r="E66" s="127"/>
      <c r="F66" s="127"/>
      <c r="G66" s="127"/>
      <c r="H66" s="127"/>
      <c r="I66" s="127"/>
      <c r="J66" s="127"/>
      <c r="K66" s="127"/>
      <c r="L66" s="142"/>
      <c r="M66" s="156"/>
      <c r="N66" s="157" t="s">
        <v>197</v>
      </c>
      <c r="O66" s="229" t="e">
        <f>O65/$E$11</f>
        <v>#DIV/0!</v>
      </c>
      <c r="P66" s="158" t="s">
        <v>152</v>
      </c>
      <c r="Q66" s="159"/>
      <c r="R66" s="146"/>
      <c r="S66" s="127"/>
      <c r="T66" s="124"/>
      <c r="U66" s="124"/>
      <c r="V66" s="124"/>
      <c r="W66" s="124"/>
      <c r="X66" s="124"/>
    </row>
    <row r="67" spans="1:24" ht="15" thickTop="1" thickBot="1">
      <c r="A67" s="124"/>
      <c r="B67" s="127" t="s">
        <v>279</v>
      </c>
      <c r="C67" s="127" t="s">
        <v>166</v>
      </c>
      <c r="D67" s="127"/>
      <c r="E67" s="127"/>
      <c r="F67" s="127"/>
      <c r="G67" s="127"/>
      <c r="H67" s="127"/>
      <c r="I67" s="127"/>
      <c r="J67" s="127"/>
      <c r="K67" s="127"/>
      <c r="L67" s="127"/>
      <c r="M67" s="151"/>
      <c r="N67" s="127"/>
      <c r="O67" s="128"/>
      <c r="P67" s="127"/>
      <c r="Q67" s="151"/>
      <c r="R67" s="127"/>
      <c r="S67" s="127"/>
      <c r="T67" s="124"/>
      <c r="U67" s="124"/>
      <c r="V67" s="124"/>
      <c r="W67" s="124"/>
      <c r="X67" s="124"/>
    </row>
    <row r="68" spans="1:24" ht="15" thickTop="1" thickBot="1">
      <c r="A68" s="124"/>
      <c r="B68" s="127"/>
      <c r="C68" s="127" t="s">
        <v>165</v>
      </c>
      <c r="D68" s="127"/>
      <c r="E68" s="127"/>
      <c r="F68" s="127"/>
      <c r="G68" s="127"/>
      <c r="H68" s="191"/>
      <c r="I68" s="127" t="s">
        <v>217</v>
      </c>
      <c r="J68" s="127"/>
      <c r="K68" s="127"/>
      <c r="L68" s="127"/>
      <c r="M68" s="151"/>
      <c r="N68" s="137" t="s">
        <v>163</v>
      </c>
      <c r="O68" s="225">
        <f>O65*H68/100</f>
        <v>0</v>
      </c>
      <c r="P68" s="127" t="s">
        <v>154</v>
      </c>
      <c r="Q68" s="127" t="s">
        <v>280</v>
      </c>
      <c r="R68" s="127"/>
      <c r="S68" s="127"/>
      <c r="T68" s="124"/>
      <c r="U68" s="124"/>
      <c r="V68" s="124"/>
      <c r="W68" s="124"/>
      <c r="X68" s="124"/>
    </row>
    <row r="69" spans="1:24" ht="14.25" thickTop="1">
      <c r="A69" s="124"/>
      <c r="B69" s="127"/>
      <c r="C69" s="127" t="s">
        <v>161</v>
      </c>
      <c r="D69" s="127"/>
      <c r="E69" s="127"/>
      <c r="F69" s="127"/>
      <c r="G69" s="127"/>
      <c r="H69" s="127"/>
      <c r="I69" s="127"/>
      <c r="J69" s="127"/>
      <c r="K69" s="127"/>
      <c r="L69" s="127"/>
      <c r="M69" s="151"/>
      <c r="N69" s="137" t="s">
        <v>160</v>
      </c>
      <c r="O69" s="225">
        <f>IF(O68&lt;O64,O68,O64)</f>
        <v>0</v>
      </c>
      <c r="P69" s="127" t="s">
        <v>154</v>
      </c>
      <c r="Q69" s="127" t="s">
        <v>159</v>
      </c>
      <c r="R69" s="127"/>
      <c r="S69" s="127"/>
      <c r="T69" s="124"/>
      <c r="U69" s="124"/>
      <c r="V69" s="124"/>
      <c r="W69" s="124"/>
      <c r="X69" s="124"/>
    </row>
    <row r="70" spans="1:24">
      <c r="A70" s="124"/>
      <c r="B70" s="127"/>
      <c r="C70" s="127"/>
      <c r="D70" s="127"/>
      <c r="E70" s="127"/>
      <c r="F70" s="127"/>
      <c r="G70" s="127"/>
      <c r="H70" s="127"/>
      <c r="I70" s="127"/>
      <c r="J70" s="127"/>
      <c r="K70" s="127"/>
      <c r="L70" s="127"/>
      <c r="M70" s="127"/>
      <c r="N70" s="127"/>
      <c r="O70" s="128"/>
      <c r="P70" s="127"/>
      <c r="Q70" s="127"/>
      <c r="R70" s="127"/>
      <c r="S70" s="127"/>
      <c r="T70" s="124"/>
      <c r="U70" s="124"/>
      <c r="V70" s="124"/>
      <c r="W70" s="124"/>
      <c r="X70" s="124"/>
    </row>
    <row r="71" spans="1:24">
      <c r="A71" s="124"/>
      <c r="B71" s="127"/>
      <c r="C71" s="127"/>
      <c r="D71" s="127"/>
      <c r="E71" s="127"/>
      <c r="F71" s="127"/>
      <c r="G71" s="127"/>
      <c r="H71" s="127"/>
      <c r="I71" s="127"/>
      <c r="J71" s="127"/>
      <c r="K71" s="127"/>
      <c r="L71" s="127"/>
      <c r="M71" s="135" t="s">
        <v>158</v>
      </c>
      <c r="N71" s="127"/>
      <c r="O71" s="226">
        <f>O63</f>
        <v>0</v>
      </c>
      <c r="P71" s="127" t="s">
        <v>154</v>
      </c>
      <c r="Q71" s="127" t="s">
        <v>273</v>
      </c>
      <c r="R71" s="127"/>
      <c r="S71" s="127"/>
      <c r="T71" s="124"/>
      <c r="U71" s="124"/>
      <c r="V71" s="124"/>
      <c r="W71" s="124"/>
      <c r="X71" s="124"/>
    </row>
    <row r="72" spans="1:24" ht="14.25" thickBot="1">
      <c r="A72" s="124"/>
      <c r="B72" s="127"/>
      <c r="C72" s="127"/>
      <c r="D72" s="127"/>
      <c r="E72" s="127"/>
      <c r="F72" s="127"/>
      <c r="G72" s="137"/>
      <c r="H72" s="127"/>
      <c r="I72" s="127"/>
      <c r="J72" s="127"/>
      <c r="K72" s="127"/>
      <c r="L72" s="127"/>
      <c r="M72" s="132" t="s">
        <v>157</v>
      </c>
      <c r="N72" s="127"/>
      <c r="O72" s="230">
        <f>O64-O69</f>
        <v>0</v>
      </c>
      <c r="P72" s="127" t="s">
        <v>154</v>
      </c>
      <c r="Q72" s="140" t="s">
        <v>281</v>
      </c>
      <c r="R72" s="127"/>
      <c r="S72" s="127"/>
      <c r="T72" s="124"/>
      <c r="U72" s="124"/>
      <c r="V72" s="124"/>
      <c r="W72" s="124"/>
      <c r="X72" s="124"/>
    </row>
    <row r="73" spans="1:24" ht="15" thickTop="1" thickBot="1">
      <c r="A73" s="124"/>
      <c r="B73" s="127"/>
      <c r="C73" s="127"/>
      <c r="D73" s="127"/>
      <c r="E73" s="127"/>
      <c r="F73" s="127"/>
      <c r="G73" s="127"/>
      <c r="H73" s="127"/>
      <c r="I73" s="127"/>
      <c r="J73" s="127"/>
      <c r="K73" s="127"/>
      <c r="L73" s="127"/>
      <c r="M73" s="127"/>
      <c r="N73" s="160" t="s">
        <v>282</v>
      </c>
      <c r="O73" s="231">
        <f>SUM(O71:O72)</f>
        <v>0</v>
      </c>
      <c r="P73" s="161" t="s">
        <v>154</v>
      </c>
      <c r="Q73" s="162"/>
      <c r="R73" s="124"/>
      <c r="S73" s="127"/>
      <c r="T73" s="124"/>
      <c r="U73" s="124"/>
      <c r="V73" s="124"/>
      <c r="W73" s="124"/>
      <c r="X73" s="124"/>
    </row>
    <row r="74" spans="1:24" ht="15" thickTop="1" thickBot="1">
      <c r="A74" s="124"/>
      <c r="B74" s="127"/>
      <c r="C74" s="124"/>
      <c r="D74" s="127"/>
      <c r="E74" s="127"/>
      <c r="F74" s="127"/>
      <c r="G74" s="127"/>
      <c r="H74" s="127"/>
      <c r="I74" s="127"/>
      <c r="J74" s="127"/>
      <c r="K74" s="127"/>
      <c r="L74" s="127"/>
      <c r="M74" s="127"/>
      <c r="N74" s="163" t="s">
        <v>197</v>
      </c>
      <c r="O74" s="232" t="e">
        <f>O73/$E$11</f>
        <v>#DIV/0!</v>
      </c>
      <c r="P74" s="164" t="s">
        <v>152</v>
      </c>
      <c r="Q74" s="165"/>
      <c r="R74" s="146"/>
      <c r="S74" s="127"/>
      <c r="T74" s="124"/>
      <c r="U74" s="124"/>
      <c r="V74" s="124"/>
      <c r="W74" s="124"/>
      <c r="X74" s="124"/>
    </row>
    <row r="75" spans="1:24" ht="14.25" thickTop="1">
      <c r="A75" s="124"/>
      <c r="B75" s="127"/>
      <c r="C75" s="127" t="s">
        <v>151</v>
      </c>
      <c r="D75" s="127"/>
      <c r="E75" s="127"/>
      <c r="F75" s="127"/>
      <c r="G75" s="127"/>
      <c r="H75" s="127"/>
      <c r="I75" s="127"/>
      <c r="J75" s="127"/>
      <c r="K75" s="127"/>
      <c r="L75" s="127"/>
      <c r="M75" s="127"/>
      <c r="N75" s="166"/>
      <c r="O75" s="167"/>
      <c r="P75" s="168"/>
      <c r="Q75" s="124"/>
      <c r="R75" s="127"/>
      <c r="S75" s="127"/>
      <c r="T75" s="124"/>
      <c r="U75" s="124"/>
      <c r="V75" s="124"/>
      <c r="W75" s="124"/>
      <c r="X75" s="124"/>
    </row>
    <row r="76" spans="1:24">
      <c r="A76" s="124"/>
      <c r="B76" s="127"/>
      <c r="C76" s="127" t="s">
        <v>150</v>
      </c>
      <c r="D76" s="127"/>
      <c r="E76" s="127"/>
      <c r="F76" s="127"/>
      <c r="G76" s="127"/>
      <c r="H76" s="127"/>
      <c r="I76" s="127"/>
      <c r="J76" s="127"/>
      <c r="K76" s="127"/>
      <c r="L76" s="127"/>
      <c r="M76" s="127"/>
      <c r="N76" s="127"/>
      <c r="O76" s="128"/>
      <c r="P76" s="127"/>
      <c r="Q76" s="127"/>
      <c r="R76" s="127"/>
      <c r="S76" s="127"/>
      <c r="T76" s="124"/>
      <c r="U76" s="124"/>
      <c r="V76" s="124"/>
      <c r="W76" s="124"/>
      <c r="X76" s="124"/>
    </row>
    <row r="77" spans="1:24">
      <c r="A77" s="124"/>
      <c r="B77" s="127"/>
      <c r="C77" s="127" t="s">
        <v>283</v>
      </c>
      <c r="D77" s="127"/>
      <c r="E77" s="127"/>
      <c r="F77" s="127"/>
      <c r="G77" s="127"/>
      <c r="H77" s="127"/>
      <c r="I77" s="127"/>
      <c r="J77" s="127"/>
      <c r="K77" s="127"/>
      <c r="L77" s="127"/>
      <c r="M77" s="127"/>
      <c r="N77" s="127"/>
      <c r="O77" s="128"/>
      <c r="P77" s="127"/>
      <c r="Q77" s="127"/>
      <c r="R77" s="127"/>
      <c r="S77" s="127"/>
      <c r="T77" s="124"/>
      <c r="U77" s="124"/>
      <c r="V77" s="124"/>
      <c r="W77" s="124"/>
      <c r="X77" s="124"/>
    </row>
    <row r="78" spans="1:24">
      <c r="A78" s="124"/>
      <c r="B78" s="127"/>
      <c r="C78" s="127" t="s">
        <v>284</v>
      </c>
      <c r="D78" s="127"/>
      <c r="E78" s="127"/>
      <c r="F78" s="127"/>
      <c r="G78" s="127"/>
      <c r="H78" s="127"/>
      <c r="I78" s="127"/>
      <c r="J78" s="127"/>
      <c r="K78" s="127"/>
      <c r="L78" s="127"/>
      <c r="M78" s="127"/>
      <c r="N78" s="127"/>
      <c r="O78" s="128"/>
      <c r="P78" s="127"/>
      <c r="Q78" s="127"/>
      <c r="R78" s="127"/>
      <c r="S78" s="127"/>
      <c r="T78" s="124"/>
      <c r="U78" s="124"/>
      <c r="V78" s="124"/>
      <c r="W78" s="124"/>
      <c r="X78" s="124"/>
    </row>
    <row r="79" spans="1:24">
      <c r="A79" s="124"/>
      <c r="B79" s="127"/>
      <c r="C79" s="127" t="s">
        <v>285</v>
      </c>
      <c r="D79" s="127"/>
      <c r="E79" s="127"/>
      <c r="F79" s="127"/>
      <c r="G79" s="127"/>
      <c r="H79" s="127"/>
      <c r="I79" s="127"/>
      <c r="J79" s="127"/>
      <c r="K79" s="127"/>
      <c r="L79" s="127"/>
      <c r="M79" s="127"/>
      <c r="N79" s="127"/>
      <c r="O79" s="128"/>
      <c r="P79" s="127"/>
      <c r="Q79" s="127"/>
      <c r="R79" s="127"/>
      <c r="S79" s="127"/>
      <c r="T79" s="124"/>
      <c r="U79" s="124"/>
      <c r="V79" s="124"/>
      <c r="W79" s="124"/>
      <c r="X79" s="124"/>
    </row>
    <row r="80" spans="1:24" ht="29.25" customHeight="1">
      <c r="A80" s="124"/>
      <c r="B80" s="127"/>
      <c r="C80" s="169" t="s">
        <v>146</v>
      </c>
      <c r="D80" s="169"/>
      <c r="E80" s="127"/>
      <c r="F80" s="127"/>
      <c r="G80" s="127"/>
      <c r="H80" s="127"/>
      <c r="I80" s="127"/>
      <c r="J80" s="127"/>
      <c r="K80" s="127"/>
      <c r="L80" s="127"/>
      <c r="M80" s="127"/>
      <c r="N80" s="127"/>
      <c r="O80" s="128"/>
      <c r="P80" s="127"/>
      <c r="Q80" s="127"/>
      <c r="R80" s="127"/>
      <c r="S80" s="127"/>
      <c r="T80" s="124"/>
      <c r="U80" s="124"/>
      <c r="V80" s="124"/>
      <c r="W80" s="124"/>
      <c r="X80" s="124"/>
    </row>
    <row r="81" spans="3:3">
      <c r="C81" s="112"/>
    </row>
  </sheetData>
  <sheetProtection algorithmName="SHA-512" hashValue="HAech3VDyXuxkCi4zn92O6L5ANTJFPeangZYg206u8bjX0PwKgNIj8PrspBm0X76cY1DEkEKYzNnzb0KTcWkqQ==" saltValue="P5cnz3tuar8TW3Nglrx1dw==" spinCount="100000" sheet="1" objects="1" scenarios="1"/>
  <phoneticPr fontId="3"/>
  <pageMargins left="0.47244094488188981" right="0.27559055118110237" top="0.31" bottom="0.17" header="0.17" footer="0.14000000000000001"/>
  <pageSetup paperSize="9" scale="52" orientation="landscape" r:id="rId1"/>
  <headerFooter alignWithMargins="0"/>
  <rowBreaks count="1" manualBreakCount="1">
    <brk id="80" max="24"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1A012-3C4A-4849-AD9C-0EE6A1EE146D}">
  <sheetPr codeName="Sheet16">
    <pageSetUpPr fitToPage="1"/>
  </sheetPr>
  <dimension ref="A1:X89"/>
  <sheetViews>
    <sheetView showGridLines="0" zoomScaleNormal="100" workbookViewId="0">
      <selection activeCell="C3" sqref="C3"/>
    </sheetView>
  </sheetViews>
  <sheetFormatPr defaultColWidth="9" defaultRowHeight="13.5"/>
  <cols>
    <col min="1" max="1" width="3.5" style="594" customWidth="1"/>
    <col min="2" max="2" width="2.625" style="594" customWidth="1"/>
    <col min="3" max="3" width="10.5" style="594" customWidth="1"/>
    <col min="4" max="4" width="10.125" style="594" customWidth="1"/>
    <col min="5" max="5" width="8.75" style="594" customWidth="1"/>
    <col min="6" max="6" width="7.5" style="594" customWidth="1"/>
    <col min="7" max="7" width="8" style="594" customWidth="1"/>
    <col min="8" max="8" width="10.25" style="594" customWidth="1"/>
    <col min="9" max="9" width="9.5" style="594" customWidth="1"/>
    <col min="10" max="10" width="9" style="594"/>
    <col min="11" max="11" width="11.125" style="594" customWidth="1"/>
    <col min="12" max="12" width="9" style="594"/>
    <col min="13" max="13" width="11.5" style="594" customWidth="1"/>
    <col min="14" max="14" width="9" style="594"/>
    <col min="15" max="15" width="13.625" style="688" customWidth="1"/>
    <col min="16" max="16" width="9" style="594"/>
    <col min="17" max="17" width="13.625" style="594" customWidth="1"/>
    <col min="18" max="18" width="11" style="594" bestFit="1" customWidth="1"/>
    <col min="19" max="19" width="9" style="594"/>
    <col min="20" max="20" width="13.875" style="594" customWidth="1"/>
    <col min="21" max="21" width="10.25" style="594" customWidth="1"/>
    <col min="22" max="22" width="10.625" style="594" customWidth="1"/>
    <col min="23" max="23" width="9" style="594"/>
    <col min="24" max="24" width="10.5" style="594" bestFit="1" customWidth="1"/>
    <col min="25" max="16384" width="9" style="594"/>
  </cols>
  <sheetData>
    <row r="1" spans="1:24">
      <c r="A1" s="592"/>
      <c r="B1" s="592"/>
      <c r="C1" s="592"/>
      <c r="D1" s="592"/>
      <c r="E1" s="592"/>
      <c r="F1" s="592"/>
      <c r="G1" s="592"/>
      <c r="H1" s="592"/>
      <c r="I1" s="592"/>
      <c r="J1" s="592"/>
      <c r="K1" s="592"/>
      <c r="L1" s="592"/>
      <c r="M1" s="592"/>
      <c r="N1" s="592"/>
      <c r="O1" s="593"/>
      <c r="P1" s="592"/>
      <c r="Q1" s="592"/>
      <c r="R1" s="592"/>
      <c r="S1" s="592"/>
      <c r="T1" s="592"/>
      <c r="U1" s="592"/>
      <c r="V1" s="592"/>
      <c r="W1" s="592"/>
      <c r="X1" s="592"/>
    </row>
    <row r="2" spans="1:24" ht="18.75">
      <c r="A2" s="592"/>
      <c r="B2" s="595" t="s">
        <v>838</v>
      </c>
      <c r="C2" s="596"/>
      <c r="D2" s="596"/>
      <c r="E2" s="596"/>
      <c r="F2" s="597"/>
      <c r="G2" s="596"/>
      <c r="H2" s="596"/>
      <c r="I2" s="596"/>
      <c r="J2" s="596"/>
      <c r="K2" s="596"/>
      <c r="L2" s="596"/>
      <c r="M2" s="596"/>
      <c r="N2" s="596"/>
      <c r="O2" s="598"/>
      <c r="P2" s="596"/>
      <c r="Q2" s="596"/>
      <c r="R2" s="596"/>
      <c r="S2" s="599"/>
      <c r="T2" s="592"/>
      <c r="U2" s="592"/>
      <c r="V2" s="592"/>
      <c r="W2" s="592"/>
      <c r="X2" s="600"/>
    </row>
    <row r="3" spans="1:24" ht="14.25" thickBot="1">
      <c r="A3" s="592"/>
      <c r="B3" s="596"/>
      <c r="C3" s="601" t="s">
        <v>230</v>
      </c>
      <c r="D3" s="596"/>
      <c r="E3" s="596"/>
      <c r="F3" s="596"/>
      <c r="G3" s="596"/>
      <c r="H3" s="596"/>
      <c r="I3" s="596" t="s">
        <v>229</v>
      </c>
      <c r="J3" s="596"/>
      <c r="K3" s="596"/>
      <c r="L3" s="596"/>
      <c r="M3" s="596"/>
      <c r="N3" s="596"/>
      <c r="O3" s="598"/>
      <c r="P3" s="596"/>
      <c r="Q3" s="596"/>
      <c r="R3" s="596"/>
      <c r="S3" s="599"/>
      <c r="T3" s="592"/>
      <c r="U3" s="592"/>
      <c r="V3" s="592"/>
      <c r="W3" s="592"/>
      <c r="X3" s="592"/>
    </row>
    <row r="4" spans="1:24" ht="15" thickTop="1" thickBot="1">
      <c r="A4" s="592"/>
      <c r="B4" s="596"/>
      <c r="C4" s="596"/>
      <c r="D4" s="596"/>
      <c r="E4" s="602"/>
      <c r="F4" s="596" t="s">
        <v>228</v>
      </c>
      <c r="G4" s="596"/>
      <c r="H4" s="596"/>
      <c r="I4" s="596" t="s">
        <v>227</v>
      </c>
      <c r="J4" s="596"/>
      <c r="K4" s="596"/>
      <c r="L4" s="596"/>
      <c r="M4" s="596"/>
      <c r="N4" s="596"/>
      <c r="O4" s="598"/>
      <c r="P4" s="596"/>
      <c r="Q4" s="596"/>
      <c r="R4" s="596"/>
      <c r="S4" s="596"/>
      <c r="T4" s="592"/>
      <c r="U4" s="592"/>
      <c r="V4" s="592"/>
      <c r="W4" s="592"/>
      <c r="X4" s="592"/>
    </row>
    <row r="5" spans="1:24" ht="14.25" thickTop="1">
      <c r="A5" s="592"/>
      <c r="B5" s="596"/>
      <c r="C5" s="596"/>
      <c r="D5" s="596"/>
      <c r="E5" s="603"/>
      <c r="F5" s="596" t="s">
        <v>226</v>
      </c>
      <c r="G5" s="596"/>
      <c r="H5" s="596"/>
      <c r="I5" s="596" t="s">
        <v>225</v>
      </c>
      <c r="J5" s="596"/>
      <c r="K5" s="596"/>
      <c r="L5" s="596"/>
      <c r="M5" s="596"/>
      <c r="N5" s="596"/>
      <c r="O5" s="598"/>
      <c r="P5" s="596"/>
      <c r="Q5" s="596"/>
      <c r="R5" s="596"/>
      <c r="S5" s="596"/>
      <c r="T5" s="592"/>
      <c r="U5" s="592"/>
      <c r="V5" s="592"/>
      <c r="W5" s="592"/>
      <c r="X5" s="592"/>
    </row>
    <row r="6" spans="1:24">
      <c r="A6" s="592"/>
      <c r="B6" s="596"/>
      <c r="C6" s="596"/>
      <c r="D6" s="596"/>
      <c r="E6" s="604"/>
      <c r="F6" s="596" t="s">
        <v>224</v>
      </c>
      <c r="G6" s="596"/>
      <c r="H6" s="596"/>
      <c r="I6" s="596"/>
      <c r="J6" s="596"/>
      <c r="K6" s="596"/>
      <c r="L6" s="596"/>
      <c r="M6" s="596"/>
      <c r="N6" s="596"/>
      <c r="O6" s="598"/>
      <c r="P6" s="596"/>
      <c r="Q6" s="596"/>
      <c r="R6" s="596"/>
      <c r="S6" s="596"/>
      <c r="T6" s="592"/>
      <c r="U6" s="592"/>
      <c r="V6" s="592"/>
      <c r="W6" s="592"/>
      <c r="X6" s="592"/>
    </row>
    <row r="7" spans="1:24">
      <c r="A7" s="592"/>
      <c r="B7" s="596"/>
      <c r="C7" s="596"/>
      <c r="D7" s="596"/>
      <c r="E7" s="596"/>
      <c r="F7" s="596"/>
      <c r="G7" s="596"/>
      <c r="H7" s="596"/>
      <c r="I7" s="596"/>
      <c r="J7" s="596"/>
      <c r="K7" s="596"/>
      <c r="L7" s="596"/>
      <c r="M7" s="596"/>
      <c r="N7" s="596"/>
      <c r="O7" s="598"/>
      <c r="P7" s="596"/>
      <c r="Q7" s="596"/>
      <c r="R7" s="596"/>
      <c r="S7" s="596"/>
      <c r="T7" s="592"/>
      <c r="U7" s="592"/>
      <c r="V7" s="592"/>
      <c r="W7" s="592"/>
      <c r="X7" s="592"/>
    </row>
    <row r="8" spans="1:24" ht="14.25" thickBot="1">
      <c r="A8" s="592"/>
      <c r="B8" s="596"/>
      <c r="C8" s="596"/>
      <c r="D8" s="596"/>
      <c r="E8" s="596"/>
      <c r="F8" s="596"/>
      <c r="G8" s="596"/>
      <c r="H8" s="596"/>
      <c r="I8" s="596"/>
      <c r="J8" s="596"/>
      <c r="K8" s="596"/>
      <c r="L8" s="596"/>
      <c r="M8" s="596"/>
      <c r="N8" s="596"/>
      <c r="O8" s="598"/>
      <c r="P8" s="596"/>
      <c r="Q8" s="596"/>
      <c r="R8" s="596"/>
      <c r="S8" s="596"/>
      <c r="T8" s="592"/>
      <c r="U8" s="592"/>
      <c r="V8" s="592"/>
      <c r="W8" s="592"/>
      <c r="X8" s="592"/>
    </row>
    <row r="9" spans="1:24" ht="15" thickTop="1" thickBot="1">
      <c r="A9" s="592"/>
      <c r="B9" s="596" t="s">
        <v>223</v>
      </c>
      <c r="C9" s="596" t="s">
        <v>234</v>
      </c>
      <c r="D9" s="596"/>
      <c r="E9" s="605">
        <v>35</v>
      </c>
      <c r="F9" s="596" t="s">
        <v>214</v>
      </c>
      <c r="G9" s="596"/>
      <c r="H9" s="596"/>
      <c r="K9" s="596"/>
      <c r="L9" s="596"/>
      <c r="M9" s="596"/>
      <c r="N9" s="596"/>
      <c r="O9" s="598"/>
      <c r="P9" s="596"/>
      <c r="Q9" s="596"/>
      <c r="R9" s="596"/>
      <c r="S9" s="596"/>
      <c r="T9" s="592"/>
      <c r="U9" s="592"/>
      <c r="V9" s="592"/>
      <c r="W9" s="592"/>
      <c r="X9" s="592"/>
    </row>
    <row r="10" spans="1:24" ht="15" thickTop="1" thickBot="1">
      <c r="A10" s="592"/>
      <c r="B10" s="596"/>
      <c r="C10" s="606" t="s">
        <v>839</v>
      </c>
      <c r="D10" s="596"/>
      <c r="E10" s="605">
        <v>195</v>
      </c>
      <c r="F10" s="606" t="s">
        <v>914</v>
      </c>
      <c r="G10" s="597" t="s">
        <v>915</v>
      </c>
      <c r="J10" s="596"/>
      <c r="K10" s="596"/>
      <c r="L10" s="596"/>
      <c r="M10" s="596"/>
      <c r="N10" s="596"/>
      <c r="O10" s="742"/>
      <c r="P10" s="596"/>
      <c r="Q10" s="596"/>
      <c r="R10" s="596"/>
      <c r="S10" s="596"/>
      <c r="T10" s="592"/>
      <c r="U10" s="592"/>
      <c r="V10" s="592"/>
      <c r="W10" s="592"/>
      <c r="X10" s="592"/>
    </row>
    <row r="11" spans="1:24" ht="15" thickTop="1" thickBot="1">
      <c r="A11" s="592"/>
      <c r="B11" s="596" t="s">
        <v>221</v>
      </c>
      <c r="C11" s="596" t="s">
        <v>295</v>
      </c>
      <c r="D11" s="596"/>
      <c r="E11" s="605">
        <v>3477</v>
      </c>
      <c r="F11" s="596" t="s">
        <v>220</v>
      </c>
      <c r="G11" s="596"/>
      <c r="H11" s="607">
        <f>E11/E10</f>
        <v>17.830769230769231</v>
      </c>
      <c r="I11" s="608" t="s">
        <v>840</v>
      </c>
      <c r="J11" s="596"/>
      <c r="K11" s="596"/>
      <c r="L11" s="596"/>
      <c r="M11" s="596"/>
      <c r="N11" s="596"/>
      <c r="O11" s="598"/>
      <c r="P11" s="596"/>
      <c r="Q11" s="596"/>
      <c r="R11" s="596"/>
      <c r="S11" s="596"/>
      <c r="T11" s="592"/>
      <c r="U11" s="592"/>
      <c r="V11" s="592"/>
      <c r="W11" s="592"/>
      <c r="X11" s="592"/>
    </row>
    <row r="12" spans="1:24" ht="15" thickTop="1" thickBot="1">
      <c r="A12" s="592"/>
      <c r="B12" s="596" t="s">
        <v>219</v>
      </c>
      <c r="C12" s="596" t="s">
        <v>239</v>
      </c>
      <c r="D12" s="596"/>
      <c r="E12" s="605">
        <v>365</v>
      </c>
      <c r="F12" s="596" t="s">
        <v>240</v>
      </c>
      <c r="G12" s="596"/>
      <c r="H12" s="596"/>
      <c r="I12" s="596"/>
      <c r="J12" s="596"/>
      <c r="K12" s="596"/>
      <c r="L12" s="596"/>
      <c r="M12" s="596"/>
      <c r="N12" s="596"/>
      <c r="O12" s="598"/>
      <c r="P12" s="596"/>
      <c r="Q12" s="596"/>
      <c r="R12" s="596"/>
      <c r="S12" s="596"/>
      <c r="T12" s="592"/>
      <c r="U12" s="592"/>
      <c r="V12" s="592"/>
      <c r="W12" s="592"/>
      <c r="X12" s="592"/>
    </row>
    <row r="13" spans="1:24" ht="15" thickTop="1" thickBot="1">
      <c r="A13" s="592"/>
      <c r="B13" s="596" t="s">
        <v>213</v>
      </c>
      <c r="C13" s="596" t="s">
        <v>218</v>
      </c>
      <c r="D13" s="596" t="s">
        <v>216</v>
      </c>
      <c r="E13" s="609">
        <v>70</v>
      </c>
      <c r="F13" s="596" t="s">
        <v>164</v>
      </c>
      <c r="G13" s="596" t="s">
        <v>215</v>
      </c>
      <c r="H13" s="610">
        <f>100-E13</f>
        <v>30</v>
      </c>
      <c r="I13" s="596" t="s">
        <v>164</v>
      </c>
      <c r="J13" s="596"/>
      <c r="K13" s="596"/>
      <c r="L13" s="596"/>
      <c r="M13" s="596"/>
      <c r="N13" s="596"/>
      <c r="O13" s="598"/>
      <c r="P13" s="596"/>
      <c r="Q13" s="596"/>
      <c r="R13" s="596"/>
      <c r="S13" s="596"/>
      <c r="T13" s="592"/>
      <c r="U13" s="592"/>
      <c r="V13" s="592"/>
      <c r="W13" s="592"/>
      <c r="X13" s="592"/>
    </row>
    <row r="14" spans="1:24" ht="15" thickTop="1" thickBot="1">
      <c r="A14" s="592"/>
      <c r="B14" s="596"/>
      <c r="C14" s="596" t="s">
        <v>243</v>
      </c>
      <c r="D14" s="596" t="s">
        <v>216</v>
      </c>
      <c r="E14" s="611">
        <f>$E$9*E13/100</f>
        <v>24.5</v>
      </c>
      <c r="F14" s="606" t="s">
        <v>914</v>
      </c>
      <c r="G14" s="596" t="s">
        <v>215</v>
      </c>
      <c r="H14" s="611">
        <f>$E$9*H13/100</f>
        <v>10.5</v>
      </c>
      <c r="I14" s="606" t="s">
        <v>914</v>
      </c>
      <c r="J14" s="596"/>
      <c r="K14" s="596"/>
      <c r="L14" s="596"/>
      <c r="M14" s="596"/>
      <c r="N14" s="596"/>
      <c r="O14" s="598"/>
      <c r="P14" s="596"/>
      <c r="Q14" s="596"/>
      <c r="R14" s="596"/>
      <c r="S14" s="596"/>
      <c r="T14" s="592"/>
      <c r="U14" s="592"/>
      <c r="V14" s="592"/>
      <c r="W14" s="592"/>
      <c r="X14" s="592"/>
    </row>
    <row r="15" spans="1:24" ht="15" thickTop="1" thickBot="1">
      <c r="A15" s="592"/>
      <c r="B15" s="596"/>
      <c r="C15" s="596" t="s">
        <v>218</v>
      </c>
      <c r="D15" s="596" t="s">
        <v>216</v>
      </c>
      <c r="E15" s="609">
        <v>70</v>
      </c>
      <c r="F15" s="596" t="s">
        <v>164</v>
      </c>
      <c r="G15" s="596" t="s">
        <v>215</v>
      </c>
      <c r="H15" s="610">
        <f>100-E15</f>
        <v>30</v>
      </c>
      <c r="I15" s="596" t="s">
        <v>164</v>
      </c>
      <c r="J15" s="596"/>
      <c r="K15" s="596"/>
      <c r="L15" s="596"/>
      <c r="M15" s="596"/>
      <c r="N15" s="596"/>
      <c r="O15" s="598"/>
      <c r="P15" s="596"/>
      <c r="Q15" s="596"/>
      <c r="R15" s="596"/>
      <c r="S15" s="596"/>
      <c r="T15" s="592"/>
      <c r="U15" s="592"/>
      <c r="V15" s="592"/>
      <c r="W15" s="592"/>
      <c r="X15" s="592"/>
    </row>
    <row r="16" spans="1:24" ht="14.25" thickTop="1">
      <c r="A16" s="592"/>
      <c r="B16" s="596"/>
      <c r="C16" s="606" t="s">
        <v>841</v>
      </c>
      <c r="D16" s="596" t="s">
        <v>216</v>
      </c>
      <c r="E16" s="611">
        <f>$E$10*E15/100</f>
        <v>136.5</v>
      </c>
      <c r="F16" s="606" t="s">
        <v>914</v>
      </c>
      <c r="G16" s="596" t="s">
        <v>215</v>
      </c>
      <c r="H16" s="611">
        <f>$E$10*H15/100</f>
        <v>58.5</v>
      </c>
      <c r="I16" s="606" t="s">
        <v>914</v>
      </c>
      <c r="J16" s="596"/>
      <c r="K16" s="596"/>
      <c r="L16" s="596"/>
      <c r="M16" s="596"/>
      <c r="N16" s="596"/>
      <c r="O16" s="598"/>
      <c r="P16" s="596"/>
      <c r="Q16" s="596"/>
      <c r="R16" s="596"/>
      <c r="S16" s="596"/>
      <c r="T16" s="592"/>
      <c r="U16" s="592"/>
      <c r="V16" s="592"/>
      <c r="W16" s="592"/>
      <c r="X16" s="592"/>
    </row>
    <row r="17" spans="1:24">
      <c r="A17" s="592"/>
      <c r="B17" s="596"/>
      <c r="C17" s="596"/>
      <c r="D17" s="596"/>
      <c r="E17" s="596"/>
      <c r="F17" s="596"/>
      <c r="G17" s="596"/>
      <c r="H17" s="596"/>
      <c r="I17" s="596"/>
      <c r="J17" s="596"/>
      <c r="K17" s="596"/>
      <c r="L17" s="596"/>
      <c r="M17" s="596"/>
      <c r="N17" s="596"/>
      <c r="O17" s="598"/>
      <c r="P17" s="596"/>
      <c r="Q17" s="596"/>
      <c r="R17" s="596"/>
      <c r="S17" s="596"/>
      <c r="T17" s="592"/>
      <c r="U17" s="592"/>
      <c r="V17" s="592"/>
      <c r="W17" s="592"/>
      <c r="X17" s="592"/>
    </row>
    <row r="18" spans="1:24">
      <c r="A18" s="592"/>
      <c r="B18" s="596" t="s">
        <v>246</v>
      </c>
      <c r="C18" s="596" t="s">
        <v>212</v>
      </c>
      <c r="D18" s="596"/>
      <c r="E18" s="596"/>
      <c r="F18" s="596"/>
      <c r="G18" s="596"/>
      <c r="H18" s="596"/>
      <c r="I18" s="596"/>
      <c r="J18" s="596"/>
      <c r="K18" s="596"/>
      <c r="L18" s="596"/>
      <c r="M18" s="596"/>
      <c r="N18" s="596"/>
      <c r="O18" s="598"/>
      <c r="P18" s="596"/>
      <c r="Q18" s="596"/>
      <c r="R18" s="596"/>
      <c r="S18" s="596"/>
      <c r="T18" s="592"/>
      <c r="U18" s="592"/>
      <c r="V18" s="592"/>
      <c r="W18" s="592"/>
      <c r="X18" s="592"/>
    </row>
    <row r="19" spans="1:24">
      <c r="A19" s="592"/>
      <c r="B19" s="596"/>
      <c r="C19" s="596" t="s">
        <v>247</v>
      </c>
      <c r="D19" s="596"/>
      <c r="E19" s="596"/>
      <c r="F19" s="596"/>
      <c r="G19" s="596"/>
      <c r="H19" s="596"/>
      <c r="I19" s="596"/>
      <c r="J19" s="596"/>
      <c r="K19" s="596"/>
      <c r="L19" s="596"/>
      <c r="M19" s="596"/>
      <c r="N19" s="596"/>
      <c r="O19" s="598"/>
      <c r="P19" s="596"/>
      <c r="Q19" s="596"/>
      <c r="R19" s="596"/>
      <c r="S19" s="596"/>
      <c r="T19" s="592"/>
      <c r="U19" s="592"/>
      <c r="V19" s="592"/>
      <c r="W19" s="592"/>
      <c r="X19" s="592"/>
    </row>
    <row r="20" spans="1:24" ht="14.25" thickBot="1">
      <c r="A20" s="592"/>
      <c r="B20" s="596"/>
      <c r="C20" s="596"/>
      <c r="D20" s="596"/>
      <c r="E20" s="596" t="s">
        <v>190</v>
      </c>
      <c r="F20" s="596"/>
      <c r="G20" s="596" t="s">
        <v>210</v>
      </c>
      <c r="H20" s="596"/>
      <c r="I20" s="612" t="s">
        <v>248</v>
      </c>
      <c r="J20" s="596"/>
      <c r="K20" s="596" t="s">
        <v>209</v>
      </c>
      <c r="L20" s="596"/>
      <c r="M20" s="596"/>
      <c r="N20" s="596"/>
      <c r="O20" s="596"/>
      <c r="P20" s="596"/>
      <c r="Q20" s="598"/>
      <c r="R20" s="596"/>
      <c r="S20" s="596"/>
      <c r="T20" s="596"/>
      <c r="U20" s="596"/>
      <c r="V20" s="592"/>
      <c r="W20" s="592"/>
      <c r="X20" s="592"/>
    </row>
    <row r="21" spans="1:24" ht="15" thickTop="1" thickBot="1">
      <c r="A21" s="592"/>
      <c r="B21" s="596"/>
      <c r="C21" s="596" t="s">
        <v>208</v>
      </c>
      <c r="D21" s="613"/>
      <c r="E21" s="614">
        <v>6</v>
      </c>
      <c r="F21" s="596" t="s">
        <v>183</v>
      </c>
      <c r="G21" s="603">
        <v>4.7E-2</v>
      </c>
      <c r="H21" s="615" t="s">
        <v>249</v>
      </c>
      <c r="I21" s="616">
        <v>12</v>
      </c>
      <c r="J21" s="617" t="s">
        <v>250</v>
      </c>
      <c r="K21" s="604">
        <f>E$14</f>
        <v>24.5</v>
      </c>
      <c r="L21" s="596" t="s">
        <v>201</v>
      </c>
      <c r="M21" s="618">
        <f>E21*G21*I21*K21</f>
        <v>82.908000000000015</v>
      </c>
      <c r="N21" s="596" t="s">
        <v>172</v>
      </c>
      <c r="O21" s="619">
        <f>G21*I21</f>
        <v>0.56400000000000006</v>
      </c>
      <c r="P21" s="596"/>
      <c r="Q21" s="598"/>
      <c r="R21" s="596"/>
      <c r="S21" s="613" t="s">
        <v>186</v>
      </c>
      <c r="T21" s="620">
        <f t="shared" ref="T21:T26" si="0">M21*O$28</f>
        <v>30261.420000000006</v>
      </c>
      <c r="U21" s="596"/>
      <c r="V21" s="592"/>
      <c r="W21" s="592"/>
      <c r="X21" s="592"/>
    </row>
    <row r="22" spans="1:24" ht="15" thickTop="1" thickBot="1">
      <c r="A22" s="592"/>
      <c r="B22" s="596"/>
      <c r="C22" s="596" t="s">
        <v>207</v>
      </c>
      <c r="D22" s="613"/>
      <c r="E22" s="614">
        <v>4</v>
      </c>
      <c r="F22" s="596" t="s">
        <v>183</v>
      </c>
      <c r="G22" s="603">
        <v>0.32</v>
      </c>
      <c r="H22" s="615" t="s">
        <v>249</v>
      </c>
      <c r="I22" s="616">
        <v>12</v>
      </c>
      <c r="J22" s="617" t="s">
        <v>250</v>
      </c>
      <c r="K22" s="604">
        <f>E$14</f>
        <v>24.5</v>
      </c>
      <c r="L22" s="596" t="s">
        <v>201</v>
      </c>
      <c r="M22" s="618">
        <f>E22*G22*I22*K22</f>
        <v>376.32</v>
      </c>
      <c r="N22" s="596" t="s">
        <v>172</v>
      </c>
      <c r="O22" s="619">
        <f>G22*I22</f>
        <v>3.84</v>
      </c>
      <c r="P22" s="596"/>
      <c r="Q22" s="598"/>
      <c r="R22" s="596"/>
      <c r="S22" s="613" t="s">
        <v>186</v>
      </c>
      <c r="T22" s="620">
        <f t="shared" si="0"/>
        <v>137356.79999999999</v>
      </c>
      <c r="U22" s="596"/>
      <c r="V22" s="592"/>
      <c r="W22" s="592"/>
      <c r="X22" s="592"/>
    </row>
    <row r="23" spans="1:24" ht="15" thickTop="1" thickBot="1">
      <c r="A23" s="592"/>
      <c r="B23" s="596"/>
      <c r="C23" s="596" t="s">
        <v>206</v>
      </c>
      <c r="D23" s="621"/>
      <c r="E23" s="614">
        <v>2</v>
      </c>
      <c r="F23" s="596" t="s">
        <v>183</v>
      </c>
      <c r="G23" s="603">
        <f>G21+G22</f>
        <v>0.36699999999999999</v>
      </c>
      <c r="H23" s="615" t="s">
        <v>249</v>
      </c>
      <c r="I23" s="616">
        <v>12</v>
      </c>
      <c r="J23" s="617" t="s">
        <v>250</v>
      </c>
      <c r="K23" s="604">
        <f>E$14</f>
        <v>24.5</v>
      </c>
      <c r="L23" s="596" t="s">
        <v>201</v>
      </c>
      <c r="M23" s="618">
        <f>E23*G23*I23*K23</f>
        <v>215.79599999999999</v>
      </c>
      <c r="N23" s="596" t="s">
        <v>172</v>
      </c>
      <c r="O23" s="619">
        <f>G23*I23</f>
        <v>4.4039999999999999</v>
      </c>
      <c r="P23" s="596"/>
      <c r="Q23" s="598"/>
      <c r="R23" s="596"/>
      <c r="S23" s="621" t="s">
        <v>158</v>
      </c>
      <c r="T23" s="622">
        <f t="shared" si="0"/>
        <v>78765.539999999994</v>
      </c>
      <c r="U23" s="596"/>
      <c r="V23" s="592"/>
      <c r="W23" s="592"/>
      <c r="X23" s="592"/>
    </row>
    <row r="24" spans="1:24" ht="15" thickTop="1" thickBot="1">
      <c r="A24" s="592"/>
      <c r="B24" s="596"/>
      <c r="C24" s="596" t="s">
        <v>205</v>
      </c>
      <c r="D24" s="613"/>
      <c r="E24" s="614">
        <v>6</v>
      </c>
      <c r="F24" s="596" t="s">
        <v>183</v>
      </c>
      <c r="G24" s="603">
        <v>0.32600000000000001</v>
      </c>
      <c r="H24" s="615" t="s">
        <v>249</v>
      </c>
      <c r="I24" s="616">
        <v>12</v>
      </c>
      <c r="J24" s="617" t="s">
        <v>250</v>
      </c>
      <c r="K24" s="604">
        <f>H$14</f>
        <v>10.5</v>
      </c>
      <c r="L24" s="596" t="s">
        <v>201</v>
      </c>
      <c r="M24" s="618">
        <f>E24*G24*I24*K24</f>
        <v>246.45600000000002</v>
      </c>
      <c r="N24" s="596" t="s">
        <v>172</v>
      </c>
      <c r="O24" s="619">
        <f>G24*I24</f>
        <v>3.9119999999999999</v>
      </c>
      <c r="P24" s="596"/>
      <c r="Q24" s="598"/>
      <c r="R24" s="596"/>
      <c r="S24" s="613" t="s">
        <v>186</v>
      </c>
      <c r="T24" s="620">
        <f t="shared" si="0"/>
        <v>89956.44</v>
      </c>
      <c r="U24" s="596"/>
      <c r="V24" s="592"/>
      <c r="W24" s="592"/>
      <c r="X24" s="592"/>
    </row>
    <row r="25" spans="1:24" ht="15" thickTop="1" thickBot="1">
      <c r="A25" s="592"/>
      <c r="B25" s="596"/>
      <c r="C25" s="596" t="s">
        <v>204</v>
      </c>
      <c r="D25" s="621"/>
      <c r="E25" s="614">
        <v>2</v>
      </c>
      <c r="F25" s="596" t="s">
        <v>183</v>
      </c>
      <c r="G25" s="603">
        <f>G24</f>
        <v>0.32600000000000001</v>
      </c>
      <c r="H25" s="615" t="s">
        <v>249</v>
      </c>
      <c r="I25" s="616">
        <v>12</v>
      </c>
      <c r="J25" s="617" t="s">
        <v>250</v>
      </c>
      <c r="K25" s="604">
        <f>H$14</f>
        <v>10.5</v>
      </c>
      <c r="L25" s="596" t="s">
        <v>201</v>
      </c>
      <c r="M25" s="618">
        <f>E25*G25*I25*K25</f>
        <v>82.152000000000001</v>
      </c>
      <c r="N25" s="596" t="s">
        <v>172</v>
      </c>
      <c r="O25" s="619">
        <f>G25*I25</f>
        <v>3.9119999999999999</v>
      </c>
      <c r="P25" s="596"/>
      <c r="Q25" s="598"/>
      <c r="R25" s="596"/>
      <c r="S25" s="621" t="s">
        <v>158</v>
      </c>
      <c r="T25" s="622">
        <f t="shared" si="0"/>
        <v>29985.48</v>
      </c>
      <c r="U25" s="596"/>
      <c r="V25" s="592"/>
      <c r="W25" s="592"/>
      <c r="X25" s="592"/>
    </row>
    <row r="26" spans="1:24" ht="15" thickTop="1" thickBot="1">
      <c r="A26" s="592"/>
      <c r="B26" s="596"/>
      <c r="C26" s="596" t="s">
        <v>203</v>
      </c>
      <c r="D26" s="621"/>
      <c r="E26" s="614">
        <v>2.5</v>
      </c>
      <c r="F26" s="596" t="s">
        <v>183</v>
      </c>
      <c r="G26" s="603">
        <v>3</v>
      </c>
      <c r="H26" s="596" t="s">
        <v>202</v>
      </c>
      <c r="I26" s="623"/>
      <c r="J26" s="596"/>
      <c r="K26" s="604">
        <f>$E9</f>
        <v>35</v>
      </c>
      <c r="L26" s="596" t="s">
        <v>201</v>
      </c>
      <c r="M26" s="618">
        <f>E26*G26*K26</f>
        <v>262.5</v>
      </c>
      <c r="N26" s="596" t="s">
        <v>200</v>
      </c>
      <c r="O26" s="596"/>
      <c r="P26" s="596"/>
      <c r="Q26" s="598"/>
      <c r="R26" s="596"/>
      <c r="S26" s="621" t="s">
        <v>158</v>
      </c>
      <c r="T26" s="622">
        <f t="shared" si="0"/>
        <v>95812.5</v>
      </c>
      <c r="U26" s="596"/>
      <c r="V26" s="592"/>
      <c r="W26" s="592"/>
      <c r="X26" s="592"/>
    </row>
    <row r="27" spans="1:24" ht="14.25" thickTop="1">
      <c r="A27" s="592"/>
      <c r="B27" s="596"/>
      <c r="C27" s="596"/>
      <c r="D27" s="621"/>
      <c r="E27" s="596"/>
      <c r="F27" s="596"/>
      <c r="G27" s="596"/>
      <c r="H27" s="596"/>
      <c r="I27" s="596"/>
      <c r="J27" s="596"/>
      <c r="K27" s="596"/>
      <c r="L27" s="596"/>
      <c r="M27" s="596"/>
      <c r="N27" s="596"/>
      <c r="O27" s="596" t="s">
        <v>175</v>
      </c>
      <c r="P27" s="596"/>
      <c r="Q27" s="598"/>
      <c r="R27" s="596"/>
      <c r="S27" s="596"/>
      <c r="T27" s="596"/>
      <c r="U27" s="596"/>
      <c r="V27" s="592"/>
      <c r="W27" s="592"/>
      <c r="X27" s="592"/>
    </row>
    <row r="28" spans="1:24" ht="15" customHeight="1">
      <c r="A28" s="592"/>
      <c r="B28" s="596"/>
      <c r="C28" s="596"/>
      <c r="D28" s="596"/>
      <c r="E28" s="596" t="s">
        <v>199</v>
      </c>
      <c r="F28" s="596"/>
      <c r="G28" s="596"/>
      <c r="H28" s="596"/>
      <c r="I28" s="596"/>
      <c r="J28" s="596"/>
      <c r="K28" s="596"/>
      <c r="L28" s="624" t="s">
        <v>181</v>
      </c>
      <c r="M28" s="625">
        <f>SUM(M21:M26)</f>
        <v>1266.1320000000001</v>
      </c>
      <c r="N28" s="596" t="s">
        <v>180</v>
      </c>
      <c r="O28" s="611">
        <f>$E$12</f>
        <v>365</v>
      </c>
      <c r="P28" s="596" t="s">
        <v>171</v>
      </c>
      <c r="Q28" s="626">
        <f>M28*O28</f>
        <v>462138.18000000005</v>
      </c>
      <c r="R28" s="596" t="s">
        <v>154</v>
      </c>
      <c r="S28" s="596" t="s">
        <v>179</v>
      </c>
      <c r="T28" s="627">
        <f>SUM(T21:T27)</f>
        <v>462138.18</v>
      </c>
      <c r="U28" s="596" t="s">
        <v>109</v>
      </c>
      <c r="V28" s="628">
        <f>T28/E9/E12</f>
        <v>36.175200000000004</v>
      </c>
      <c r="W28" s="592" t="s">
        <v>168</v>
      </c>
      <c r="X28" s="592"/>
    </row>
    <row r="29" spans="1:24">
      <c r="A29" s="592"/>
      <c r="B29" s="596"/>
      <c r="C29" s="596"/>
      <c r="D29" s="596"/>
      <c r="E29" s="596"/>
      <c r="F29" s="596"/>
      <c r="G29" s="596"/>
      <c r="H29" s="596"/>
      <c r="I29" s="596"/>
      <c r="J29" s="596"/>
      <c r="K29" s="596"/>
      <c r="L29" s="624" t="s">
        <v>153</v>
      </c>
      <c r="M29" s="629">
        <f>M28/$E$9</f>
        <v>36.175200000000004</v>
      </c>
      <c r="N29" s="596" t="s">
        <v>198</v>
      </c>
      <c r="O29" s="596"/>
      <c r="P29" s="624" t="s">
        <v>153</v>
      </c>
      <c r="Q29" s="598">
        <f>Q28/$E$11</f>
        <v>132.91290767903365</v>
      </c>
      <c r="R29" s="596" t="s">
        <v>152</v>
      </c>
      <c r="S29" s="596"/>
      <c r="T29" s="596"/>
      <c r="U29" s="596"/>
      <c r="V29" s="592"/>
      <c r="W29" s="592"/>
      <c r="X29" s="592"/>
    </row>
    <row r="30" spans="1:24">
      <c r="A30" s="592"/>
      <c r="B30" s="596"/>
      <c r="C30" s="596"/>
      <c r="D30" s="596"/>
      <c r="E30" s="596"/>
      <c r="F30" s="596"/>
      <c r="G30" s="596"/>
      <c r="H30" s="596"/>
      <c r="I30" s="596"/>
      <c r="J30" s="596"/>
      <c r="K30" s="596"/>
      <c r="L30" s="624"/>
      <c r="M30" s="629"/>
      <c r="N30" s="596"/>
      <c r="O30" s="596"/>
      <c r="P30" s="624"/>
      <c r="Q30" s="598"/>
      <c r="R30" s="596"/>
      <c r="S30" s="596"/>
      <c r="T30" s="596"/>
      <c r="U30" s="596"/>
      <c r="V30" s="592"/>
      <c r="W30" s="592"/>
      <c r="X30" s="592"/>
    </row>
    <row r="31" spans="1:24">
      <c r="A31" s="592"/>
      <c r="B31" s="596"/>
      <c r="C31" s="606" t="s">
        <v>842</v>
      </c>
      <c r="D31" s="596"/>
      <c r="E31" s="596"/>
      <c r="F31" s="596"/>
      <c r="G31" s="596"/>
      <c r="H31" s="596"/>
      <c r="I31" s="596"/>
      <c r="J31" s="596"/>
      <c r="K31" s="596"/>
      <c r="L31" s="596"/>
      <c r="M31" s="596"/>
      <c r="N31" s="596"/>
      <c r="O31" s="596"/>
      <c r="P31" s="596"/>
      <c r="Q31" s="598"/>
      <c r="R31" s="596"/>
      <c r="S31" s="596"/>
      <c r="T31" s="596"/>
      <c r="U31" s="596"/>
      <c r="V31" s="592"/>
      <c r="W31" s="592"/>
      <c r="X31" s="592"/>
    </row>
    <row r="32" spans="1:24" ht="14.25" thickBot="1">
      <c r="A32" s="592"/>
      <c r="B32" s="596"/>
      <c r="C32" s="596"/>
      <c r="D32" s="596"/>
      <c r="E32" s="596" t="s">
        <v>190</v>
      </c>
      <c r="F32" s="596"/>
      <c r="G32" s="596" t="s">
        <v>210</v>
      </c>
      <c r="H32" s="596"/>
      <c r="I32" s="612" t="s">
        <v>248</v>
      </c>
      <c r="J32" s="596"/>
      <c r="K32" s="596" t="s">
        <v>209</v>
      </c>
      <c r="L32" s="596"/>
      <c r="M32" s="596"/>
      <c r="N32" s="596"/>
      <c r="O32" s="596"/>
      <c r="P32" s="596"/>
      <c r="Q32" s="598"/>
      <c r="R32" s="596"/>
      <c r="S32" s="596"/>
      <c r="T32" s="596"/>
      <c r="U32" s="596"/>
      <c r="V32" s="592"/>
      <c r="W32" s="592"/>
      <c r="X32" s="592"/>
    </row>
    <row r="33" spans="1:24" ht="15" thickTop="1" thickBot="1">
      <c r="A33" s="592"/>
      <c r="B33" s="596"/>
      <c r="C33" s="596" t="s">
        <v>208</v>
      </c>
      <c r="D33" s="613"/>
      <c r="E33" s="614">
        <v>6</v>
      </c>
      <c r="F33" s="596" t="s">
        <v>183</v>
      </c>
      <c r="G33" s="603">
        <v>4.7E-2</v>
      </c>
      <c r="H33" s="615" t="s">
        <v>249</v>
      </c>
      <c r="I33" s="616">
        <v>15</v>
      </c>
      <c r="J33" s="617" t="s">
        <v>250</v>
      </c>
      <c r="K33" s="604">
        <f>E$16</f>
        <v>136.5</v>
      </c>
      <c r="L33" s="596" t="s">
        <v>201</v>
      </c>
      <c r="M33" s="618">
        <f>E33*G33*I33*K33</f>
        <v>577.3950000000001</v>
      </c>
      <c r="N33" s="596" t="s">
        <v>172</v>
      </c>
      <c r="O33" s="619">
        <f>G33*I33</f>
        <v>0.70499999999999996</v>
      </c>
      <c r="P33" s="596"/>
      <c r="Q33" s="598"/>
      <c r="R33" s="596"/>
      <c r="S33" s="613" t="s">
        <v>186</v>
      </c>
      <c r="T33" s="620">
        <f>M33*O$28</f>
        <v>210749.17500000005</v>
      </c>
      <c r="U33" s="596"/>
      <c r="V33" s="592"/>
      <c r="W33" s="592"/>
      <c r="X33" s="592"/>
    </row>
    <row r="34" spans="1:24" ht="15" thickTop="1" thickBot="1">
      <c r="A34" s="592"/>
      <c r="B34" s="596"/>
      <c r="C34" s="596" t="s">
        <v>207</v>
      </c>
      <c r="D34" s="613"/>
      <c r="E34" s="614">
        <v>4</v>
      </c>
      <c r="F34" s="596" t="s">
        <v>183</v>
      </c>
      <c r="G34" s="603">
        <v>0.32</v>
      </c>
      <c r="H34" s="615" t="s">
        <v>249</v>
      </c>
      <c r="I34" s="616">
        <v>15</v>
      </c>
      <c r="J34" s="617" t="s">
        <v>250</v>
      </c>
      <c r="K34" s="604">
        <f>E$16</f>
        <v>136.5</v>
      </c>
      <c r="L34" s="596" t="s">
        <v>201</v>
      </c>
      <c r="M34" s="618">
        <f>E34*G34*I34*K34</f>
        <v>2620.7999999999997</v>
      </c>
      <c r="N34" s="596" t="s">
        <v>172</v>
      </c>
      <c r="O34" s="619">
        <f>G34*I34</f>
        <v>4.8</v>
      </c>
      <c r="P34" s="596"/>
      <c r="Q34" s="598"/>
      <c r="R34" s="596"/>
      <c r="S34" s="613" t="s">
        <v>186</v>
      </c>
      <c r="T34" s="620">
        <f>M34*O$28</f>
        <v>956591.99999999988</v>
      </c>
      <c r="U34" s="596"/>
      <c r="V34" s="592"/>
      <c r="W34" s="592"/>
      <c r="X34" s="592"/>
    </row>
    <row r="35" spans="1:24" ht="15" thickTop="1" thickBot="1">
      <c r="A35" s="592"/>
      <c r="B35" s="596"/>
      <c r="C35" s="596" t="s">
        <v>206</v>
      </c>
      <c r="D35" s="621"/>
      <c r="E35" s="614">
        <v>2</v>
      </c>
      <c r="F35" s="596" t="s">
        <v>183</v>
      </c>
      <c r="G35" s="603">
        <f>G33+G34</f>
        <v>0.36699999999999999</v>
      </c>
      <c r="H35" s="615" t="s">
        <v>249</v>
      </c>
      <c r="I35" s="616">
        <v>15</v>
      </c>
      <c r="J35" s="617" t="s">
        <v>250</v>
      </c>
      <c r="K35" s="604">
        <f>E$16</f>
        <v>136.5</v>
      </c>
      <c r="L35" s="596" t="s">
        <v>201</v>
      </c>
      <c r="M35" s="618">
        <f>E35*G35*I35*K35</f>
        <v>1502.865</v>
      </c>
      <c r="N35" s="596" t="s">
        <v>172</v>
      </c>
      <c r="O35" s="619">
        <f>G35*I35</f>
        <v>5.5049999999999999</v>
      </c>
      <c r="P35" s="596"/>
      <c r="Q35" s="598"/>
      <c r="R35" s="596"/>
      <c r="S35" s="621" t="s">
        <v>158</v>
      </c>
      <c r="T35" s="622">
        <f>M35*O$28</f>
        <v>548545.72499999998</v>
      </c>
      <c r="U35" s="596"/>
      <c r="V35" s="592"/>
      <c r="W35" s="592"/>
      <c r="X35" s="592"/>
    </row>
    <row r="36" spans="1:24" ht="15" thickTop="1" thickBot="1">
      <c r="A36" s="592"/>
      <c r="B36" s="596"/>
      <c r="C36" s="596" t="s">
        <v>205</v>
      </c>
      <c r="D36" s="613"/>
      <c r="E36" s="614">
        <v>6</v>
      </c>
      <c r="F36" s="596" t="s">
        <v>183</v>
      </c>
      <c r="G36" s="603">
        <v>0.32600000000000001</v>
      </c>
      <c r="H36" s="615" t="s">
        <v>249</v>
      </c>
      <c r="I36" s="616">
        <v>15</v>
      </c>
      <c r="J36" s="617" t="s">
        <v>250</v>
      </c>
      <c r="K36" s="604">
        <f>H$16</f>
        <v>58.5</v>
      </c>
      <c r="L36" s="596" t="s">
        <v>201</v>
      </c>
      <c r="M36" s="618">
        <f>E36*G36*I36*K36</f>
        <v>1716.39</v>
      </c>
      <c r="N36" s="596" t="s">
        <v>172</v>
      </c>
      <c r="O36" s="619">
        <f>G36*I36</f>
        <v>4.8900000000000006</v>
      </c>
      <c r="P36" s="596"/>
      <c r="Q36" s="598"/>
      <c r="R36" s="596"/>
      <c r="S36" s="613" t="s">
        <v>186</v>
      </c>
      <c r="T36" s="620">
        <f>M36*O$28</f>
        <v>626482.35000000009</v>
      </c>
      <c r="U36" s="596"/>
      <c r="V36" s="592"/>
      <c r="W36" s="592"/>
      <c r="X36" s="592"/>
    </row>
    <row r="37" spans="1:24" ht="15" thickTop="1" thickBot="1">
      <c r="A37" s="592"/>
      <c r="B37" s="596"/>
      <c r="C37" s="596" t="s">
        <v>204</v>
      </c>
      <c r="D37" s="621"/>
      <c r="E37" s="614">
        <v>2</v>
      </c>
      <c r="F37" s="596" t="s">
        <v>183</v>
      </c>
      <c r="G37" s="603">
        <f>G36</f>
        <v>0.32600000000000001</v>
      </c>
      <c r="H37" s="615" t="s">
        <v>249</v>
      </c>
      <c r="I37" s="616">
        <v>15</v>
      </c>
      <c r="J37" s="617" t="s">
        <v>250</v>
      </c>
      <c r="K37" s="604">
        <f>H$16</f>
        <v>58.5</v>
      </c>
      <c r="L37" s="596" t="s">
        <v>201</v>
      </c>
      <c r="M37" s="618">
        <f>E37*G37*I37*K37</f>
        <v>572.13000000000011</v>
      </c>
      <c r="N37" s="596" t="s">
        <v>172</v>
      </c>
      <c r="O37" s="619">
        <f>G37*I37</f>
        <v>4.8900000000000006</v>
      </c>
      <c r="P37" s="596"/>
      <c r="Q37" s="598"/>
      <c r="R37" s="596"/>
      <c r="S37" s="621" t="s">
        <v>158</v>
      </c>
      <c r="T37" s="622">
        <f>M37*O$28</f>
        <v>208827.45000000004</v>
      </c>
      <c r="U37" s="596"/>
      <c r="V37" s="592"/>
      <c r="W37" s="592"/>
      <c r="X37" s="592"/>
    </row>
    <row r="38" spans="1:24" ht="14.25" thickTop="1">
      <c r="A38" s="592"/>
      <c r="B38" s="596"/>
      <c r="C38" s="596"/>
      <c r="D38" s="621"/>
      <c r="E38" s="596"/>
      <c r="F38" s="596"/>
      <c r="G38" s="596"/>
      <c r="H38" s="596"/>
      <c r="I38" s="623"/>
      <c r="J38" s="596"/>
      <c r="K38" s="596"/>
      <c r="L38" s="596"/>
      <c r="M38" s="592"/>
      <c r="N38" s="596"/>
      <c r="O38" s="596" t="s">
        <v>175</v>
      </c>
      <c r="P38" s="596"/>
      <c r="Q38" s="596"/>
      <c r="R38" s="596"/>
      <c r="S38" s="596"/>
      <c r="T38" s="592"/>
      <c r="U38" s="592"/>
      <c r="V38" s="592"/>
      <c r="W38" s="592"/>
      <c r="X38" s="592"/>
    </row>
    <row r="39" spans="1:24" ht="15" customHeight="1">
      <c r="A39" s="592"/>
      <c r="B39" s="596"/>
      <c r="C39" s="596"/>
      <c r="D39" s="596"/>
      <c r="E39" s="596" t="s">
        <v>199</v>
      </c>
      <c r="F39" s="596"/>
      <c r="G39" s="596"/>
      <c r="H39" s="596"/>
      <c r="I39" s="596"/>
      <c r="J39" s="596"/>
      <c r="K39" s="596"/>
      <c r="L39" s="624" t="s">
        <v>181</v>
      </c>
      <c r="M39" s="625">
        <f>SUM(M33:M37)</f>
        <v>6989.58</v>
      </c>
      <c r="N39" s="596" t="s">
        <v>180</v>
      </c>
      <c r="O39" s="596">
        <f>$E$12</f>
        <v>365</v>
      </c>
      <c r="P39" s="596" t="s">
        <v>171</v>
      </c>
      <c r="Q39" s="626">
        <f>M39*O39</f>
        <v>2551196.7000000002</v>
      </c>
      <c r="R39" s="596" t="s">
        <v>154</v>
      </c>
      <c r="S39" s="596" t="s">
        <v>179</v>
      </c>
      <c r="T39" s="627">
        <f>SUM(T33:T38)</f>
        <v>2551196.7000000002</v>
      </c>
      <c r="U39" s="596" t="s">
        <v>110</v>
      </c>
      <c r="V39" s="628">
        <f>T39/E10/E12</f>
        <v>35.844000000000001</v>
      </c>
      <c r="W39" s="592" t="s">
        <v>168</v>
      </c>
      <c r="X39" s="592"/>
    </row>
    <row r="40" spans="1:24">
      <c r="A40" s="592"/>
      <c r="B40" s="596"/>
      <c r="C40" s="596"/>
      <c r="D40" s="596"/>
      <c r="E40" s="596"/>
      <c r="F40" s="596"/>
      <c r="G40" s="596"/>
      <c r="H40" s="596"/>
      <c r="I40" s="596"/>
      <c r="J40" s="596"/>
      <c r="K40" s="596"/>
      <c r="L40" s="624" t="s">
        <v>153</v>
      </c>
      <c r="M40" s="630">
        <f>M39/$E$10</f>
        <v>35.844000000000001</v>
      </c>
      <c r="N40" s="596" t="s">
        <v>198</v>
      </c>
      <c r="O40" s="596"/>
      <c r="P40" s="624" t="s">
        <v>153</v>
      </c>
      <c r="Q40" s="631">
        <f>Q39/$E$11</f>
        <v>733.73503019844702</v>
      </c>
      <c r="R40" s="596" t="s">
        <v>152</v>
      </c>
      <c r="S40" s="596"/>
      <c r="T40" s="596"/>
      <c r="U40" s="596"/>
      <c r="V40" s="592"/>
      <c r="W40" s="592"/>
      <c r="X40" s="592"/>
    </row>
    <row r="41" spans="1:24">
      <c r="A41" s="592"/>
      <c r="B41" s="596"/>
      <c r="C41" s="596"/>
      <c r="D41" s="596"/>
      <c r="E41" s="596"/>
      <c r="F41" s="596"/>
      <c r="G41" s="596"/>
      <c r="H41" s="596"/>
      <c r="I41" s="596"/>
      <c r="J41" s="624"/>
      <c r="K41" s="629"/>
      <c r="L41" s="596"/>
      <c r="M41" s="596"/>
      <c r="N41" s="624"/>
      <c r="O41" s="598"/>
      <c r="P41" s="596"/>
      <c r="Q41" s="596"/>
      <c r="R41" s="596"/>
      <c r="S41" s="596"/>
      <c r="T41" s="592"/>
      <c r="U41" s="592"/>
      <c r="V41" s="592"/>
      <c r="W41" s="592"/>
      <c r="X41" s="592"/>
    </row>
    <row r="42" spans="1:24">
      <c r="A42" s="592"/>
      <c r="B42" s="596"/>
      <c r="C42" s="596"/>
      <c r="D42" s="596"/>
      <c r="E42" s="596"/>
      <c r="F42" s="596"/>
      <c r="G42" s="596"/>
      <c r="H42" s="596"/>
      <c r="I42" s="596"/>
      <c r="J42" s="624"/>
      <c r="K42" s="596"/>
      <c r="L42" s="596"/>
      <c r="M42" s="596"/>
      <c r="N42" s="624"/>
      <c r="O42" s="598"/>
      <c r="P42" s="596"/>
      <c r="Q42" s="596"/>
      <c r="R42" s="596"/>
      <c r="S42" s="596"/>
      <c r="T42" s="592"/>
      <c r="U42" s="592"/>
      <c r="V42" s="592"/>
      <c r="W42" s="592"/>
      <c r="X42" s="592"/>
    </row>
    <row r="43" spans="1:24">
      <c r="A43" s="592"/>
      <c r="B43" s="596"/>
      <c r="C43" s="596" t="s">
        <v>257</v>
      </c>
      <c r="D43" s="596"/>
      <c r="E43" s="596" t="s">
        <v>96</v>
      </c>
      <c r="F43" s="596"/>
      <c r="G43" s="596" t="s">
        <v>195</v>
      </c>
      <c r="H43" s="596"/>
      <c r="I43" s="596" t="s">
        <v>191</v>
      </c>
      <c r="J43" s="624"/>
      <c r="K43" s="596"/>
      <c r="L43" s="596"/>
      <c r="M43" s="596"/>
      <c r="N43" s="624"/>
      <c r="O43" s="598"/>
      <c r="P43" s="596"/>
      <c r="Q43" s="596"/>
      <c r="R43" s="596"/>
      <c r="S43" s="596"/>
      <c r="T43" s="592"/>
      <c r="U43" s="592"/>
      <c r="V43" s="592"/>
      <c r="W43" s="592"/>
      <c r="X43" s="592"/>
    </row>
    <row r="44" spans="1:24">
      <c r="A44" s="592"/>
      <c r="B44" s="596"/>
      <c r="C44" s="596" t="s">
        <v>188</v>
      </c>
      <c r="D44" s="596"/>
      <c r="E44" s="596">
        <f>E11</f>
        <v>3477</v>
      </c>
      <c r="F44" s="596" t="s">
        <v>194</v>
      </c>
      <c r="G44" s="603">
        <v>2.3E-3</v>
      </c>
      <c r="H44" s="596" t="s">
        <v>193</v>
      </c>
      <c r="I44" s="611">
        <f>E44*G44</f>
        <v>7.9970999999999997</v>
      </c>
      <c r="J44" s="632" t="s">
        <v>192</v>
      </c>
      <c r="K44" s="596"/>
      <c r="L44" s="596"/>
      <c r="M44" s="596"/>
      <c r="N44" s="624"/>
      <c r="O44" s="598"/>
      <c r="P44" s="596"/>
      <c r="Q44" s="596"/>
      <c r="R44" s="596"/>
      <c r="S44" s="596"/>
      <c r="T44" s="592"/>
      <c r="U44" s="592"/>
      <c r="V44" s="592"/>
      <c r="W44" s="592"/>
      <c r="X44" s="592"/>
    </row>
    <row r="45" spans="1:24">
      <c r="A45" s="592"/>
      <c r="B45" s="596"/>
      <c r="C45" s="596" t="s">
        <v>187</v>
      </c>
      <c r="D45" s="596"/>
      <c r="E45" s="596">
        <f>E11</f>
        <v>3477</v>
      </c>
      <c r="F45" s="596" t="s">
        <v>194</v>
      </c>
      <c r="G45" s="603">
        <v>1.1000000000000001E-3</v>
      </c>
      <c r="H45" s="596" t="s">
        <v>193</v>
      </c>
      <c r="I45" s="611">
        <f>E45*G45</f>
        <v>3.8247000000000004</v>
      </c>
      <c r="J45" s="632" t="s">
        <v>192</v>
      </c>
      <c r="K45" s="596"/>
      <c r="L45" s="596"/>
      <c r="M45" s="596"/>
      <c r="N45" s="624"/>
      <c r="O45" s="598"/>
      <c r="P45" s="596"/>
      <c r="Q45" s="596"/>
      <c r="R45" s="596"/>
      <c r="S45" s="596"/>
      <c r="T45" s="592"/>
      <c r="U45" s="592"/>
      <c r="V45" s="592"/>
      <c r="W45" s="592"/>
      <c r="X45" s="592"/>
    </row>
    <row r="46" spans="1:24">
      <c r="A46" s="592"/>
      <c r="B46" s="596"/>
      <c r="C46" s="596" t="s">
        <v>185</v>
      </c>
      <c r="D46" s="596"/>
      <c r="E46" s="596">
        <f>E11</f>
        <v>3477</v>
      </c>
      <c r="F46" s="596" t="s">
        <v>194</v>
      </c>
      <c r="G46" s="603">
        <v>2.3999999999999998E-3</v>
      </c>
      <c r="H46" s="596" t="s">
        <v>193</v>
      </c>
      <c r="I46" s="611">
        <f>E46*G46</f>
        <v>8.3447999999999993</v>
      </c>
      <c r="J46" s="632" t="s">
        <v>192</v>
      </c>
      <c r="K46" s="596"/>
      <c r="L46" s="596"/>
      <c r="M46" s="596"/>
      <c r="N46" s="624"/>
      <c r="O46" s="598"/>
      <c r="P46" s="596"/>
      <c r="Q46" s="596"/>
      <c r="R46" s="596"/>
      <c r="S46" s="596"/>
      <c r="T46" s="592"/>
      <c r="U46" s="592"/>
      <c r="V46" s="592"/>
      <c r="W46" s="592"/>
      <c r="X46" s="592"/>
    </row>
    <row r="47" spans="1:24">
      <c r="A47" s="592"/>
      <c r="B47" s="596"/>
      <c r="C47" s="596"/>
      <c r="D47" s="596"/>
      <c r="E47" s="596"/>
      <c r="F47" s="596"/>
      <c r="G47" s="596"/>
      <c r="H47" s="596"/>
      <c r="I47" s="596"/>
      <c r="J47" s="624"/>
      <c r="K47" s="596"/>
      <c r="L47" s="596"/>
      <c r="M47" s="596"/>
      <c r="N47" s="624"/>
      <c r="O47" s="598"/>
      <c r="P47" s="596"/>
      <c r="Q47" s="596"/>
      <c r="R47" s="596"/>
      <c r="S47" s="596"/>
      <c r="T47" s="592"/>
      <c r="U47" s="592"/>
      <c r="V47" s="592"/>
      <c r="W47" s="592"/>
      <c r="X47" s="592"/>
    </row>
    <row r="48" spans="1:24">
      <c r="A48" s="592"/>
      <c r="B48" s="596"/>
      <c r="C48" s="596"/>
      <c r="D48" s="596"/>
      <c r="E48" s="596" t="s">
        <v>191</v>
      </c>
      <c r="F48" s="596"/>
      <c r="G48" s="596" t="s">
        <v>190</v>
      </c>
      <c r="H48" s="596"/>
      <c r="I48" s="596" t="s">
        <v>189</v>
      </c>
      <c r="J48" s="596"/>
      <c r="K48" s="596"/>
      <c r="L48" s="596"/>
      <c r="M48" s="596"/>
      <c r="N48" s="624"/>
      <c r="O48" s="598"/>
      <c r="P48" s="596"/>
      <c r="Q48" s="612"/>
      <c r="R48" s="612"/>
      <c r="S48" s="596"/>
      <c r="T48" s="592"/>
      <c r="U48" s="592"/>
      <c r="V48" s="592"/>
      <c r="W48" s="592"/>
      <c r="X48" s="592"/>
    </row>
    <row r="49" spans="1:24">
      <c r="A49" s="592"/>
      <c r="B49" s="596"/>
      <c r="C49" s="596" t="s">
        <v>188</v>
      </c>
      <c r="D49" s="613"/>
      <c r="E49" s="596">
        <f>I44</f>
        <v>7.9970999999999997</v>
      </c>
      <c r="F49" s="596" t="s">
        <v>184</v>
      </c>
      <c r="G49" s="633">
        <f>E21</f>
        <v>6</v>
      </c>
      <c r="H49" s="596" t="s">
        <v>183</v>
      </c>
      <c r="I49" s="603">
        <v>6</v>
      </c>
      <c r="J49" s="596" t="s">
        <v>182</v>
      </c>
      <c r="K49" s="596">
        <f>E49*G49*I49</f>
        <v>287.8956</v>
      </c>
      <c r="L49" s="596" t="s">
        <v>172</v>
      </c>
      <c r="M49" s="596"/>
      <c r="N49" s="624"/>
      <c r="O49" s="598"/>
      <c r="P49" s="615"/>
      <c r="Q49" s="634"/>
      <c r="R49" s="634"/>
      <c r="S49" s="635" t="s">
        <v>186</v>
      </c>
      <c r="T49" s="620">
        <f>K49*M$52</f>
        <v>105081.894</v>
      </c>
      <c r="U49" s="596"/>
      <c r="V49" s="592"/>
      <c r="W49" s="592"/>
      <c r="X49" s="592"/>
    </row>
    <row r="50" spans="1:24">
      <c r="A50" s="592"/>
      <c r="B50" s="596"/>
      <c r="C50" s="596" t="s">
        <v>187</v>
      </c>
      <c r="D50" s="613"/>
      <c r="E50" s="596">
        <f>I45</f>
        <v>3.8247000000000004</v>
      </c>
      <c r="F50" s="596" t="s">
        <v>184</v>
      </c>
      <c r="G50" s="633">
        <f>E22</f>
        <v>4</v>
      </c>
      <c r="H50" s="596" t="s">
        <v>183</v>
      </c>
      <c r="I50" s="603">
        <v>6</v>
      </c>
      <c r="J50" s="596" t="s">
        <v>182</v>
      </c>
      <c r="K50" s="596">
        <f>E50*G50*I50</f>
        <v>91.792800000000014</v>
      </c>
      <c r="L50" s="596" t="s">
        <v>172</v>
      </c>
      <c r="M50" s="596"/>
      <c r="N50" s="624"/>
      <c r="O50" s="598"/>
      <c r="P50" s="615"/>
      <c r="Q50" s="634"/>
      <c r="R50" s="634"/>
      <c r="S50" s="635" t="s">
        <v>186</v>
      </c>
      <c r="T50" s="620">
        <f>K50*M$52</f>
        <v>33504.372000000003</v>
      </c>
      <c r="U50" s="596"/>
      <c r="V50" s="592"/>
      <c r="W50" s="592"/>
      <c r="X50" s="592"/>
    </row>
    <row r="51" spans="1:24">
      <c r="A51" s="592"/>
      <c r="B51" s="596"/>
      <c r="C51" s="596" t="s">
        <v>185</v>
      </c>
      <c r="D51" s="621"/>
      <c r="E51" s="596">
        <f>I46</f>
        <v>8.3447999999999993</v>
      </c>
      <c r="F51" s="596" t="s">
        <v>184</v>
      </c>
      <c r="G51" s="633">
        <f>E23</f>
        <v>2</v>
      </c>
      <c r="H51" s="596" t="s">
        <v>183</v>
      </c>
      <c r="I51" s="603">
        <v>6</v>
      </c>
      <c r="J51" s="596" t="s">
        <v>182</v>
      </c>
      <c r="K51" s="596">
        <f>E51*G51*I51</f>
        <v>100.13759999999999</v>
      </c>
      <c r="L51" s="596" t="s">
        <v>172</v>
      </c>
      <c r="M51" s="596" t="s">
        <v>175</v>
      </c>
      <c r="N51" s="596"/>
      <c r="O51" s="598"/>
      <c r="P51" s="615"/>
      <c r="Q51" s="634"/>
      <c r="R51" s="634"/>
      <c r="S51" s="636" t="s">
        <v>158</v>
      </c>
      <c r="T51" s="622">
        <f>K51*M$52</f>
        <v>36550.223999999995</v>
      </c>
      <c r="U51" s="596"/>
      <c r="V51" s="592" t="s">
        <v>259</v>
      </c>
      <c r="W51" s="592"/>
      <c r="X51" s="592"/>
    </row>
    <row r="52" spans="1:24">
      <c r="A52" s="592"/>
      <c r="B52" s="596"/>
      <c r="C52" s="596"/>
      <c r="D52" s="596"/>
      <c r="E52" s="596"/>
      <c r="F52" s="596"/>
      <c r="G52" s="596"/>
      <c r="H52" s="596"/>
      <c r="I52" s="596"/>
      <c r="J52" s="624" t="s">
        <v>181</v>
      </c>
      <c r="K52" s="625">
        <f>SUM(K49:K51)</f>
        <v>479.82600000000002</v>
      </c>
      <c r="L52" s="596" t="s">
        <v>180</v>
      </c>
      <c r="M52" s="596">
        <f>$E$12</f>
        <v>365</v>
      </c>
      <c r="N52" s="596" t="s">
        <v>171</v>
      </c>
      <c r="O52" s="626">
        <f>K52*M52</f>
        <v>175136.49000000002</v>
      </c>
      <c r="P52" s="615" t="s">
        <v>154</v>
      </c>
      <c r="Q52" s="634"/>
      <c r="R52" s="634"/>
      <c r="S52" s="617" t="s">
        <v>179</v>
      </c>
      <c r="T52" s="627">
        <f>SUM(T49:T51)</f>
        <v>175136.49</v>
      </c>
      <c r="U52" s="596" t="s">
        <v>260</v>
      </c>
      <c r="V52" s="628">
        <f>(T28+T39+T52)/(E9+E10)/E12</f>
        <v>37.980600000000003</v>
      </c>
      <c r="W52" s="592" t="s">
        <v>168</v>
      </c>
      <c r="X52" s="592"/>
    </row>
    <row r="53" spans="1:24">
      <c r="A53" s="592"/>
      <c r="B53" s="596"/>
      <c r="C53" s="596"/>
      <c r="D53" s="596"/>
      <c r="E53" s="596"/>
      <c r="F53" s="596"/>
      <c r="G53" s="596"/>
      <c r="H53" s="596"/>
      <c r="I53" s="596"/>
      <c r="J53" s="624"/>
      <c r="K53" s="637"/>
      <c r="L53" s="596"/>
      <c r="M53" s="596"/>
      <c r="N53" s="596"/>
      <c r="O53" s="638"/>
      <c r="P53" s="615"/>
      <c r="Q53" s="634"/>
      <c r="R53" s="634"/>
      <c r="S53" s="617"/>
      <c r="T53" s="627"/>
      <c r="U53" s="596"/>
      <c r="V53" s="628"/>
      <c r="W53" s="592"/>
      <c r="X53" s="592"/>
    </row>
    <row r="54" spans="1:24">
      <c r="A54" s="592"/>
      <c r="B54" s="596"/>
      <c r="C54" s="596"/>
      <c r="D54" s="596"/>
      <c r="E54" s="596"/>
      <c r="F54" s="596"/>
      <c r="G54" s="596"/>
      <c r="H54" s="596"/>
      <c r="I54" s="596"/>
      <c r="J54" s="624"/>
      <c r="K54" s="637"/>
      <c r="L54" s="596"/>
      <c r="M54" s="596"/>
      <c r="N54" s="596"/>
      <c r="O54" s="638"/>
      <c r="P54" s="615"/>
      <c r="Q54" s="634"/>
      <c r="R54" s="634"/>
      <c r="S54" s="617"/>
      <c r="T54" s="627"/>
      <c r="U54" s="596"/>
      <c r="V54" s="628"/>
      <c r="W54" s="592"/>
      <c r="X54" s="592"/>
    </row>
    <row r="55" spans="1:24">
      <c r="A55" s="592"/>
      <c r="B55" s="596"/>
      <c r="C55" s="606" t="s">
        <v>843</v>
      </c>
      <c r="D55" s="596"/>
      <c r="E55" s="596"/>
      <c r="F55" s="596"/>
      <c r="G55" s="606" t="s">
        <v>844</v>
      </c>
      <c r="H55" s="596"/>
      <c r="I55" s="596"/>
      <c r="J55" s="624"/>
      <c r="K55" s="637"/>
      <c r="L55" s="596"/>
      <c r="M55" s="596" t="s">
        <v>175</v>
      </c>
      <c r="N55" s="596"/>
      <c r="O55" s="638"/>
      <c r="P55" s="615"/>
      <c r="Q55" s="634"/>
      <c r="R55" s="634"/>
      <c r="S55" s="617"/>
      <c r="T55" s="627"/>
      <c r="U55" s="596"/>
      <c r="V55" s="628"/>
      <c r="W55" s="592"/>
      <c r="X55" s="592"/>
    </row>
    <row r="56" spans="1:24">
      <c r="A56" s="592"/>
      <c r="B56" s="596"/>
      <c r="C56" s="596"/>
      <c r="D56" s="596"/>
      <c r="E56" s="639"/>
      <c r="F56" s="640"/>
      <c r="G56" s="641">
        <v>250</v>
      </c>
      <c r="H56" s="596" t="s">
        <v>183</v>
      </c>
      <c r="I56" s="618">
        <f>E10</f>
        <v>195</v>
      </c>
      <c r="J56" s="642" t="s">
        <v>845</v>
      </c>
      <c r="K56" s="643">
        <f>G56*I56</f>
        <v>48750</v>
      </c>
      <c r="L56" s="606" t="s">
        <v>180</v>
      </c>
      <c r="M56" s="596">
        <f>$E$12</f>
        <v>365</v>
      </c>
      <c r="N56" s="596" t="s">
        <v>171</v>
      </c>
      <c r="O56" s="626">
        <f>K56*M56</f>
        <v>17793750</v>
      </c>
      <c r="P56" s="615" t="s">
        <v>154</v>
      </c>
      <c r="Q56" s="634"/>
      <c r="R56" s="634"/>
      <c r="S56" s="636" t="s">
        <v>158</v>
      </c>
      <c r="T56" s="644">
        <f>O56</f>
        <v>17793750</v>
      </c>
      <c r="U56" s="606"/>
      <c r="V56" s="628"/>
      <c r="W56" s="592"/>
      <c r="X56" s="592"/>
    </row>
    <row r="57" spans="1:24">
      <c r="A57" s="592"/>
      <c r="B57" s="596"/>
      <c r="C57" s="596"/>
      <c r="D57" s="596"/>
      <c r="E57" s="596" t="s">
        <v>846</v>
      </c>
      <c r="F57" s="596"/>
      <c r="G57" s="596"/>
      <c r="H57" s="596"/>
      <c r="I57" s="596"/>
      <c r="J57" s="624"/>
      <c r="K57" s="637"/>
      <c r="L57" s="596"/>
      <c r="M57" s="596"/>
      <c r="N57" s="596"/>
      <c r="O57" s="638"/>
      <c r="P57" s="615"/>
      <c r="Q57" s="634"/>
      <c r="R57" s="634"/>
      <c r="S57" s="617"/>
      <c r="T57" s="627"/>
      <c r="U57" s="596"/>
      <c r="V57" s="628"/>
      <c r="W57" s="592"/>
      <c r="X57" s="592"/>
    </row>
    <row r="58" spans="1:24" ht="14.25" thickBot="1">
      <c r="A58" s="592"/>
      <c r="B58" s="596"/>
      <c r="C58" s="596"/>
      <c r="D58" s="596"/>
      <c r="E58" s="596"/>
      <c r="F58" s="596"/>
      <c r="G58" s="645" t="s">
        <v>847</v>
      </c>
      <c r="H58" s="596"/>
      <c r="I58" s="596"/>
      <c r="J58" s="624"/>
      <c r="K58" s="637"/>
      <c r="L58" s="596"/>
      <c r="M58" s="596" t="s">
        <v>175</v>
      </c>
      <c r="N58" s="596"/>
      <c r="O58" s="638"/>
      <c r="P58" s="615"/>
      <c r="Q58" s="634"/>
      <c r="R58" s="634"/>
      <c r="S58" s="617"/>
      <c r="T58" s="627"/>
      <c r="U58" s="596"/>
      <c r="V58" s="628"/>
      <c r="W58" s="592"/>
      <c r="X58" s="592"/>
    </row>
    <row r="59" spans="1:24" ht="15" thickTop="1" thickBot="1">
      <c r="A59" s="592"/>
      <c r="B59" s="596"/>
      <c r="C59" s="596"/>
      <c r="D59" s="596"/>
      <c r="E59" s="596"/>
      <c r="F59" s="615"/>
      <c r="G59" s="609"/>
      <c r="H59" s="646" t="s">
        <v>848</v>
      </c>
      <c r="I59" s="606"/>
      <c r="J59" s="624"/>
      <c r="K59" s="596"/>
      <c r="L59" s="596"/>
      <c r="M59" s="596">
        <f>$E$12</f>
        <v>365</v>
      </c>
      <c r="N59" s="596" t="s">
        <v>171</v>
      </c>
      <c r="O59" s="626">
        <f>G59*M59*1000</f>
        <v>0</v>
      </c>
      <c r="P59" s="615" t="s">
        <v>154</v>
      </c>
      <c r="Q59" s="634"/>
      <c r="R59" s="634"/>
      <c r="S59" s="636" t="s">
        <v>158</v>
      </c>
      <c r="T59" s="644">
        <f>O59</f>
        <v>0</v>
      </c>
      <c r="U59" s="606"/>
      <c r="V59" s="592"/>
      <c r="W59" s="592"/>
      <c r="X59" s="592"/>
    </row>
    <row r="60" spans="1:24" ht="14.25" thickTop="1">
      <c r="A60" s="592"/>
      <c r="B60" s="596"/>
      <c r="C60" s="596"/>
      <c r="D60" s="596"/>
      <c r="E60" s="596"/>
      <c r="F60" s="596"/>
      <c r="G60" s="623"/>
      <c r="H60" s="596"/>
      <c r="I60" s="596"/>
      <c r="J60" s="624"/>
      <c r="K60" s="596"/>
      <c r="L60" s="596"/>
      <c r="M60" s="596"/>
      <c r="N60" s="624"/>
      <c r="O60" s="598"/>
      <c r="P60" s="615"/>
      <c r="Q60" s="634"/>
      <c r="R60" s="634"/>
      <c r="S60" s="617"/>
      <c r="T60" s="596"/>
      <c r="U60" s="596"/>
      <c r="V60" s="592"/>
      <c r="W60" s="592"/>
      <c r="X60" s="592"/>
    </row>
    <row r="61" spans="1:24" ht="14.25" thickBot="1">
      <c r="A61" s="592"/>
      <c r="B61" s="596"/>
      <c r="C61" s="606" t="s">
        <v>849</v>
      </c>
      <c r="D61" s="596"/>
      <c r="E61" s="596"/>
      <c r="F61" s="596"/>
      <c r="G61" s="606" t="s">
        <v>262</v>
      </c>
      <c r="H61" s="596"/>
      <c r="I61" s="596" t="s">
        <v>263</v>
      </c>
      <c r="J61" s="596"/>
      <c r="K61" s="596"/>
      <c r="L61" s="596"/>
      <c r="M61" s="596" t="s">
        <v>175</v>
      </c>
      <c r="N61" s="596"/>
      <c r="O61" s="598"/>
      <c r="P61" s="615"/>
      <c r="Q61" s="634"/>
      <c r="R61" s="634"/>
      <c r="S61" s="617"/>
      <c r="T61" s="596"/>
      <c r="U61" s="596"/>
      <c r="V61" s="592"/>
      <c r="W61" s="592"/>
      <c r="X61" s="592"/>
    </row>
    <row r="62" spans="1:24" ht="15" thickTop="1" thickBot="1">
      <c r="A62" s="592"/>
      <c r="B62" s="596"/>
      <c r="C62" s="596"/>
      <c r="D62" s="621"/>
      <c r="E62" s="596" t="s">
        <v>264</v>
      </c>
      <c r="F62" s="596"/>
      <c r="G62" s="603">
        <v>15</v>
      </c>
      <c r="H62" s="596" t="s">
        <v>265</v>
      </c>
      <c r="I62" s="609">
        <v>195</v>
      </c>
      <c r="J62" s="596" t="s">
        <v>201</v>
      </c>
      <c r="K62" s="611">
        <f>G62*I62</f>
        <v>2925</v>
      </c>
      <c r="L62" s="596" t="s">
        <v>172</v>
      </c>
      <c r="M62" s="596">
        <f>$E$12</f>
        <v>365</v>
      </c>
      <c r="N62" s="596" t="s">
        <v>171</v>
      </c>
      <c r="O62" s="626">
        <f>K62*M62</f>
        <v>1067625</v>
      </c>
      <c r="P62" s="615" t="s">
        <v>154</v>
      </c>
      <c r="Q62" s="634"/>
      <c r="R62" s="634"/>
      <c r="S62" s="636" t="s">
        <v>158</v>
      </c>
      <c r="T62" s="644">
        <f>K62*M62</f>
        <v>1067625</v>
      </c>
      <c r="U62" s="596"/>
      <c r="V62" s="592"/>
      <c r="W62" s="592"/>
      <c r="X62" s="592"/>
    </row>
    <row r="63" spans="1:24" ht="15" thickTop="1" thickBot="1">
      <c r="A63" s="592"/>
      <c r="B63" s="596"/>
      <c r="C63" s="596"/>
      <c r="D63" s="621"/>
      <c r="E63" s="596" t="s">
        <v>266</v>
      </c>
      <c r="F63" s="596"/>
      <c r="G63" s="603">
        <v>30</v>
      </c>
      <c r="H63" s="596" t="s">
        <v>265</v>
      </c>
      <c r="I63" s="609"/>
      <c r="J63" s="596" t="s">
        <v>201</v>
      </c>
      <c r="K63" s="611">
        <f>G63*I63</f>
        <v>0</v>
      </c>
      <c r="L63" s="596" t="s">
        <v>172</v>
      </c>
      <c r="M63" s="596">
        <f>$E$12</f>
        <v>365</v>
      </c>
      <c r="N63" s="596" t="s">
        <v>171</v>
      </c>
      <c r="O63" s="626">
        <f>K63*M63</f>
        <v>0</v>
      </c>
      <c r="P63" s="615" t="s">
        <v>154</v>
      </c>
      <c r="Q63" s="634"/>
      <c r="R63" s="634"/>
      <c r="S63" s="636" t="s">
        <v>158</v>
      </c>
      <c r="T63" s="644">
        <f>K63*M63</f>
        <v>0</v>
      </c>
      <c r="U63" s="596"/>
      <c r="V63" s="592"/>
      <c r="W63" s="592"/>
      <c r="X63" s="592"/>
    </row>
    <row r="64" spans="1:24" ht="15" thickTop="1" thickBot="1">
      <c r="A64" s="592"/>
      <c r="B64" s="596"/>
      <c r="C64" s="596"/>
      <c r="D64" s="621"/>
      <c r="E64" s="596" t="s">
        <v>267</v>
      </c>
      <c r="F64" s="596"/>
      <c r="G64" s="603">
        <v>70</v>
      </c>
      <c r="H64" s="596" t="s">
        <v>265</v>
      </c>
      <c r="I64" s="609"/>
      <c r="J64" s="596" t="s">
        <v>201</v>
      </c>
      <c r="K64" s="611">
        <f>G64*I64</f>
        <v>0</v>
      </c>
      <c r="L64" s="596" t="s">
        <v>172</v>
      </c>
      <c r="M64" s="596">
        <f>$E$12</f>
        <v>365</v>
      </c>
      <c r="N64" s="596" t="s">
        <v>171</v>
      </c>
      <c r="O64" s="626">
        <f>K64*M64</f>
        <v>0</v>
      </c>
      <c r="P64" s="615" t="s">
        <v>154</v>
      </c>
      <c r="Q64" s="634"/>
      <c r="R64" s="634"/>
      <c r="S64" s="636" t="s">
        <v>158</v>
      </c>
      <c r="T64" s="644">
        <f>K64*M64</f>
        <v>0</v>
      </c>
      <c r="U64" s="596"/>
      <c r="V64" s="592"/>
      <c r="W64" s="592"/>
      <c r="X64" s="592"/>
    </row>
    <row r="65" spans="1:24" ht="15" thickTop="1" thickBot="1">
      <c r="A65" s="592"/>
      <c r="B65" s="596"/>
      <c r="C65" s="596"/>
      <c r="D65" s="621"/>
      <c r="E65" s="596" t="s">
        <v>268</v>
      </c>
      <c r="F65" s="596"/>
      <c r="G65" s="603">
        <v>50</v>
      </c>
      <c r="H65" s="596" t="s">
        <v>265</v>
      </c>
      <c r="I65" s="609"/>
      <c r="J65" s="596" t="s">
        <v>201</v>
      </c>
      <c r="K65" s="611">
        <f>G65*I65</f>
        <v>0</v>
      </c>
      <c r="L65" s="596" t="s">
        <v>172</v>
      </c>
      <c r="M65" s="596">
        <f>$E$12</f>
        <v>365</v>
      </c>
      <c r="N65" s="596" t="s">
        <v>171</v>
      </c>
      <c r="O65" s="626">
        <f>K65*M65</f>
        <v>0</v>
      </c>
      <c r="P65" s="615" t="s">
        <v>154</v>
      </c>
      <c r="Q65" s="634"/>
      <c r="R65" s="634"/>
      <c r="S65" s="636" t="s">
        <v>158</v>
      </c>
      <c r="T65" s="644">
        <f>K65*M65</f>
        <v>0</v>
      </c>
      <c r="U65" s="596"/>
      <c r="V65" s="592"/>
      <c r="W65" s="592"/>
      <c r="X65" s="592"/>
    </row>
    <row r="66" spans="1:24" ht="14.25" thickTop="1">
      <c r="A66" s="592"/>
      <c r="B66" s="596"/>
      <c r="C66" s="596"/>
      <c r="D66" s="613"/>
      <c r="E66" s="596"/>
      <c r="F66" s="596"/>
      <c r="G66" s="596"/>
      <c r="H66" s="647" t="s">
        <v>181</v>
      </c>
      <c r="I66" s="648">
        <f>SUM(I62:I65)</f>
        <v>195</v>
      </c>
      <c r="J66" s="617" t="s">
        <v>201</v>
      </c>
      <c r="K66" s="596"/>
      <c r="L66" s="596"/>
      <c r="M66" s="596"/>
      <c r="N66" s="596"/>
      <c r="O66" s="598"/>
      <c r="P66" s="615"/>
      <c r="Q66" s="634"/>
      <c r="R66" s="634"/>
      <c r="S66" s="617" t="s">
        <v>179</v>
      </c>
      <c r="T66" s="644">
        <f>SUM(T62:T65)</f>
        <v>1067625</v>
      </c>
      <c r="U66" s="606" t="s">
        <v>269</v>
      </c>
      <c r="V66" s="628">
        <f>(T66)/(I66)/E12</f>
        <v>15</v>
      </c>
      <c r="W66" s="592" t="s">
        <v>270</v>
      </c>
      <c r="X66" s="592"/>
    </row>
    <row r="67" spans="1:24">
      <c r="A67" s="592"/>
      <c r="B67" s="596"/>
      <c r="C67" s="596"/>
      <c r="D67" s="613"/>
      <c r="E67" s="596"/>
      <c r="F67" s="596"/>
      <c r="G67" s="596" t="s">
        <v>271</v>
      </c>
      <c r="H67" s="647"/>
      <c r="I67" s="649"/>
      <c r="J67" s="617"/>
      <c r="K67" s="596"/>
      <c r="L67" s="596"/>
      <c r="M67" s="612"/>
      <c r="N67" s="596"/>
      <c r="O67" s="598"/>
      <c r="P67" s="615"/>
      <c r="Q67" s="634"/>
      <c r="R67" s="634"/>
      <c r="S67" s="617"/>
      <c r="T67" s="650"/>
      <c r="U67" s="592"/>
      <c r="V67" s="651"/>
      <c r="W67" s="592"/>
      <c r="X67" s="592"/>
    </row>
    <row r="68" spans="1:24">
      <c r="A68" s="592"/>
      <c r="B68" s="596"/>
      <c r="C68" s="596"/>
      <c r="D68" s="596"/>
      <c r="E68" s="596"/>
      <c r="F68" s="596"/>
      <c r="G68" s="596"/>
      <c r="H68" s="596"/>
      <c r="I68" s="623"/>
      <c r="J68" s="596"/>
      <c r="K68" s="596"/>
      <c r="L68" s="596"/>
      <c r="M68" s="612"/>
      <c r="N68" s="596"/>
      <c r="O68" s="598"/>
      <c r="P68" s="596"/>
      <c r="Q68" s="623"/>
      <c r="R68" s="623"/>
      <c r="S68" s="596"/>
      <c r="T68" s="592"/>
      <c r="U68" s="592"/>
      <c r="V68" s="592"/>
      <c r="W68" s="592"/>
      <c r="X68" s="592"/>
    </row>
    <row r="69" spans="1:24">
      <c r="A69" s="592"/>
      <c r="B69" s="596" t="s">
        <v>272</v>
      </c>
      <c r="C69" s="596"/>
      <c r="D69" s="596"/>
      <c r="E69" s="596"/>
      <c r="F69" s="596"/>
      <c r="G69" s="596"/>
      <c r="H69" s="596"/>
      <c r="I69" s="596"/>
      <c r="J69" s="596"/>
      <c r="K69" s="596"/>
      <c r="L69" s="615"/>
      <c r="M69" s="596"/>
      <c r="N69" s="596"/>
      <c r="O69" s="598"/>
      <c r="P69" s="596"/>
      <c r="Q69" s="596"/>
      <c r="R69" s="596"/>
      <c r="S69" s="596"/>
      <c r="T69" s="592"/>
      <c r="U69" s="592"/>
      <c r="V69" s="592"/>
      <c r="W69" s="592"/>
      <c r="X69" s="592"/>
    </row>
    <row r="70" spans="1:24">
      <c r="A70" s="592"/>
      <c r="B70" s="596"/>
      <c r="C70" s="596"/>
      <c r="D70" s="596"/>
      <c r="E70" s="596"/>
      <c r="F70" s="596"/>
      <c r="G70" s="596"/>
      <c r="H70" s="596"/>
      <c r="I70" s="596"/>
      <c r="J70" s="621"/>
      <c r="K70" s="652"/>
      <c r="L70" s="596"/>
      <c r="M70" s="652"/>
      <c r="N70" s="596" t="s">
        <v>158</v>
      </c>
      <c r="O70" s="653">
        <f>T23+T25+T26+T35+T37+T51+T56+T59+T66</f>
        <v>19859861.919</v>
      </c>
      <c r="P70" s="596" t="s">
        <v>154</v>
      </c>
      <c r="Q70" s="596" t="s">
        <v>109</v>
      </c>
      <c r="R70" s="596"/>
      <c r="S70" s="596"/>
      <c r="T70" s="592"/>
      <c r="U70" s="592"/>
      <c r="V70" s="592"/>
      <c r="W70" s="592"/>
      <c r="X70" s="592"/>
    </row>
    <row r="71" spans="1:24" ht="14.25" thickBot="1">
      <c r="A71" s="592"/>
      <c r="B71" s="596"/>
      <c r="C71" s="596"/>
      <c r="D71" s="596"/>
      <c r="E71" s="596"/>
      <c r="F71" s="596"/>
      <c r="G71" s="596"/>
      <c r="H71" s="596"/>
      <c r="I71" s="596"/>
      <c r="J71" s="613"/>
      <c r="K71" s="654" t="s">
        <v>850</v>
      </c>
      <c r="L71" s="596"/>
      <c r="M71" s="654"/>
      <c r="N71" s="596" t="s">
        <v>186</v>
      </c>
      <c r="O71" s="655">
        <f>T21+T22+T24+T33+T34+T36+T49+T50</f>
        <v>2189984.4509999999</v>
      </c>
      <c r="P71" s="596" t="s">
        <v>154</v>
      </c>
      <c r="Q71" s="612" t="s">
        <v>110</v>
      </c>
      <c r="R71" s="596"/>
      <c r="S71" s="596"/>
      <c r="T71" s="592"/>
      <c r="U71" s="592" t="s">
        <v>275</v>
      </c>
      <c r="V71" s="592"/>
      <c r="W71" s="592"/>
      <c r="X71" s="592"/>
    </row>
    <row r="72" spans="1:24" ht="15" thickTop="1" thickBot="1">
      <c r="A72" s="592"/>
      <c r="B72" s="596"/>
      <c r="C72" s="596"/>
      <c r="D72" s="596"/>
      <c r="E72" s="596"/>
      <c r="F72" s="596"/>
      <c r="G72" s="596"/>
      <c r="H72" s="596"/>
      <c r="I72" s="596"/>
      <c r="J72" s="656" t="s">
        <v>275</v>
      </c>
      <c r="K72" s="657">
        <f>M28+M39+K52+K56</f>
        <v>57485.538</v>
      </c>
      <c r="L72" s="658" t="s">
        <v>172</v>
      </c>
      <c r="M72" s="659"/>
      <c r="N72" s="660" t="s">
        <v>276</v>
      </c>
      <c r="O72" s="661">
        <f>O70+O71</f>
        <v>22049846.370000001</v>
      </c>
      <c r="P72" s="662" t="s">
        <v>154</v>
      </c>
      <c r="Q72" s="663" t="s">
        <v>169</v>
      </c>
      <c r="R72" s="617"/>
      <c r="S72" s="596"/>
      <c r="T72" s="664">
        <f>T28+T39+T52+T66</f>
        <v>4256096.37</v>
      </c>
      <c r="U72" s="592" t="s">
        <v>278</v>
      </c>
      <c r="V72" s="628">
        <f>T72/(E9+E10)/E12</f>
        <v>50.697991304347831</v>
      </c>
      <c r="W72" s="592" t="s">
        <v>168</v>
      </c>
      <c r="X72" s="592"/>
    </row>
    <row r="73" spans="1:24" ht="15" thickTop="1" thickBot="1">
      <c r="A73" s="592"/>
      <c r="B73" s="596"/>
      <c r="C73" s="596"/>
      <c r="D73" s="596"/>
      <c r="E73" s="596"/>
      <c r="F73" s="596"/>
      <c r="G73" s="596"/>
      <c r="H73" s="596"/>
      <c r="I73" s="596"/>
      <c r="J73" s="601" t="s">
        <v>851</v>
      </c>
      <c r="K73" s="657">
        <f>K72/E10</f>
        <v>294.79763076923075</v>
      </c>
      <c r="L73" s="658" t="s">
        <v>168</v>
      </c>
      <c r="M73" s="665"/>
      <c r="N73" s="666" t="s">
        <v>153</v>
      </c>
      <c r="O73" s="667">
        <f>O72/$E$11</f>
        <v>6341.6296721311483</v>
      </c>
      <c r="P73" s="668" t="s">
        <v>152</v>
      </c>
      <c r="Q73" s="669"/>
      <c r="R73" s="617"/>
      <c r="S73" s="596"/>
      <c r="T73" s="592"/>
      <c r="U73" s="592"/>
      <c r="V73" s="592"/>
      <c r="W73" s="592"/>
      <c r="X73" s="592"/>
    </row>
    <row r="74" spans="1:24" ht="15" thickTop="1" thickBot="1">
      <c r="A74" s="592"/>
      <c r="B74" s="596" t="s">
        <v>279</v>
      </c>
      <c r="C74" s="596" t="s">
        <v>166</v>
      </c>
      <c r="D74" s="596"/>
      <c r="E74" s="596"/>
      <c r="F74" s="596"/>
      <c r="G74" s="596"/>
      <c r="H74" s="596"/>
      <c r="I74" s="596"/>
      <c r="J74" s="596"/>
      <c r="K74" s="670">
        <f>K72/E11</f>
        <v>16.533085418464193</v>
      </c>
      <c r="L74" s="658" t="s">
        <v>852</v>
      </c>
      <c r="M74" s="623"/>
      <c r="N74" s="596"/>
      <c r="O74" s="598"/>
      <c r="P74" s="596"/>
      <c r="Q74" s="623"/>
      <c r="R74" s="596"/>
      <c r="S74" s="596"/>
      <c r="T74" s="592"/>
      <c r="U74" s="592"/>
      <c r="V74" s="592"/>
      <c r="W74" s="592"/>
      <c r="X74" s="592"/>
    </row>
    <row r="75" spans="1:24" ht="15" thickTop="1" thickBot="1">
      <c r="A75" s="592"/>
      <c r="B75" s="596"/>
      <c r="C75" s="596" t="s">
        <v>165</v>
      </c>
      <c r="D75" s="596"/>
      <c r="E75" s="596"/>
      <c r="F75" s="596"/>
      <c r="G75" s="596"/>
      <c r="H75" s="609"/>
      <c r="I75" s="596" t="s">
        <v>164</v>
      </c>
      <c r="J75" s="596"/>
      <c r="K75" s="596"/>
      <c r="L75" s="596"/>
      <c r="M75" s="623"/>
      <c r="N75" s="624" t="s">
        <v>163</v>
      </c>
      <c r="O75" s="626">
        <f>O72*H75/100</f>
        <v>0</v>
      </c>
      <c r="P75" s="596" t="s">
        <v>154</v>
      </c>
      <c r="Q75" s="596" t="s">
        <v>162</v>
      </c>
      <c r="R75" s="596"/>
      <c r="S75" s="596"/>
      <c r="T75" s="592"/>
      <c r="U75" s="592"/>
      <c r="V75" s="592"/>
      <c r="W75" s="592"/>
      <c r="X75" s="592"/>
    </row>
    <row r="76" spans="1:24" ht="14.25" thickTop="1">
      <c r="A76" s="592"/>
      <c r="B76" s="596"/>
      <c r="C76" s="596" t="s">
        <v>161</v>
      </c>
      <c r="D76" s="596"/>
      <c r="E76" s="596"/>
      <c r="F76" s="596"/>
      <c r="G76" s="596"/>
      <c r="H76" s="596"/>
      <c r="I76" s="596"/>
      <c r="J76" s="671" t="s">
        <v>853</v>
      </c>
      <c r="K76" s="657">
        <v>280</v>
      </c>
      <c r="L76" s="658" t="s">
        <v>168</v>
      </c>
      <c r="M76" s="623"/>
      <c r="N76" s="624" t="s">
        <v>160</v>
      </c>
      <c r="O76" s="626">
        <f>IF(O75&lt;O71,O75,O71)</f>
        <v>0</v>
      </c>
      <c r="P76" s="596" t="s">
        <v>154</v>
      </c>
      <c r="Q76" s="596" t="s">
        <v>159</v>
      </c>
      <c r="R76" s="596"/>
      <c r="S76" s="596"/>
      <c r="T76" s="592"/>
      <c r="U76" s="592"/>
      <c r="V76" s="592"/>
      <c r="W76" s="592"/>
      <c r="X76" s="592"/>
    </row>
    <row r="77" spans="1:24">
      <c r="A77" s="592"/>
      <c r="B77" s="596"/>
      <c r="C77" s="596"/>
      <c r="D77" s="596"/>
      <c r="E77" s="596"/>
      <c r="F77" s="596"/>
      <c r="G77" s="596"/>
      <c r="H77" s="596"/>
      <c r="I77" s="596"/>
      <c r="J77" s="596"/>
      <c r="K77" s="670">
        <v>12.5</v>
      </c>
      <c r="L77" s="658" t="s">
        <v>852</v>
      </c>
      <c r="M77" s="596"/>
      <c r="N77" s="596"/>
      <c r="O77" s="598"/>
      <c r="P77" s="596"/>
      <c r="Q77" s="596"/>
      <c r="R77" s="596"/>
      <c r="S77" s="596"/>
      <c r="T77" s="592"/>
      <c r="U77" s="592"/>
      <c r="V77" s="592"/>
      <c r="W77" s="592"/>
      <c r="X77" s="592"/>
    </row>
    <row r="78" spans="1:24">
      <c r="A78" s="592"/>
      <c r="B78" s="596"/>
      <c r="C78" s="596"/>
      <c r="D78" s="596"/>
      <c r="E78" s="596"/>
      <c r="F78" s="596"/>
      <c r="G78" s="596"/>
      <c r="H78" s="596"/>
      <c r="I78" s="596"/>
      <c r="J78" s="596"/>
      <c r="K78" s="658">
        <f>K76/K77</f>
        <v>22.4</v>
      </c>
      <c r="L78" s="658" t="s">
        <v>840</v>
      </c>
      <c r="M78" s="621" t="s">
        <v>158</v>
      </c>
      <c r="N78" s="596"/>
      <c r="O78" s="653">
        <f>O70</f>
        <v>19859861.919</v>
      </c>
      <c r="P78" s="596" t="s">
        <v>154</v>
      </c>
      <c r="Q78" s="596" t="s">
        <v>109</v>
      </c>
      <c r="R78" s="596"/>
      <c r="S78" s="596"/>
      <c r="T78" s="592"/>
      <c r="U78" s="592"/>
      <c r="V78" s="592"/>
      <c r="W78" s="592"/>
      <c r="X78" s="592"/>
    </row>
    <row r="79" spans="1:24" ht="14.25" thickBot="1">
      <c r="A79" s="592"/>
      <c r="B79" s="596"/>
      <c r="C79" s="596"/>
      <c r="D79" s="596"/>
      <c r="E79" s="596"/>
      <c r="F79" s="596"/>
      <c r="G79" s="624"/>
      <c r="H79" s="596"/>
      <c r="I79" s="596"/>
      <c r="J79" s="596"/>
      <c r="M79" s="613" t="s">
        <v>157</v>
      </c>
      <c r="N79" s="596"/>
      <c r="O79" s="672">
        <f>O71-O76</f>
        <v>2189984.4509999999</v>
      </c>
      <c r="P79" s="596" t="s">
        <v>154</v>
      </c>
      <c r="Q79" s="612" t="s">
        <v>156</v>
      </c>
      <c r="R79" s="596"/>
      <c r="S79" s="596"/>
      <c r="T79" s="592"/>
      <c r="U79" s="592"/>
      <c r="V79" s="592"/>
      <c r="W79" s="592"/>
      <c r="X79" s="592"/>
    </row>
    <row r="80" spans="1:24" ht="15" thickTop="1" thickBot="1">
      <c r="A80" s="592"/>
      <c r="B80" s="596"/>
      <c r="C80" s="596"/>
      <c r="D80" s="596"/>
      <c r="E80" s="596"/>
      <c r="F80" s="596"/>
      <c r="G80" s="596"/>
      <c r="H80" s="596"/>
      <c r="I80" s="596"/>
      <c r="J80" s="596"/>
      <c r="K80" s="596"/>
      <c r="L80" s="596"/>
      <c r="M80" s="596"/>
      <c r="N80" s="673" t="s">
        <v>282</v>
      </c>
      <c r="O80" s="674">
        <f>SUM(O78:O79)</f>
        <v>22049846.370000001</v>
      </c>
      <c r="P80" s="675" t="s">
        <v>154</v>
      </c>
      <c r="Q80" s="676"/>
      <c r="R80" s="592"/>
      <c r="S80" s="596"/>
      <c r="T80" s="592"/>
      <c r="U80" s="592"/>
      <c r="V80" s="592"/>
      <c r="W80" s="592"/>
      <c r="X80" s="592"/>
    </row>
    <row r="81" spans="1:24" ht="15" thickTop="1" thickBot="1">
      <c r="A81" s="592"/>
      <c r="B81" s="596"/>
      <c r="C81" s="592"/>
      <c r="D81" s="596"/>
      <c r="E81" s="596"/>
      <c r="F81" s="596"/>
      <c r="G81" s="596"/>
      <c r="H81" s="596"/>
      <c r="I81" s="596"/>
      <c r="J81" s="596"/>
      <c r="K81" s="596"/>
      <c r="L81" s="596"/>
      <c r="M81" s="596"/>
      <c r="N81" s="677" t="s">
        <v>153</v>
      </c>
      <c r="O81" s="678">
        <f>O80/$E$11</f>
        <v>6341.6296721311483</v>
      </c>
      <c r="P81" s="679" t="s">
        <v>152</v>
      </c>
      <c r="Q81" s="680"/>
      <c r="R81" s="617"/>
      <c r="S81" s="596"/>
      <c r="T81" s="592"/>
      <c r="U81" s="592"/>
      <c r="V81" s="592"/>
      <c r="W81" s="592"/>
      <c r="X81" s="592"/>
    </row>
    <row r="82" spans="1:24" ht="14.25" thickTop="1">
      <c r="A82" s="592"/>
      <c r="B82" s="596"/>
      <c r="C82" s="596" t="s">
        <v>151</v>
      </c>
      <c r="D82" s="596"/>
      <c r="E82" s="596"/>
      <c r="F82" s="596"/>
      <c r="G82" s="596"/>
      <c r="H82" s="596"/>
      <c r="I82" s="596"/>
      <c r="J82" s="596"/>
      <c r="K82" s="596"/>
      <c r="L82" s="596"/>
      <c r="M82" s="596"/>
      <c r="N82" s="681"/>
      <c r="O82" s="682">
        <f>O81/365</f>
        <v>17.374327868852461</v>
      </c>
      <c r="P82" s="683" t="s">
        <v>852</v>
      </c>
      <c r="Q82" s="592" t="s">
        <v>854</v>
      </c>
      <c r="R82" s="596"/>
      <c r="S82" s="596"/>
      <c r="T82" s="684" t="s">
        <v>855</v>
      </c>
      <c r="U82" s="592"/>
      <c r="V82" s="592"/>
      <c r="W82" s="592"/>
      <c r="X82" s="592"/>
    </row>
    <row r="83" spans="1:24">
      <c r="A83" s="592"/>
      <c r="B83" s="596"/>
      <c r="C83" s="596" t="s">
        <v>150</v>
      </c>
      <c r="D83" s="596"/>
      <c r="E83" s="596"/>
      <c r="F83" s="596"/>
      <c r="G83" s="596"/>
      <c r="H83" s="596"/>
      <c r="I83" s="596"/>
      <c r="J83" s="596"/>
      <c r="K83" s="596"/>
      <c r="L83" s="596"/>
      <c r="M83" s="596"/>
      <c r="N83" s="601" t="s">
        <v>851</v>
      </c>
      <c r="O83" s="685">
        <f>O82*E11/E10</f>
        <v>309.79763076923081</v>
      </c>
      <c r="P83" s="597" t="s">
        <v>856</v>
      </c>
      <c r="Q83" s="596"/>
      <c r="R83" s="596"/>
      <c r="S83" s="596"/>
      <c r="T83" s="592"/>
      <c r="U83" s="592"/>
      <c r="V83" s="592"/>
      <c r="W83" s="592"/>
      <c r="X83" s="592"/>
    </row>
    <row r="84" spans="1:24">
      <c r="A84" s="592"/>
      <c r="B84" s="596"/>
      <c r="C84" s="596" t="s">
        <v>283</v>
      </c>
      <c r="D84" s="596"/>
      <c r="E84" s="596"/>
      <c r="F84" s="596"/>
      <c r="G84" s="596"/>
      <c r="H84" s="596"/>
      <c r="I84" s="596"/>
      <c r="J84" s="596"/>
      <c r="K84" s="596"/>
      <c r="L84" s="596"/>
      <c r="M84" s="596"/>
      <c r="N84" s="596"/>
      <c r="O84" s="598"/>
      <c r="P84" s="596"/>
      <c r="Q84" s="596"/>
      <c r="R84" s="596"/>
      <c r="S84" s="596"/>
      <c r="T84" s="592"/>
      <c r="U84" s="592"/>
      <c r="V84" s="592"/>
      <c r="W84" s="592"/>
      <c r="X84" s="592"/>
    </row>
    <row r="85" spans="1:24">
      <c r="A85" s="592"/>
      <c r="B85" s="596"/>
      <c r="C85" s="596" t="s">
        <v>284</v>
      </c>
      <c r="D85" s="596"/>
      <c r="E85" s="596"/>
      <c r="F85" s="596"/>
      <c r="G85" s="596"/>
      <c r="H85" s="596"/>
      <c r="I85" s="596"/>
      <c r="J85" s="596"/>
      <c r="K85" s="596"/>
      <c r="L85" s="596"/>
      <c r="M85" s="596"/>
      <c r="N85" s="596"/>
      <c r="O85" s="598"/>
      <c r="P85" s="596"/>
      <c r="Q85" s="596"/>
      <c r="R85" s="596"/>
      <c r="S85" s="596"/>
      <c r="T85" s="592"/>
      <c r="U85" s="592"/>
      <c r="V85" s="592"/>
      <c r="W85" s="592"/>
      <c r="X85" s="592"/>
    </row>
    <row r="86" spans="1:24">
      <c r="A86" s="592"/>
      <c r="B86" s="596"/>
      <c r="C86" s="596" t="s">
        <v>285</v>
      </c>
      <c r="D86" s="596"/>
      <c r="E86" s="596"/>
      <c r="F86" s="596"/>
      <c r="G86" s="596"/>
      <c r="H86" s="596"/>
      <c r="I86" s="596"/>
      <c r="J86" s="596"/>
      <c r="K86" s="596"/>
      <c r="L86" s="596"/>
      <c r="M86" s="596"/>
      <c r="N86" s="596"/>
      <c r="O86" s="598"/>
      <c r="P86" s="596"/>
      <c r="Q86" s="596"/>
      <c r="R86" s="596"/>
      <c r="S86" s="596"/>
      <c r="T86" s="592"/>
      <c r="U86" s="592"/>
      <c r="V86" s="592"/>
      <c r="W86" s="592"/>
      <c r="X86" s="592"/>
    </row>
    <row r="87" spans="1:24">
      <c r="A87" s="592"/>
      <c r="B87" s="596"/>
      <c r="C87" s="686" t="s">
        <v>146</v>
      </c>
      <c r="D87" s="686"/>
      <c r="E87" s="596"/>
      <c r="F87" s="596"/>
      <c r="G87" s="596"/>
      <c r="H87" s="596"/>
      <c r="I87" s="596"/>
      <c r="J87" s="596"/>
      <c r="K87" s="596"/>
      <c r="L87" s="596"/>
      <c r="M87" s="596"/>
      <c r="N87" s="596"/>
      <c r="O87" s="598"/>
      <c r="P87" s="596"/>
      <c r="Q87" s="596"/>
      <c r="R87" s="596"/>
      <c r="S87" s="596"/>
      <c r="T87" s="592"/>
      <c r="U87" s="592"/>
      <c r="V87" s="592"/>
      <c r="W87" s="592"/>
      <c r="X87" s="592"/>
    </row>
    <row r="88" spans="1:24" ht="14.45" customHeight="1">
      <c r="C88" s="687" t="s">
        <v>857</v>
      </c>
    </row>
    <row r="89" spans="1:24">
      <c r="C89" s="690" t="s">
        <v>858</v>
      </c>
      <c r="N89" s="689"/>
    </row>
  </sheetData>
  <sheetProtection algorithmName="SHA-512" hashValue="LoIswgnbeDAtwaqCrNVOx8XrTg/qZH09YiHlXebPU4XAkP6SzdiKr5USWXc3RJMyCbPW5tuGP2yRzqDbym0ctg==" saltValue="OF7kfDoBBPmmUzRnCLjR5A==" spinCount="100000" sheet="1" formatCells="0"/>
  <phoneticPr fontId="3"/>
  <pageMargins left="0.47244094488188981" right="0.27559055118110237" top="0.31" bottom="0.17" header="0.17" footer="0.14000000000000001"/>
  <pageSetup paperSize="9" scale="48" orientation="landscape" r:id="rId1"/>
  <headerFooter alignWithMargins="0"/>
  <rowBreaks count="1" manualBreakCount="1">
    <brk id="87" max="24"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990C9-A6F2-4B98-A259-996E6CC6CF31}">
  <sheetPr codeName="Sheet17"/>
  <dimension ref="A2:I25"/>
  <sheetViews>
    <sheetView showGridLines="0" tabSelected="1" workbookViewId="0">
      <selection activeCell="I15" sqref="I15"/>
    </sheetView>
  </sheetViews>
  <sheetFormatPr defaultRowHeight="13.5"/>
  <cols>
    <col min="1" max="1" width="3.25" customWidth="1"/>
    <col min="2" max="2" width="11.625" customWidth="1"/>
    <col min="3" max="9" width="10" customWidth="1"/>
    <col min="10" max="10" width="2.875" customWidth="1"/>
  </cols>
  <sheetData>
    <row r="2" spans="1:9" ht="18.75" customHeight="1">
      <c r="B2" s="772" t="s">
        <v>3</v>
      </c>
      <c r="C2" s="773"/>
      <c r="D2" s="773"/>
      <c r="E2" s="773"/>
      <c r="F2" s="773"/>
    </row>
    <row r="4" spans="1:9" ht="21" customHeight="1">
      <c r="A4" s="178" t="s">
        <v>948</v>
      </c>
      <c r="G4" s="774" t="s">
        <v>955</v>
      </c>
    </row>
    <row r="5" spans="1:9">
      <c r="B5" s="41"/>
      <c r="C5" s="170" t="s">
        <v>534</v>
      </c>
      <c r="D5" s="170" t="s">
        <v>389</v>
      </c>
      <c r="E5" s="170" t="s">
        <v>947</v>
      </c>
      <c r="F5" s="170" t="s">
        <v>837</v>
      </c>
      <c r="G5" s="170" t="s">
        <v>390</v>
      </c>
      <c r="H5" s="170" t="s">
        <v>560</v>
      </c>
      <c r="I5" s="747" t="s">
        <v>701</v>
      </c>
    </row>
    <row r="6" spans="1:9">
      <c r="B6" s="41" t="s">
        <v>96</v>
      </c>
      <c r="C6" s="769" t="str">
        <f>オフィス評価結果!I9</f>
        <v>○○○</v>
      </c>
      <c r="D6" s="769" t="str">
        <f>店舗評価結果!I9</f>
        <v>○○○</v>
      </c>
      <c r="E6" s="769" t="str">
        <f>物流評価結果!I9</f>
        <v>○○○</v>
      </c>
      <c r="F6" s="769" t="str">
        <f>ホテル評価結果!I9</f>
        <v>○○○</v>
      </c>
      <c r="G6" s="769" t="str">
        <f>集合住宅評価結果!I9</f>
        <v>○○○</v>
      </c>
      <c r="H6" s="769" t="str">
        <f>オフィス改修評価結果!I9</f>
        <v>○○○</v>
      </c>
      <c r="I6" s="769" t="str">
        <f>店舗改修評価結果!I9</f>
        <v>○○○</v>
      </c>
    </row>
    <row r="7" spans="1:9">
      <c r="B7" s="41" t="s">
        <v>303</v>
      </c>
      <c r="C7" s="171">
        <f t="shared" ref="C7:I7" si="0">IFERROR(C6/$C$13,0)</f>
        <v>0</v>
      </c>
      <c r="D7" s="171">
        <f t="shared" si="0"/>
        <v>0</v>
      </c>
      <c r="E7" s="171">
        <f t="shared" si="0"/>
        <v>0</v>
      </c>
      <c r="F7" s="171">
        <f t="shared" si="0"/>
        <v>0</v>
      </c>
      <c r="G7" s="171">
        <f t="shared" si="0"/>
        <v>0</v>
      </c>
      <c r="H7" s="171">
        <f t="shared" si="0"/>
        <v>0</v>
      </c>
      <c r="I7" s="171">
        <f t="shared" si="0"/>
        <v>0</v>
      </c>
    </row>
    <row r="9" spans="1:9">
      <c r="B9" s="41" t="s">
        <v>700</v>
      </c>
      <c r="C9" s="770">
        <f>オフィス評価結果!C17</f>
        <v>58.75</v>
      </c>
      <c r="D9" s="770">
        <f>店舗評価結果!C17</f>
        <v>61.75</v>
      </c>
      <c r="E9" s="770">
        <f>物流評価結果!C17</f>
        <v>61.75</v>
      </c>
      <c r="F9" s="770">
        <f>ホテル評価結果!C17</f>
        <v>63.75</v>
      </c>
      <c r="G9" s="770">
        <f>集合住宅評価結果!C17</f>
        <v>61.416666666666664</v>
      </c>
      <c r="H9" s="770">
        <f>オフィス改修評価結果!C17</f>
        <v>61.75</v>
      </c>
      <c r="I9" s="770">
        <f>店舗改修評価結果!C17</f>
        <v>64.75</v>
      </c>
    </row>
    <row r="12" spans="1:9">
      <c r="B12" s="766" t="s">
        <v>155</v>
      </c>
    </row>
    <row r="13" spans="1:9">
      <c r="B13" s="41" t="s">
        <v>96</v>
      </c>
      <c r="C13" s="771">
        <f>SUM(C6:I6)</f>
        <v>0</v>
      </c>
      <c r="D13" s="774" t="s">
        <v>955</v>
      </c>
    </row>
    <row r="14" spans="1:9">
      <c r="B14" s="41" t="s">
        <v>303</v>
      </c>
      <c r="C14" s="171">
        <f>SUM(C7:I7)</f>
        <v>0</v>
      </c>
    </row>
    <row r="15" spans="1:9">
      <c r="B15" t="s">
        <v>951</v>
      </c>
    </row>
    <row r="16" spans="1:9">
      <c r="B16" s="41" t="s">
        <v>950</v>
      </c>
      <c r="C16" s="41">
        <f>SUMPRODUCT(C7:I7,C9:I9)</f>
        <v>0</v>
      </c>
      <c r="D16" s="767" t="str">
        <f>IF(C16&gt;=78,"Sランク",IF(C16&gt;=66,"Aランク",IF(C16&gt;=60,"B+ランク",IF(C16&gt;=50,"Bランク","－"))))</f>
        <v>－</v>
      </c>
      <c r="E16" s="768" t="str">
        <f>IF(C16&gt;=78,"★★★★★",IF(C16&gt;=66,"★★★★",IF(C16&gt;=60,"★★★",IF(C16&gt;=50,"★★","－"))))</f>
        <v>－</v>
      </c>
    </row>
    <row r="18" spans="2:5">
      <c r="B18" s="11" t="s">
        <v>77</v>
      </c>
      <c r="D18" s="10" t="s">
        <v>23</v>
      </c>
      <c r="E18" s="709">
        <v>78</v>
      </c>
    </row>
    <row r="19" spans="2:5">
      <c r="B19" s="11" t="s">
        <v>78</v>
      </c>
      <c r="D19" s="10" t="s">
        <v>23</v>
      </c>
      <c r="E19" s="709">
        <v>66</v>
      </c>
    </row>
    <row r="20" spans="2:5">
      <c r="B20" s="11" t="s">
        <v>79</v>
      </c>
      <c r="D20" s="10" t="s">
        <v>23</v>
      </c>
      <c r="E20" s="709">
        <v>60</v>
      </c>
    </row>
    <row r="21" spans="2:5">
      <c r="B21" s="11" t="s">
        <v>326</v>
      </c>
      <c r="D21" s="10" t="s">
        <v>23</v>
      </c>
      <c r="E21" s="709">
        <v>50</v>
      </c>
    </row>
    <row r="22" spans="2:5">
      <c r="B22" s="582" t="s">
        <v>869</v>
      </c>
      <c r="D22" s="211"/>
    </row>
    <row r="24" spans="2:5">
      <c r="B24" s="775" t="s">
        <v>956</v>
      </c>
    </row>
    <row r="25" spans="2:5">
      <c r="B25" s="776" t="s">
        <v>957</v>
      </c>
    </row>
  </sheetData>
  <sheetProtection algorithmName="SHA-512" hashValue="BX+GWJ+WOlkJXkcJrTTj/zMO4ch6NFrBNf2eFUh25uXVZLN2QfwFshofyAVpJild3gJqxfnQhW6irWHj3DVNGQ==" saltValue="AOoCO7d+6z/4fhqy5Vk9Qw==" spinCount="100000" sheet="1" objects="1" scenarios="1"/>
  <phoneticPr fontId="3"/>
  <conditionalFormatting sqref="C9:E9">
    <cfRule type="expression" dxfId="1" priority="21" stopIfTrue="1">
      <formula>#REF!&gt;0</formula>
    </cfRule>
  </conditionalFormatting>
  <conditionalFormatting sqref="F9:I9">
    <cfRule type="expression" dxfId="0" priority="1" stopIfTrue="1">
      <formula>F$14&gt;0</formula>
    </cfRule>
  </conditionalFormatting>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1">
    <pageSetUpPr fitToPage="1"/>
  </sheetPr>
  <dimension ref="A1"/>
  <sheetViews>
    <sheetView showGridLines="0" workbookViewId="0">
      <selection activeCell="T35" sqref="T35"/>
    </sheetView>
  </sheetViews>
  <sheetFormatPr defaultRowHeight="13.5"/>
  <sheetData/>
  <sheetProtection algorithmName="SHA-512" hashValue="1X5Xpz3FdsvxA92oTKhn4lQdMqyJsfKAtTGXmM3yboOB7u1eIn1ElmKpv9b2bhxmg7vXipO0ZDhRjYcwfiOwTg==" saltValue="W3jNs8fyj+CnfoAA7i25nw==" spinCount="100000" sheet="1" objects="1" scenarios="1"/>
  <phoneticPr fontId="3"/>
  <pageMargins left="0.78740157480314965" right="0.78740157480314965" top="0.98425196850393704" bottom="0.98425196850393704" header="0.51181102362204722" footer="0.51181102362204722"/>
  <pageSetup paperSize="9" scale="57" fitToHeight="0" orientation="portrait" r:id="rId1"/>
  <headerFooter alignWithMargins="0">
    <oddHeader>&amp;L&amp;F&amp;R&amp;A</oddHeader>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15</vt:i4>
      </vt:variant>
    </vt:vector>
  </HeadingPairs>
  <TitlesOfParts>
    <vt:vector size="31" baseType="lpstr">
      <vt:lpstr>オフィス評価結果</vt:lpstr>
      <vt:lpstr>店舗評価結果</vt:lpstr>
      <vt:lpstr>物流評価結果</vt:lpstr>
      <vt:lpstr>ホテル評価結果</vt:lpstr>
      <vt:lpstr>集合住宅評価結果</vt:lpstr>
      <vt:lpstr>オフィス改修評価結果</vt:lpstr>
      <vt:lpstr>店舗改修評価結果</vt:lpstr>
      <vt:lpstr>SDGs結果表示</vt:lpstr>
      <vt:lpstr>建築環境SDGsチェックリスト</vt:lpstr>
      <vt:lpstr>オフィス水計算ソフト</vt:lpstr>
      <vt:lpstr>①店舗スコア表</vt:lpstr>
      <vt:lpstr>②店舗スコア表</vt:lpstr>
      <vt:lpstr>店舗水計算ソフト</vt:lpstr>
      <vt:lpstr>ホテル水計算ソフト</vt:lpstr>
      <vt:lpstr>複合スコア表</vt:lpstr>
      <vt:lpstr>クレジット</vt:lpstr>
      <vt:lpstr>オフィス改修評価結果!Print_Area</vt:lpstr>
      <vt:lpstr>オフィス水計算ソフト!Print_Area</vt:lpstr>
      <vt:lpstr>オフィス評価結果!Print_Area</vt:lpstr>
      <vt:lpstr>クレジット!Print_Area</vt:lpstr>
      <vt:lpstr>ホテル水計算ソフト!Print_Area</vt:lpstr>
      <vt:lpstr>ホテル評価結果!Print_Area</vt:lpstr>
      <vt:lpstr>建築環境SDGsチェックリスト!Print_Area</vt:lpstr>
      <vt:lpstr>集合住宅評価結果!Print_Area</vt:lpstr>
      <vt:lpstr>店舗改修評価結果!Print_Area</vt:lpstr>
      <vt:lpstr>店舗水計算ソフト!Print_Area</vt:lpstr>
      <vt:lpstr>店舗評価結果!Print_Area</vt:lpstr>
      <vt:lpstr>物流評価結果!Print_Area</vt:lpstr>
      <vt:lpstr>建築環境SDGsチェックリスト!Print_Titles</vt:lpstr>
      <vt:lpstr>非表示</vt:lpstr>
      <vt:lpstr>表示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IBEC</dc:creator>
  <cp:lastModifiedBy>川津 直樹</cp:lastModifiedBy>
  <cp:lastPrinted>2026-02-04T02:10:12Z</cp:lastPrinted>
  <dcterms:created xsi:type="dcterms:W3CDTF">1997-01-08T22:48:59Z</dcterms:created>
  <dcterms:modified xsi:type="dcterms:W3CDTF">2026-03-23T09:01:59Z</dcterms:modified>
</cp:coreProperties>
</file>