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3.xml" ContentType="application/vnd.openxmlformats-officedocument.drawingml.chartshapes+xml"/>
  <Override PartName="/xl/charts/chart4.xml" ContentType="application/vnd.openxmlformats-officedocument.drawingml.chart+xml"/>
  <Override PartName="/xl/drawings/drawing4.xml" ContentType="application/vnd.openxmlformats-officedocument.drawingml.chartshapes+xml"/>
  <Override PartName="/xl/charts/chart5.xml" ContentType="application/vnd.openxmlformats-officedocument.drawingml.chart+xml"/>
  <Override PartName="/xl/charts/chart6.xml" ContentType="application/vnd.openxmlformats-officedocument.drawingml.chart+xml"/>
  <Override PartName="/xl/drawings/drawing5.xml" ContentType="application/vnd.openxmlformats-officedocument.drawingml.chartshapes+xml"/>
  <Override PartName="/xl/charts/chart7.xml" ContentType="application/vnd.openxmlformats-officedocument.drawingml.chart+xml"/>
  <Override PartName="/xl/drawings/drawing6.xml" ContentType="application/vnd.openxmlformats-officedocument.drawingml.chartshapes+xml"/>
  <Override PartName="/xl/charts/chart8.xml" ContentType="application/vnd.openxmlformats-officedocument.drawingml.chart+xml"/>
  <Override PartName="/xl/drawings/drawing7.xml" ContentType="application/vnd.openxmlformats-officedocument.drawingml.chartshapes+xml"/>
  <Override PartName="/xl/charts/chart9.xml" ContentType="application/vnd.openxmlformats-officedocument.drawingml.chart+xml"/>
  <Override PartName="/xl/drawings/drawing8.xml" ContentType="application/vnd.openxmlformats-officedocument.drawingml.chartshapes+xml"/>
  <Override PartName="/xl/charts/chart10.xml" ContentType="application/vnd.openxmlformats-officedocument.drawingml.chart+xml"/>
  <Override PartName="/xl/drawings/drawing9.xml" ContentType="application/vnd.openxmlformats-officedocument.drawingml.chartshapes+xml"/>
  <Override PartName="/xl/charts/chart11.xml" ContentType="application/vnd.openxmlformats-officedocument.drawingml.chart+xml"/>
  <Override PartName="/xl/drawings/drawing10.xml" ContentType="application/vnd.openxmlformats-officedocument.drawingml.chartshapes+xml"/>
  <Override PartName="/xl/comments2.xml" ContentType="application/vnd.openxmlformats-officedocument.spreadsheetml.comments+xml"/>
  <Override PartName="/xl/comments3.xml" ContentType="application/vnd.openxmlformats-officedocument.spreadsheetml.comments+xml"/>
  <Override PartName="/xl/drawings/drawing1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drawings/drawing12.xml" ContentType="application/vnd.openxmlformats-officedocument.drawing+xml"/>
  <Override PartName="/xl/comments8.xml" ContentType="application/vnd.openxmlformats-officedocument.spreadsheetml.comments+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codeName="ThisWorkbook"/>
  <mc:AlternateContent xmlns:mc="http://schemas.openxmlformats.org/markup-compatibility/2006">
    <mc:Choice Requires="x15">
      <x15ac:absPath xmlns:x15ac="http://schemas.microsoft.com/office/spreadsheetml/2010/11/ac" url="C:\Users\NaokiKAWATSU\Desktop\HP修正\20240517自治体、建築(改修)他\HP掲載\"/>
    </mc:Choice>
  </mc:AlternateContent>
  <xr:revisionPtr revIDLastSave="0" documentId="13_ncr:1_{022E7163-22B1-4445-AC18-6851972A2071}" xr6:coauthVersionLast="47" xr6:coauthVersionMax="47" xr10:uidLastSave="{00000000-0000-0000-0000-000000000000}"/>
  <bookViews>
    <workbookView xWindow="-120" yWindow="-120" windowWidth="29040" windowHeight="15840" tabRatio="727" xr2:uid="{00000000-000D-0000-FFFF-FFFF00000000}"/>
  </bookViews>
  <sheets>
    <sheet name="メイン" sheetId="2" r:id="rId1"/>
    <sheet name="結果" sheetId="4" r:id="rId2"/>
    <sheet name="スコア" sheetId="5" r:id="rId3"/>
    <sheet name="配慮" sheetId="7" r:id="rId4"/>
    <sheet name="係数" sheetId="3" r:id="rId5"/>
    <sheet name="採点Q1" sheetId="8" r:id="rId6"/>
    <sheet name="採点Q2" sheetId="9" r:id="rId7"/>
    <sheet name="採点Q3" sheetId="10" r:id="rId8"/>
    <sheet name="採点LR1" sheetId="11" r:id="rId9"/>
    <sheet name="計画書" sheetId="20" r:id="rId10"/>
    <sheet name="境界値" sheetId="21" r:id="rId11"/>
    <sheet name="採点LR2" sheetId="13" r:id="rId12"/>
    <sheet name="採点LR3" sheetId="14" r:id="rId13"/>
    <sheet name="CO2計算" sheetId="6" r:id="rId14"/>
    <sheet name="重み" sheetId="18" r:id="rId15"/>
    <sheet name="条件(標準)" sheetId="16" r:id="rId16"/>
    <sheet name="条件(個別)" sheetId="17" r:id="rId17"/>
    <sheet name="CO2データ" sheetId="15" r:id="rId18"/>
    <sheet name="クレジット" sheetId="19" r:id="rId19"/>
  </sheets>
  <definedNames>
    <definedName name="_xlnm._FilterDatabase" localSheetId="5" hidden="1">採点Q1!#REF!</definedName>
    <definedName name="_xlnm.Print_Area" localSheetId="17">CO2データ!$A$1:$R$278</definedName>
    <definedName name="_xlnm.Print_Area" localSheetId="13">CO2計算!$B$1:$Z$178</definedName>
    <definedName name="_xlnm.Print_Area" localSheetId="18">クレジット!$A$1:$S$37</definedName>
    <definedName name="_xlnm.Print_Area" localSheetId="2">スコア!$A$1:$Q$181</definedName>
    <definedName name="_xlnm.Print_Area" localSheetId="0">メイン!$A$1:$G$72</definedName>
    <definedName name="_xlnm.Print_Area" localSheetId="4">係数!$A$1:$L$48</definedName>
    <definedName name="_xlnm.Print_Area" localSheetId="9">計画書!$1:$140</definedName>
    <definedName name="_xlnm.Print_Area" localSheetId="1">結果!$A$1:$P$97</definedName>
    <definedName name="_xlnm.Print_Area" localSheetId="8">採点LR1!$C$1:$P$163</definedName>
    <definedName name="_xlnm.Print_Area" localSheetId="11">採点LR2!$C$1:$P$267</definedName>
    <definedName name="_xlnm.Print_Area" localSheetId="12">採点LR3!$D$1:$O$238</definedName>
    <definedName name="_xlnm.Print_Area" localSheetId="5">採点Q1!$D$1:$P$441</definedName>
    <definedName name="_xlnm.Print_Area" localSheetId="6">採点Q2!$C$1:$P$425</definedName>
    <definedName name="_xlnm.Print_Area" localSheetId="14">重み!$A$1:$CD$180</definedName>
    <definedName name="_xlnm.Print_Area" localSheetId="16">'条件(個別)'!$A$1:$F$90</definedName>
    <definedName name="_xlnm.Print_Titles" localSheetId="14">重み!$5:$6</definedName>
    <definedName name="Z_047384A4_E844_4BB4_B522_1CE13C4699E4_.wvu.Cols" localSheetId="17" hidden="1">CO2データ!$G:$H,CO2データ!$S:$IV</definedName>
    <definedName name="Z_047384A4_E844_4BB4_B522_1CE13C4699E4_.wvu.Cols" localSheetId="13" hidden="1">CO2計算!$Q:$IV</definedName>
    <definedName name="Z_047384A4_E844_4BB4_B522_1CE13C4699E4_.wvu.Cols" localSheetId="18" hidden="1">クレジット!$T:$IV</definedName>
    <definedName name="Z_047384A4_E844_4BB4_B522_1CE13C4699E4_.wvu.Cols" localSheetId="2" hidden="1">スコア!$G:$G,スコア!$V:$IW</definedName>
    <definedName name="Z_047384A4_E844_4BB4_B522_1CE13C4699E4_.wvu.Cols" localSheetId="0" hidden="1">メイン!$I:$IV</definedName>
    <definedName name="Z_047384A4_E844_4BB4_B522_1CE13C4699E4_.wvu.Cols" localSheetId="8" hidden="1">採点LR1!$Q:$IV</definedName>
    <definedName name="Z_047384A4_E844_4BB4_B522_1CE13C4699E4_.wvu.Cols" localSheetId="11" hidden="1">採点LR2!$Q:$IV</definedName>
    <definedName name="Z_047384A4_E844_4BB4_B522_1CE13C4699E4_.wvu.Cols" localSheetId="12" hidden="1">採点LR3!$Q:$IV</definedName>
    <definedName name="Z_047384A4_E844_4BB4_B522_1CE13C4699E4_.wvu.Cols" localSheetId="5" hidden="1">採点Q1!$Q:$IV</definedName>
    <definedName name="Z_047384A4_E844_4BB4_B522_1CE13C4699E4_.wvu.Cols" localSheetId="6" hidden="1">採点Q2!$Q:$IV</definedName>
    <definedName name="Z_047384A4_E844_4BB4_B522_1CE13C4699E4_.wvu.Cols" localSheetId="7" hidden="1">採点Q3!$Q:$IV</definedName>
    <definedName name="Z_047384A4_E844_4BB4_B522_1CE13C4699E4_.wvu.Cols" localSheetId="14" hidden="1">重み!$Q:$Q,重み!$AY:$AY,重み!$BP:$BP,重み!$CG:$IW</definedName>
    <definedName name="Z_047384A4_E844_4BB4_B522_1CE13C4699E4_.wvu.Cols" localSheetId="16" hidden="1">'条件(個別)'!$H:$IV</definedName>
    <definedName name="Z_047384A4_E844_4BB4_B522_1CE13C4699E4_.wvu.Cols" localSheetId="15" hidden="1">'条件(標準)'!$H:$IV</definedName>
    <definedName name="Z_047384A4_E844_4BB4_B522_1CE13C4699E4_.wvu.Cols" localSheetId="3" hidden="1">配慮!$G:$IV</definedName>
    <definedName name="Z_047384A4_E844_4BB4_B522_1CE13C4699E4_.wvu.PrintArea" localSheetId="17" hidden="1">CO2データ!$A$1:$R$278</definedName>
    <definedName name="Z_047384A4_E844_4BB4_B522_1CE13C4699E4_.wvu.PrintArea" localSheetId="13" hidden="1">CO2計算!$B$1:$Z$178</definedName>
    <definedName name="Z_047384A4_E844_4BB4_B522_1CE13C4699E4_.wvu.PrintArea" localSheetId="18" hidden="1">クレジット!$A$1:$S$37</definedName>
    <definedName name="Z_047384A4_E844_4BB4_B522_1CE13C4699E4_.wvu.PrintArea" localSheetId="2" hidden="1">スコア!$A$1:$R$181</definedName>
    <definedName name="Z_047384A4_E844_4BB4_B522_1CE13C4699E4_.wvu.PrintArea" localSheetId="0" hidden="1">メイン!$A$1:$G$70</definedName>
    <definedName name="Z_047384A4_E844_4BB4_B522_1CE13C4699E4_.wvu.PrintArea" localSheetId="1" hidden="1">結果!$A$1:$P$97</definedName>
    <definedName name="Z_047384A4_E844_4BB4_B522_1CE13C4699E4_.wvu.PrintArea" localSheetId="8" hidden="1">採点LR1!$C$1:$P$162</definedName>
    <definedName name="Z_047384A4_E844_4BB4_B522_1CE13C4699E4_.wvu.PrintArea" localSheetId="11" hidden="1">採点LR2!$C$1:$P$239</definedName>
    <definedName name="Z_047384A4_E844_4BB4_B522_1CE13C4699E4_.wvu.PrintArea" localSheetId="12" hidden="1">採点LR3!$C$1:$P$239</definedName>
    <definedName name="Z_047384A4_E844_4BB4_B522_1CE13C4699E4_.wvu.PrintArea" localSheetId="5" hidden="1">採点Q1!$A$1:$P$442</definedName>
    <definedName name="Z_047384A4_E844_4BB4_B522_1CE13C4699E4_.wvu.PrintArea" localSheetId="6" hidden="1">採点Q2!$C$1:$P$425</definedName>
    <definedName name="Z_047384A4_E844_4BB4_B522_1CE13C4699E4_.wvu.PrintArea" localSheetId="7" hidden="1">採点Q3!$C$1:$P$132</definedName>
    <definedName name="Z_047384A4_E844_4BB4_B522_1CE13C4699E4_.wvu.PrintArea" localSheetId="14" hidden="1">重み!$A$1:$CD$180</definedName>
    <definedName name="Z_047384A4_E844_4BB4_B522_1CE13C4699E4_.wvu.PrintTitles" localSheetId="14" hidden="1">重み!$5:$6</definedName>
    <definedName name="Z_047384A4_E844_4BB4_B522_1CE13C4699E4_.wvu.Rows" localSheetId="17" hidden="1">CO2データ!$280:$65543,CO2データ!$6:$6,CO2データ!$10:$12,CO2データ!$16:$18,CO2データ!$22:$24,CO2データ!$28:$30,CO2データ!$34:$36,CO2データ!$40:$42,CO2データ!$46:$48,CO2データ!$52:$54,CO2データ!$58:$60,CO2データ!$66:$67,CO2データ!$69:$70,CO2データ!$72:$73,CO2データ!$75:$76,CO2データ!$78:$79,CO2データ!$81:$82,CO2データ!$84:$85,CO2データ!$87:$88,CO2データ!$90:$91,CO2データ!$189:$189,CO2データ!#REF!,CO2データ!#REF!,CO2データ!#REF!,CO2データ!$270:$270,CO2データ!$279:$279</definedName>
    <definedName name="Z_047384A4_E844_4BB4_B522_1CE13C4699E4_.wvu.Rows" localSheetId="13" hidden="1">CO2計算!$174:$65538,CO2計算!$26:$99,CO2計算!$138:$173</definedName>
    <definedName name="Z_047384A4_E844_4BB4_B522_1CE13C4699E4_.wvu.Rows" localSheetId="18" hidden="1">クレジット!$39:$65536,クレジット!$38:$38</definedName>
    <definedName name="Z_047384A4_E844_4BB4_B522_1CE13C4699E4_.wvu.Rows" localSheetId="2" hidden="1">スコア!$182:$65536,スコア!$32:$33,スコア!$74:$74,スコア!$87:$89,スコア!$96:$96,スコア!$115:$115,スコア!$120:$121,スコア!$125:$132</definedName>
    <definedName name="Z_047384A4_E844_4BB4_B522_1CE13C4699E4_.wvu.Rows" localSheetId="0" hidden="1">メイン!$108:$65536,メイン!$89:$107</definedName>
    <definedName name="Z_047384A4_E844_4BB4_B522_1CE13C4699E4_.wvu.Rows" localSheetId="1" hidden="1">結果!$215:$65536,結果!$17:$20,結果!$71:$92,結果!$98:$214</definedName>
    <definedName name="Z_047384A4_E844_4BB4_B522_1CE13C4699E4_.wvu.Rows" localSheetId="8" hidden="1">採点LR1!$324:$65550,採点LR1!#REF!,採点LR1!#REF!,採点LR1!$163:$322</definedName>
    <definedName name="Z_047384A4_E844_4BB4_B522_1CE13C4699E4_.wvu.Rows" localSheetId="11" hidden="1">採点LR2!$562:$65538,採点LR2!$198:$198,採点LR2!$240:$561</definedName>
    <definedName name="Z_047384A4_E844_4BB4_B522_1CE13C4699E4_.wvu.Rows" localSheetId="12" hidden="1">採点LR3!$240:$65536,採点LR3!#REF!,採点LR3!#REF!</definedName>
    <definedName name="Z_047384A4_E844_4BB4_B522_1CE13C4699E4_.wvu.Rows" localSheetId="5" hidden="1">採点Q1!$643:$65536,採点Q1!#REF!,採点Q1!$443:$642</definedName>
    <definedName name="Z_047384A4_E844_4BB4_B522_1CE13C4699E4_.wvu.Rows" localSheetId="6" hidden="1">採点Q2!$430:$65537,採点Q2!$167:$187,採点Q2!$227:$227,採点Q2!#REF!,採点Q2!$393:$417</definedName>
    <definedName name="Z_047384A4_E844_4BB4_B522_1CE13C4699E4_.wvu.Rows" localSheetId="7" hidden="1">採点Q3!$260:$65536,採点Q3!$112:$258</definedName>
    <definedName name="Z_047384A4_E844_4BB4_B522_1CE13C4699E4_.wvu.Rows" localSheetId="14" hidden="1">重み!$219:$65536,重み!$32:$33,重み!$96:$96,重み!$115:$115,重み!$132:$132,重み!$182:$218</definedName>
    <definedName name="Z_047384A4_E844_4BB4_B522_1CE13C4699E4_.wvu.Rows" localSheetId="16" hidden="1">'条件(個別)'!$73:$65536,'条件(個別)'!$37:$37</definedName>
    <definedName name="Z_047384A4_E844_4BB4_B522_1CE13C4699E4_.wvu.Rows" localSheetId="15" hidden="1">'条件(標準)'!$73:$65536,'条件(標準)'!$37:$37</definedName>
    <definedName name="Z_047384A4_E844_4BB4_B522_1CE13C4699E4_.wvu.Rows" localSheetId="3" hidden="1">配慮!$18:$65536,配慮!$13:$17</definedName>
  </definedNames>
  <calcPr calcId="191029" calcOnSave="0"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31" i="20" l="1"/>
  <c r="N131" i="20"/>
  <c r="G127" i="20"/>
  <c r="J129" i="20"/>
  <c r="F196" i="15"/>
  <c r="E196" i="15"/>
  <c r="D196" i="15"/>
  <c r="G196" i="15"/>
  <c r="H196" i="15"/>
  <c r="Q131" i="20"/>
  <c r="F66" i="11"/>
  <c r="H126" i="6"/>
  <c r="H127" i="6"/>
  <c r="H125" i="6"/>
  <c r="F121" i="6"/>
  <c r="F120" i="6"/>
  <c r="J6" i="20"/>
  <c r="N85" i="20"/>
  <c r="N84" i="20"/>
  <c r="N83" i="20"/>
  <c r="N82" i="20"/>
  <c r="J76" i="20"/>
  <c r="G76" i="20"/>
  <c r="G56" i="20"/>
  <c r="G75" i="20"/>
  <c r="H55" i="20"/>
  <c r="J50" i="20"/>
  <c r="J75" i="20"/>
  <c r="G47" i="20"/>
  <c r="G74" i="20"/>
  <c r="H46" i="20"/>
  <c r="J41" i="20"/>
  <c r="J74" i="20"/>
  <c r="J16" i="20"/>
  <c r="G25" i="11"/>
  <c r="AB11" i="20"/>
  <c r="AA11" i="20"/>
  <c r="W11" i="20"/>
  <c r="X11" i="20"/>
  <c r="AA10" i="20"/>
  <c r="AB10" i="20"/>
  <c r="W10" i="20"/>
  <c r="X10" i="20"/>
  <c r="AA9" i="20"/>
  <c r="AB9" i="20"/>
  <c r="X9" i="20"/>
  <c r="W9" i="20"/>
  <c r="AA8" i="20"/>
  <c r="AB8" i="20"/>
  <c r="W8" i="20"/>
  <c r="X8" i="20"/>
  <c r="Y5" i="20"/>
  <c r="AB5" i="20"/>
  <c r="U5" i="20"/>
  <c r="X5" i="20"/>
  <c r="H53" i="20"/>
  <c r="H54" i="20"/>
  <c r="G77" i="20"/>
  <c r="H74" i="20"/>
  <c r="W5" i="20"/>
  <c r="M6" i="20"/>
  <c r="J15" i="20"/>
  <c r="M56" i="20"/>
  <c r="V56" i="20"/>
  <c r="N56" i="20"/>
  <c r="V57" i="20"/>
  <c r="AA5" i="20"/>
  <c r="M7" i="20"/>
  <c r="H45" i="20"/>
  <c r="H56" i="20"/>
  <c r="J56" i="20"/>
  <c r="V53" i="20"/>
  <c r="H44" i="20"/>
  <c r="K56" i="20"/>
  <c r="V54" i="20"/>
  <c r="W53" i="20"/>
  <c r="X53" i="20"/>
  <c r="L56" i="20"/>
  <c r="V55" i="20"/>
  <c r="W54" i="20"/>
  <c r="X54" i="20"/>
  <c r="H75" i="20"/>
  <c r="G16" i="11"/>
  <c r="W56" i="20"/>
  <c r="X56" i="20"/>
  <c r="U51" i="20"/>
  <c r="H47" i="20"/>
  <c r="K47" i="20"/>
  <c r="V45" i="20"/>
  <c r="J47" i="20"/>
  <c r="V44" i="20"/>
  <c r="N47" i="20"/>
  <c r="V48" i="20"/>
  <c r="M47" i="20"/>
  <c r="V47" i="20"/>
  <c r="L47" i="20"/>
  <c r="V46" i="20"/>
  <c r="H76" i="20"/>
  <c r="J77" i="20"/>
  <c r="W55" i="20"/>
  <c r="X55" i="20"/>
  <c r="H77" i="20"/>
  <c r="W44" i="20"/>
  <c r="X44" i="20"/>
  <c r="W45" i="20"/>
  <c r="X45" i="20"/>
  <c r="W46" i="20"/>
  <c r="X46" i="20"/>
  <c r="X51" i="20"/>
  <c r="W51" i="20"/>
  <c r="W47" i="20"/>
  <c r="X47" i="20"/>
  <c r="U42" i="20"/>
  <c r="X42" i="20"/>
  <c r="W42" i="20"/>
  <c r="H124" i="5"/>
  <c r="J124" i="5"/>
  <c r="G160" i="13"/>
  <c r="L8" i="21"/>
  <c r="G47" i="11"/>
  <c r="T21" i="6"/>
  <c r="U21" i="6"/>
  <c r="R9" i="6"/>
  <c r="S9" i="6"/>
  <c r="R10" i="6"/>
  <c r="R11" i="6"/>
  <c r="S11" i="6"/>
  <c r="R12" i="6"/>
  <c r="S12" i="6"/>
  <c r="R13" i="6"/>
  <c r="S13" i="6"/>
  <c r="R14" i="6"/>
  <c r="S14" i="6"/>
  <c r="R15" i="6"/>
  <c r="R16" i="6"/>
  <c r="S16" i="6"/>
  <c r="R17" i="6"/>
  <c r="S17" i="6"/>
  <c r="R18" i="6"/>
  <c r="R19" i="6"/>
  <c r="S19" i="6"/>
  <c r="R20" i="6"/>
  <c r="S20" i="6"/>
  <c r="R21" i="6"/>
  <c r="S21" i="6"/>
  <c r="R22" i="6"/>
  <c r="S22" i="6"/>
  <c r="R23" i="6"/>
  <c r="S23" i="6"/>
  <c r="R24" i="6"/>
  <c r="R25" i="6"/>
  <c r="R8" i="6"/>
  <c r="H110" i="20"/>
  <c r="E75" i="17"/>
  <c r="S121" i="20"/>
  <c r="S122" i="20"/>
  <c r="S120" i="20"/>
  <c r="S117" i="20"/>
  <c r="S118" i="20"/>
  <c r="S119" i="20"/>
  <c r="H41" i="21"/>
  <c r="H33" i="21"/>
  <c r="P9" i="5"/>
  <c r="O23" i="5"/>
  <c r="O25" i="5"/>
  <c r="M27" i="5"/>
  <c r="O28" i="5"/>
  <c r="O29" i="5"/>
  <c r="O32" i="5"/>
  <c r="O33" i="5"/>
  <c r="M37" i="5"/>
  <c r="M44" i="5"/>
  <c r="O44" i="5"/>
  <c r="M45" i="5"/>
  <c r="O45" i="5"/>
  <c r="O59" i="5"/>
  <c r="O60" i="5"/>
  <c r="M61" i="5"/>
  <c r="O61" i="5"/>
  <c r="P61" i="5"/>
  <c r="O66" i="5"/>
  <c r="O69" i="5"/>
  <c r="O72" i="5"/>
  <c r="O73" i="5"/>
  <c r="O74" i="5"/>
  <c r="O77" i="5"/>
  <c r="O78" i="5"/>
  <c r="O80" i="5"/>
  <c r="O81" i="5"/>
  <c r="O82" i="5"/>
  <c r="O83" i="5"/>
  <c r="O84" i="5"/>
  <c r="O85" i="5"/>
  <c r="O87" i="5"/>
  <c r="O88" i="5"/>
  <c r="O89" i="5"/>
  <c r="O91" i="5"/>
  <c r="O92" i="5"/>
  <c r="O93" i="5"/>
  <c r="O94" i="5"/>
  <c r="O95" i="5"/>
  <c r="M96" i="5"/>
  <c r="O96" i="5"/>
  <c r="O103" i="5"/>
  <c r="O104" i="5"/>
  <c r="O105" i="5"/>
  <c r="O106" i="5"/>
  <c r="O107" i="5"/>
  <c r="O108" i="5"/>
  <c r="M109" i="5"/>
  <c r="O109" i="5"/>
  <c r="P109" i="5"/>
  <c r="O110" i="5"/>
  <c r="O111" i="5"/>
  <c r="O113" i="5"/>
  <c r="O114" i="5"/>
  <c r="M115" i="5"/>
  <c r="O115" i="5"/>
  <c r="M116" i="5"/>
  <c r="O116" i="5"/>
  <c r="P116" i="5"/>
  <c r="M117" i="5"/>
  <c r="O117" i="5"/>
  <c r="P117" i="5"/>
  <c r="O118" i="5"/>
  <c r="O120" i="5"/>
  <c r="M122" i="5"/>
  <c r="O122" i="5"/>
  <c r="M123" i="5"/>
  <c r="O123" i="5"/>
  <c r="O125" i="5"/>
  <c r="O126" i="5"/>
  <c r="O127" i="5"/>
  <c r="M128" i="5"/>
  <c r="O128" i="5"/>
  <c r="O129" i="5"/>
  <c r="M130" i="5"/>
  <c r="O130" i="5"/>
  <c r="M131" i="5"/>
  <c r="O131" i="5"/>
  <c r="O132" i="5"/>
  <c r="O135" i="5"/>
  <c r="O136" i="5"/>
  <c r="O138" i="5"/>
  <c r="O139" i="5"/>
  <c r="M140" i="5"/>
  <c r="O140" i="5"/>
  <c r="P140" i="5"/>
  <c r="O142" i="5"/>
  <c r="O144" i="5"/>
  <c r="O145" i="5"/>
  <c r="O147" i="5"/>
  <c r="O148" i="5"/>
  <c r="O149" i="5"/>
  <c r="O150" i="5"/>
  <c r="O151" i="5"/>
  <c r="O152" i="5"/>
  <c r="O154" i="5"/>
  <c r="O156" i="5"/>
  <c r="O157" i="5"/>
  <c r="O158" i="5"/>
  <c r="M159" i="5"/>
  <c r="O159" i="5"/>
  <c r="P159" i="5"/>
  <c r="O160" i="5"/>
  <c r="O162" i="5"/>
  <c r="O163" i="5"/>
  <c r="O165" i="5"/>
  <c r="O166" i="5"/>
  <c r="O167" i="5"/>
  <c r="O168" i="5"/>
  <c r="O171" i="5"/>
  <c r="O172" i="5"/>
  <c r="O173" i="5"/>
  <c r="S32" i="5"/>
  <c r="M32" i="5"/>
  <c r="S33" i="5"/>
  <c r="M33" i="5"/>
  <c r="S31" i="5"/>
  <c r="I88" i="15"/>
  <c r="I18" i="21"/>
  <c r="I17" i="21"/>
  <c r="J20" i="21"/>
  <c r="N93" i="20"/>
  <c r="I125" i="6"/>
  <c r="O170" i="15"/>
  <c r="P170" i="15"/>
  <c r="N170" i="15"/>
  <c r="T94" i="20"/>
  <c r="R62" i="2"/>
  <c r="E42" i="21"/>
  <c r="H42" i="21"/>
  <c r="R48" i="2"/>
  <c r="E28" i="21"/>
  <c r="H28" i="21"/>
  <c r="R47" i="2"/>
  <c r="E26" i="21"/>
  <c r="H116" i="14"/>
  <c r="F101" i="14"/>
  <c r="K176" i="13"/>
  <c r="F169" i="13"/>
  <c r="G187" i="9"/>
  <c r="F177" i="9"/>
  <c r="G157" i="9"/>
  <c r="F145" i="9"/>
  <c r="G103" i="9"/>
  <c r="F95" i="9"/>
  <c r="G112" i="9"/>
  <c r="F105" i="9"/>
  <c r="N1" i="21"/>
  <c r="K25" i="21"/>
  <c r="L26" i="21"/>
  <c r="L32" i="21"/>
  <c r="L35" i="21"/>
  <c r="M41" i="21"/>
  <c r="L36" i="21"/>
  <c r="M28" i="21"/>
  <c r="M38" i="21"/>
  <c r="M35" i="21"/>
  <c r="L30" i="21"/>
  <c r="L40" i="21"/>
  <c r="M26" i="21"/>
  <c r="L27" i="21"/>
  <c r="M30" i="21"/>
  <c r="M32" i="21"/>
  <c r="L34" i="21"/>
  <c r="L37" i="21"/>
  <c r="L39" i="21"/>
  <c r="M40" i="21"/>
  <c r="L42" i="21"/>
  <c r="M27" i="21"/>
  <c r="L29" i="21"/>
  <c r="L31" i="21"/>
  <c r="L33" i="21"/>
  <c r="M34" i="21"/>
  <c r="M37" i="21"/>
  <c r="M39" i="21"/>
  <c r="L41" i="21"/>
  <c r="M42" i="21"/>
  <c r="L28" i="21"/>
  <c r="M29" i="21"/>
  <c r="M31" i="21"/>
  <c r="M33" i="21"/>
  <c r="M36" i="21"/>
  <c r="L38" i="21"/>
  <c r="Q3" i="18"/>
  <c r="AP3" i="5"/>
  <c r="AP2" i="5"/>
  <c r="AW75" i="5"/>
  <c r="AP168" i="5"/>
  <c r="AP167" i="5"/>
  <c r="AP166" i="5"/>
  <c r="AP165" i="5"/>
  <c r="AP164" i="5"/>
  <c r="AP163" i="5"/>
  <c r="AP162" i="5"/>
  <c r="AP152" i="5"/>
  <c r="AP151" i="5"/>
  <c r="AP150" i="5"/>
  <c r="AP149" i="5"/>
  <c r="AP148" i="5"/>
  <c r="AP147" i="5"/>
  <c r="AP145" i="5"/>
  <c r="AP144" i="5"/>
  <c r="AP143" i="5"/>
  <c r="AP142" i="5"/>
  <c r="AP132" i="5"/>
  <c r="AP131" i="5"/>
  <c r="AP130" i="5"/>
  <c r="AP129" i="5"/>
  <c r="AP128" i="5"/>
  <c r="AP127" i="5"/>
  <c r="AP126" i="5"/>
  <c r="AP125" i="5"/>
  <c r="AP123" i="5"/>
  <c r="AP122" i="5"/>
  <c r="AP121" i="5"/>
  <c r="AP120" i="5"/>
  <c r="AP96" i="5"/>
  <c r="AP95" i="5"/>
  <c r="AP94" i="5"/>
  <c r="AP93" i="5"/>
  <c r="AP92" i="5"/>
  <c r="AP91" i="5"/>
  <c r="AP90" i="5"/>
  <c r="AP89" i="5"/>
  <c r="AP88" i="5"/>
  <c r="AP87" i="5"/>
  <c r="AP86" i="5"/>
  <c r="AP85" i="5"/>
  <c r="AP84" i="5"/>
  <c r="AP83" i="5"/>
  <c r="AP82" i="5"/>
  <c r="AP81" i="5"/>
  <c r="AP80" i="5"/>
  <c r="AP79" i="5"/>
  <c r="AP78" i="5"/>
  <c r="AP77" i="5"/>
  <c r="AP76" i="5"/>
  <c r="AP74" i="5"/>
  <c r="AP73" i="5"/>
  <c r="AP72" i="5"/>
  <c r="AP71" i="5"/>
  <c r="AP70" i="5"/>
  <c r="AP69" i="5"/>
  <c r="AP68" i="5"/>
  <c r="AP67" i="5"/>
  <c r="AP66" i="5"/>
  <c r="AP65" i="5"/>
  <c r="AP64" i="5"/>
  <c r="AP63" i="5"/>
  <c r="AP46" i="5"/>
  <c r="AP45" i="5"/>
  <c r="AP44" i="5"/>
  <c r="AP43" i="5"/>
  <c r="AP42" i="5"/>
  <c r="AP41" i="5"/>
  <c r="AP40" i="5"/>
  <c r="AP39" i="5"/>
  <c r="AP38" i="5"/>
  <c r="AP37" i="5"/>
  <c r="AP36" i="5"/>
  <c r="AP35" i="5"/>
  <c r="AP33" i="5"/>
  <c r="AP32" i="5"/>
  <c r="AP31" i="5"/>
  <c r="AP30" i="5"/>
  <c r="AP29" i="5"/>
  <c r="AP28" i="5"/>
  <c r="AP27" i="5"/>
  <c r="AP26" i="5"/>
  <c r="AP25" i="5"/>
  <c r="AP24" i="5"/>
  <c r="AP23" i="5"/>
  <c r="AP22" i="5"/>
  <c r="AP21" i="5"/>
  <c r="BF169" i="5"/>
  <c r="BE169" i="5"/>
  <c r="BD169" i="5"/>
  <c r="BC169" i="5"/>
  <c r="BB169" i="5"/>
  <c r="BA169" i="5"/>
  <c r="AZ169" i="5"/>
  <c r="AY169" i="5"/>
  <c r="AX169" i="5"/>
  <c r="AW169" i="5"/>
  <c r="BF161" i="5"/>
  <c r="BE161" i="5"/>
  <c r="BD161" i="5"/>
  <c r="BC161" i="5"/>
  <c r="BB161" i="5"/>
  <c r="BA161" i="5"/>
  <c r="AZ161" i="5"/>
  <c r="AY161" i="5"/>
  <c r="AX161" i="5"/>
  <c r="AW161" i="5"/>
  <c r="BF160" i="5"/>
  <c r="BE160" i="5"/>
  <c r="BD160" i="5"/>
  <c r="BC160" i="5"/>
  <c r="BB160" i="5"/>
  <c r="BA160" i="5"/>
  <c r="AZ160" i="5"/>
  <c r="AY160" i="5"/>
  <c r="AX160" i="5"/>
  <c r="AW160" i="5"/>
  <c r="BF153" i="5"/>
  <c r="BE153" i="5"/>
  <c r="BD153" i="5"/>
  <c r="BC153" i="5"/>
  <c r="BB153" i="5"/>
  <c r="BA153" i="5"/>
  <c r="AZ153" i="5"/>
  <c r="AY153" i="5"/>
  <c r="AX153" i="5"/>
  <c r="AW153" i="5"/>
  <c r="BF146" i="5"/>
  <c r="BE146" i="5"/>
  <c r="BD146" i="5"/>
  <c r="BC146" i="5"/>
  <c r="BB146" i="5"/>
  <c r="BA146" i="5"/>
  <c r="AZ146" i="5"/>
  <c r="AY146" i="5"/>
  <c r="AX146" i="5"/>
  <c r="AW146" i="5"/>
  <c r="BF141" i="5"/>
  <c r="BE141" i="5"/>
  <c r="BD141" i="5"/>
  <c r="BC141" i="5"/>
  <c r="BB141" i="5"/>
  <c r="BA141" i="5"/>
  <c r="AZ141" i="5"/>
  <c r="AY141" i="5"/>
  <c r="AX141" i="5"/>
  <c r="AW141" i="5"/>
  <c r="BF133" i="5"/>
  <c r="BE133" i="5"/>
  <c r="BD133" i="5"/>
  <c r="BC133" i="5"/>
  <c r="BB133" i="5"/>
  <c r="BA133" i="5"/>
  <c r="AZ133" i="5"/>
  <c r="AY133" i="5"/>
  <c r="AX133" i="5"/>
  <c r="AW133" i="5"/>
  <c r="BF124" i="5"/>
  <c r="BE124" i="5"/>
  <c r="BD124" i="5"/>
  <c r="BC124" i="5"/>
  <c r="BB124" i="5"/>
  <c r="BA124" i="5"/>
  <c r="AZ124" i="5"/>
  <c r="AY124" i="5"/>
  <c r="AX124" i="5"/>
  <c r="AW124" i="5"/>
  <c r="BF119" i="5"/>
  <c r="BE119" i="5"/>
  <c r="BD119" i="5"/>
  <c r="BC119" i="5"/>
  <c r="BB119" i="5"/>
  <c r="BA119" i="5"/>
  <c r="AZ119" i="5"/>
  <c r="AY119" i="5"/>
  <c r="AX119" i="5"/>
  <c r="AW119" i="5"/>
  <c r="BF118" i="5"/>
  <c r="BE118" i="5"/>
  <c r="BD118" i="5"/>
  <c r="BC118" i="5"/>
  <c r="BB118" i="5"/>
  <c r="BA118" i="5"/>
  <c r="AZ118" i="5"/>
  <c r="AY118" i="5"/>
  <c r="AX118" i="5"/>
  <c r="AW118" i="5"/>
  <c r="BF112" i="5"/>
  <c r="BE112" i="5"/>
  <c r="BD112" i="5"/>
  <c r="BC112" i="5"/>
  <c r="BB112" i="5"/>
  <c r="BA112" i="5"/>
  <c r="AZ112" i="5"/>
  <c r="AY112" i="5"/>
  <c r="AX112" i="5"/>
  <c r="AW112" i="5"/>
  <c r="BF111" i="5"/>
  <c r="BE111" i="5"/>
  <c r="BD111" i="5"/>
  <c r="BC111" i="5"/>
  <c r="BB111" i="5"/>
  <c r="BA111" i="5"/>
  <c r="AZ111" i="5"/>
  <c r="AY111" i="5"/>
  <c r="AX111" i="5"/>
  <c r="AW111" i="5"/>
  <c r="BF110" i="5"/>
  <c r="BE110" i="5"/>
  <c r="BD110" i="5"/>
  <c r="BC110" i="5"/>
  <c r="BB110" i="5"/>
  <c r="BA110" i="5"/>
  <c r="AZ110" i="5"/>
  <c r="AY110" i="5"/>
  <c r="AX110" i="5"/>
  <c r="AW110" i="5"/>
  <c r="BF97" i="5"/>
  <c r="BE97" i="5"/>
  <c r="BD97" i="5"/>
  <c r="BC97" i="5"/>
  <c r="BB97" i="5"/>
  <c r="BA97" i="5"/>
  <c r="AZ97" i="5"/>
  <c r="AY97" i="5"/>
  <c r="AX97" i="5"/>
  <c r="AW97" i="5"/>
  <c r="BF75" i="5"/>
  <c r="BE75" i="5"/>
  <c r="BD75" i="5"/>
  <c r="BC75" i="5"/>
  <c r="BB75" i="5"/>
  <c r="BA75" i="5"/>
  <c r="AZ75" i="5"/>
  <c r="AY75" i="5"/>
  <c r="AX75" i="5"/>
  <c r="BF62" i="5"/>
  <c r="BE62" i="5"/>
  <c r="BD62" i="5"/>
  <c r="BC62" i="5"/>
  <c r="BB62" i="5"/>
  <c r="BA62" i="5"/>
  <c r="AZ62" i="5"/>
  <c r="AY62" i="5"/>
  <c r="AX62" i="5"/>
  <c r="AW62" i="5"/>
  <c r="BF61" i="5"/>
  <c r="BE61" i="5"/>
  <c r="BD61" i="5"/>
  <c r="BC61" i="5"/>
  <c r="BB61" i="5"/>
  <c r="BA61" i="5"/>
  <c r="AZ61" i="5"/>
  <c r="AY61" i="5"/>
  <c r="AX61" i="5"/>
  <c r="AW61" i="5"/>
  <c r="BF47" i="5"/>
  <c r="BE47" i="5"/>
  <c r="BD47" i="5"/>
  <c r="BC47" i="5"/>
  <c r="BB47" i="5"/>
  <c r="BA47" i="5"/>
  <c r="AZ47" i="5"/>
  <c r="AY47" i="5"/>
  <c r="AX47" i="5"/>
  <c r="AW47" i="5"/>
  <c r="BF34" i="5"/>
  <c r="BE34" i="5"/>
  <c r="BD34" i="5"/>
  <c r="BC34" i="5"/>
  <c r="BB34" i="5"/>
  <c r="BA34" i="5"/>
  <c r="AZ34" i="5"/>
  <c r="AY34" i="5"/>
  <c r="AX34" i="5"/>
  <c r="AW34" i="5"/>
  <c r="BF20" i="5"/>
  <c r="BE20" i="5"/>
  <c r="BD20" i="5"/>
  <c r="BC20" i="5"/>
  <c r="BB20" i="5"/>
  <c r="BA20" i="5"/>
  <c r="AZ20" i="5"/>
  <c r="AY20" i="5"/>
  <c r="AX20" i="5"/>
  <c r="AW20" i="5"/>
  <c r="BF10" i="5"/>
  <c r="AX10" i="5"/>
  <c r="AY10" i="5"/>
  <c r="AZ10" i="5"/>
  <c r="BA10" i="5"/>
  <c r="BB10" i="5"/>
  <c r="BC10" i="5"/>
  <c r="BD10" i="5"/>
  <c r="BE10" i="5"/>
  <c r="AW10" i="5"/>
  <c r="AX6" i="5"/>
  <c r="AY6" i="5"/>
  <c r="AZ6" i="5"/>
  <c r="BA6" i="5"/>
  <c r="BB6" i="5"/>
  <c r="BC6" i="5"/>
  <c r="BD6" i="5"/>
  <c r="BE6" i="5"/>
  <c r="BF6" i="5"/>
  <c r="AW6" i="5"/>
  <c r="C64" i="2"/>
  <c r="G34" i="20"/>
  <c r="F46" i="20"/>
  <c r="G16" i="20"/>
  <c r="S25" i="6"/>
  <c r="H16" i="20"/>
  <c r="H15" i="20"/>
  <c r="H18" i="20"/>
  <c r="F16" i="11"/>
  <c r="AA179" i="15"/>
  <c r="Z179" i="15"/>
  <c r="Y179" i="15"/>
  <c r="X179" i="15"/>
  <c r="W179" i="15"/>
  <c r="V179" i="15"/>
  <c r="U179" i="15"/>
  <c r="T179" i="15"/>
  <c r="AA178" i="15"/>
  <c r="Z178" i="15"/>
  <c r="Y178" i="15"/>
  <c r="X178" i="15"/>
  <c r="W178" i="15"/>
  <c r="V178" i="15"/>
  <c r="U178" i="15"/>
  <c r="T178" i="15"/>
  <c r="K15" i="2"/>
  <c r="I177" i="15"/>
  <c r="G197" i="15"/>
  <c r="H197" i="15"/>
  <c r="I178" i="15"/>
  <c r="I195" i="15"/>
  <c r="I196" i="15"/>
  <c r="I182" i="15"/>
  <c r="I186" i="15"/>
  <c r="I190" i="15"/>
  <c r="I194" i="15"/>
  <c r="I179" i="15"/>
  <c r="I183" i="15"/>
  <c r="I187" i="15"/>
  <c r="I191" i="15"/>
  <c r="I181" i="15"/>
  <c r="I185" i="15"/>
  <c r="I189" i="15"/>
  <c r="I193" i="15"/>
  <c r="I180" i="15"/>
  <c r="I184" i="15"/>
  <c r="I188" i="15"/>
  <c r="I192" i="15"/>
  <c r="I197" i="15"/>
  <c r="L129" i="20"/>
  <c r="Q127" i="20"/>
  <c r="E76" i="17"/>
  <c r="S55" i="5"/>
  <c r="T55" i="5"/>
  <c r="O55" i="5"/>
  <c r="S68" i="5"/>
  <c r="M68" i="5"/>
  <c r="T68" i="5"/>
  <c r="O68" i="5"/>
  <c r="S99" i="5"/>
  <c r="M99" i="5"/>
  <c r="K159" i="13"/>
  <c r="I119" i="6"/>
  <c r="S98" i="20"/>
  <c r="S99" i="20"/>
  <c r="S100" i="20"/>
  <c r="S101" i="20"/>
  <c r="S102" i="20"/>
  <c r="S103" i="20"/>
  <c r="S104" i="20"/>
  <c r="S105" i="20"/>
  <c r="S106" i="20"/>
  <c r="S107" i="20"/>
  <c r="S108" i="20"/>
  <c r="S109" i="20"/>
  <c r="S110" i="20"/>
  <c r="S111" i="20"/>
  <c r="S112" i="20"/>
  <c r="S97" i="20"/>
  <c r="H97" i="20"/>
  <c r="H98" i="20"/>
  <c r="R49" i="2"/>
  <c r="E29" i="21"/>
  <c r="H29" i="21"/>
  <c r="R50" i="2"/>
  <c r="R51" i="2"/>
  <c r="G155" i="15"/>
  <c r="H155" i="15"/>
  <c r="J101" i="20"/>
  <c r="R52" i="2"/>
  <c r="E31" i="21"/>
  <c r="H31" i="21"/>
  <c r="R53" i="2"/>
  <c r="R54" i="2"/>
  <c r="E34" i="21"/>
  <c r="H34" i="21"/>
  <c r="R55" i="2"/>
  <c r="E35" i="21"/>
  <c r="H35" i="21"/>
  <c r="R56" i="2"/>
  <c r="R57" i="2"/>
  <c r="R58" i="2"/>
  <c r="H108" i="20"/>
  <c r="R59" i="2"/>
  <c r="R60" i="2"/>
  <c r="H14" i="21"/>
  <c r="R61" i="2"/>
  <c r="E40" i="21"/>
  <c r="H112" i="20"/>
  <c r="N117" i="20"/>
  <c r="M119" i="20"/>
  <c r="N119" i="20"/>
  <c r="M120" i="20"/>
  <c r="L120" i="20"/>
  <c r="C49" i="2"/>
  <c r="G32" i="20"/>
  <c r="C47" i="2"/>
  <c r="S8" i="6"/>
  <c r="C54" i="2"/>
  <c r="J56" i="2"/>
  <c r="C57" i="2"/>
  <c r="J60" i="2"/>
  <c r="J61" i="2"/>
  <c r="J62" i="2"/>
  <c r="K25" i="11"/>
  <c r="J64" i="2"/>
  <c r="N48" i="2"/>
  <c r="O48" i="2"/>
  <c r="N50" i="2"/>
  <c r="O50" i="2"/>
  <c r="N51" i="2"/>
  <c r="O51" i="2"/>
  <c r="N52" i="2"/>
  <c r="O52" i="2"/>
  <c r="N53" i="2"/>
  <c r="O53" i="2"/>
  <c r="N55" i="2"/>
  <c r="O55" i="2"/>
  <c r="N58" i="2"/>
  <c r="O58" i="2"/>
  <c r="N59" i="2"/>
  <c r="O59" i="2"/>
  <c r="N63" i="2"/>
  <c r="D64" i="16"/>
  <c r="L126" i="18"/>
  <c r="L125" i="18"/>
  <c r="L122" i="18"/>
  <c r="L123" i="18"/>
  <c r="K123" i="18"/>
  <c r="L120" i="18"/>
  <c r="G29" i="11"/>
  <c r="S136" i="5"/>
  <c r="M136" i="5"/>
  <c r="S135" i="5"/>
  <c r="M135" i="5"/>
  <c r="S139" i="5"/>
  <c r="M139" i="5"/>
  <c r="S138" i="5"/>
  <c r="M138" i="5"/>
  <c r="S129" i="5"/>
  <c r="V130" i="5"/>
  <c r="V131" i="5"/>
  <c r="K128" i="18"/>
  <c r="S127" i="5"/>
  <c r="M127" i="5"/>
  <c r="F37" i="11"/>
  <c r="F42" i="11"/>
  <c r="L52" i="11"/>
  <c r="L51" i="11"/>
  <c r="L50" i="11"/>
  <c r="L49" i="11"/>
  <c r="L48" i="11"/>
  <c r="L64" i="2"/>
  <c r="K57" i="8"/>
  <c r="R64" i="2"/>
  <c r="F238" i="14"/>
  <c r="F237" i="14"/>
  <c r="F236" i="14"/>
  <c r="F235" i="14"/>
  <c r="F234" i="14"/>
  <c r="R65" i="2"/>
  <c r="G152" i="15"/>
  <c r="H152" i="15"/>
  <c r="J98" i="20"/>
  <c r="G153" i="15"/>
  <c r="H153" i="15"/>
  <c r="J99" i="20"/>
  <c r="G164" i="15"/>
  <c r="H164" i="15"/>
  <c r="J110" i="20"/>
  <c r="G166" i="15"/>
  <c r="H166" i="15"/>
  <c r="J112" i="20"/>
  <c r="G167" i="15"/>
  <c r="H167" i="15"/>
  <c r="D43" i="2"/>
  <c r="H168" i="15"/>
  <c r="H169" i="15"/>
  <c r="D83" i="3"/>
  <c r="D16" i="3"/>
  <c r="P7" i="3"/>
  <c r="D5" i="3"/>
  <c r="O167" i="15"/>
  <c r="P167" i="15"/>
  <c r="Q167" i="15"/>
  <c r="O149" i="15"/>
  <c r="I101" i="15"/>
  <c r="P149" i="15"/>
  <c r="O73" i="11"/>
  <c r="I67" i="15"/>
  <c r="J67" i="15"/>
  <c r="K67" i="15"/>
  <c r="L67" i="15"/>
  <c r="M67" i="15"/>
  <c r="N67" i="15"/>
  <c r="O67" i="15"/>
  <c r="P67" i="15"/>
  <c r="Q67" i="15"/>
  <c r="I70" i="15"/>
  <c r="J70" i="15"/>
  <c r="K70" i="15"/>
  <c r="L70" i="15"/>
  <c r="M70" i="15"/>
  <c r="N70" i="15"/>
  <c r="O70" i="15"/>
  <c r="P70" i="15"/>
  <c r="Q70" i="15"/>
  <c r="I73" i="15"/>
  <c r="J73" i="15"/>
  <c r="K73" i="15"/>
  <c r="O73" i="15"/>
  <c r="P73" i="15"/>
  <c r="Q73" i="15"/>
  <c r="O3" i="11"/>
  <c r="U3" i="11"/>
  <c r="F70" i="2"/>
  <c r="AE8" i="18"/>
  <c r="F20" i="6"/>
  <c r="H81" i="6"/>
  <c r="O81" i="6"/>
  <c r="T15" i="5"/>
  <c r="T16" i="5"/>
  <c r="O16" i="5"/>
  <c r="T17" i="5"/>
  <c r="T18" i="5"/>
  <c r="O18" i="5"/>
  <c r="L139" i="18"/>
  <c r="L138" i="18"/>
  <c r="L136" i="18"/>
  <c r="L135" i="18"/>
  <c r="K132" i="11"/>
  <c r="K131" i="11"/>
  <c r="K130" i="11"/>
  <c r="K129" i="11"/>
  <c r="K128" i="11"/>
  <c r="K162" i="11"/>
  <c r="K161" i="11"/>
  <c r="K160" i="11"/>
  <c r="K159" i="11"/>
  <c r="K158" i="11"/>
  <c r="N2" i="20"/>
  <c r="D88" i="3"/>
  <c r="F318" i="9"/>
  <c r="F320" i="9"/>
  <c r="K299" i="9"/>
  <c r="G299" i="9"/>
  <c r="G286" i="9"/>
  <c r="G278" i="9"/>
  <c r="O7" i="3"/>
  <c r="C5" i="3"/>
  <c r="J95" i="15"/>
  <c r="F88" i="3"/>
  <c r="F83" i="3"/>
  <c r="I7" i="3"/>
  <c r="J7" i="3"/>
  <c r="I8" i="3"/>
  <c r="J8" i="3"/>
  <c r="I9" i="3"/>
  <c r="J9" i="3"/>
  <c r="I10" i="3"/>
  <c r="J10" i="3"/>
  <c r="I11" i="3"/>
  <c r="J11" i="3"/>
  <c r="I12" i="3"/>
  <c r="J12" i="3"/>
  <c r="I13" i="3"/>
  <c r="J13" i="3"/>
  <c r="I14" i="3"/>
  <c r="J14" i="3"/>
  <c r="I15" i="3"/>
  <c r="J15" i="3"/>
  <c r="I16" i="3"/>
  <c r="J16" i="3"/>
  <c r="I17" i="3"/>
  <c r="J17" i="3"/>
  <c r="I18" i="3"/>
  <c r="J18" i="3"/>
  <c r="I19" i="3"/>
  <c r="J19" i="3"/>
  <c r="I20" i="3"/>
  <c r="J20" i="3"/>
  <c r="I21" i="3"/>
  <c r="J21" i="3"/>
  <c r="I22" i="3"/>
  <c r="J22" i="3"/>
  <c r="I23" i="3"/>
  <c r="J23" i="3"/>
  <c r="I24" i="3"/>
  <c r="J24" i="3"/>
  <c r="I25" i="3"/>
  <c r="J25" i="3"/>
  <c r="I26" i="3"/>
  <c r="J26" i="3"/>
  <c r="I27" i="3"/>
  <c r="J27" i="3"/>
  <c r="I28" i="3"/>
  <c r="J28" i="3"/>
  <c r="I29" i="3"/>
  <c r="J29" i="3"/>
  <c r="I30" i="3"/>
  <c r="J30" i="3"/>
  <c r="I31" i="3"/>
  <c r="J31" i="3"/>
  <c r="I32" i="3"/>
  <c r="J32" i="3"/>
  <c r="I33" i="3"/>
  <c r="J33" i="3"/>
  <c r="I34" i="3"/>
  <c r="J34" i="3"/>
  <c r="I35" i="3"/>
  <c r="J35" i="3"/>
  <c r="I36" i="3"/>
  <c r="J36" i="3"/>
  <c r="I37" i="3"/>
  <c r="J37" i="3"/>
  <c r="I38" i="3"/>
  <c r="J38" i="3"/>
  <c r="I39" i="3"/>
  <c r="J39" i="3"/>
  <c r="I40" i="3"/>
  <c r="J40" i="3"/>
  <c r="I41" i="3"/>
  <c r="J41" i="3"/>
  <c r="I42" i="3"/>
  <c r="J42" i="3"/>
  <c r="I43" i="3"/>
  <c r="J43" i="3"/>
  <c r="I44" i="3"/>
  <c r="J44" i="3"/>
  <c r="D84" i="3"/>
  <c r="F84" i="3"/>
  <c r="D81" i="3"/>
  <c r="F81" i="3"/>
  <c r="D71" i="3"/>
  <c r="F71" i="3"/>
  <c r="D80" i="3"/>
  <c r="F80" i="3"/>
  <c r="D74" i="3"/>
  <c r="F74" i="3"/>
  <c r="D73" i="3"/>
  <c r="F73" i="3"/>
  <c r="D65" i="3"/>
  <c r="F65" i="3"/>
  <c r="D52" i="3"/>
  <c r="F52" i="3"/>
  <c r="D76" i="3"/>
  <c r="F76" i="3"/>
  <c r="D62" i="3"/>
  <c r="F62" i="3"/>
  <c r="D53" i="3"/>
  <c r="F53" i="3"/>
  <c r="D63" i="3"/>
  <c r="F63" i="3"/>
  <c r="D64" i="3"/>
  <c r="F64" i="3"/>
  <c r="D54" i="3"/>
  <c r="F54" i="3"/>
  <c r="D68" i="3"/>
  <c r="F68" i="3"/>
  <c r="D69" i="3"/>
  <c r="F69" i="3"/>
  <c r="D66" i="3"/>
  <c r="F66" i="3"/>
  <c r="D67" i="3"/>
  <c r="F67" i="3"/>
  <c r="D70" i="3"/>
  <c r="F70" i="3"/>
  <c r="D55" i="3"/>
  <c r="F55" i="3"/>
  <c r="D51" i="3"/>
  <c r="F51" i="3"/>
  <c r="D50" i="3"/>
  <c r="F50" i="3"/>
  <c r="D75" i="3"/>
  <c r="F75" i="3"/>
  <c r="D77" i="3"/>
  <c r="F77" i="3"/>
  <c r="D78" i="3"/>
  <c r="F78" i="3"/>
  <c r="D79" i="3"/>
  <c r="F79" i="3"/>
  <c r="D56" i="3"/>
  <c r="F56" i="3"/>
  <c r="D57" i="3"/>
  <c r="F57" i="3"/>
  <c r="D82" i="3"/>
  <c r="F82" i="3"/>
  <c r="D85" i="3"/>
  <c r="F85" i="3"/>
  <c r="D86" i="3"/>
  <c r="F86" i="3"/>
  <c r="D58" i="3"/>
  <c r="F58" i="3"/>
  <c r="D59" i="3"/>
  <c r="F59" i="3"/>
  <c r="D72" i="3"/>
  <c r="F72" i="3"/>
  <c r="D60" i="3"/>
  <c r="F60" i="3"/>
  <c r="D61" i="3"/>
  <c r="F61" i="3"/>
  <c r="F87" i="3"/>
  <c r="D87" i="3"/>
  <c r="S142" i="5"/>
  <c r="D24" i="3"/>
  <c r="H46" i="13"/>
  <c r="F29" i="13"/>
  <c r="S147" i="5"/>
  <c r="M147" i="5"/>
  <c r="Y124" i="5"/>
  <c r="P124" i="5"/>
  <c r="S40" i="5"/>
  <c r="T40" i="5"/>
  <c r="O40" i="5"/>
  <c r="T41" i="5"/>
  <c r="L42" i="18"/>
  <c r="N91" i="15"/>
  <c r="M91" i="15"/>
  <c r="L91" i="15"/>
  <c r="N88" i="15"/>
  <c r="M88" i="15"/>
  <c r="L88" i="15"/>
  <c r="N85" i="15"/>
  <c r="M85" i="15"/>
  <c r="L85" i="15"/>
  <c r="N82" i="15"/>
  <c r="M82" i="15"/>
  <c r="L82" i="15"/>
  <c r="N79" i="15"/>
  <c r="M79" i="15"/>
  <c r="L79" i="15"/>
  <c r="N76" i="15"/>
  <c r="M76" i="15"/>
  <c r="L76" i="15"/>
  <c r="J91" i="6"/>
  <c r="H87" i="6"/>
  <c r="H69" i="6"/>
  <c r="O69" i="6"/>
  <c r="J64" i="6"/>
  <c r="I49" i="6"/>
  <c r="I44" i="6"/>
  <c r="H29" i="6"/>
  <c r="F21" i="6"/>
  <c r="H58" i="15"/>
  <c r="F22" i="6"/>
  <c r="I24" i="2"/>
  <c r="I6" i="3"/>
  <c r="J6" i="3"/>
  <c r="I46" i="3"/>
  <c r="J46" i="3"/>
  <c r="D49" i="3"/>
  <c r="F49" i="3"/>
  <c r="K5" i="4"/>
  <c r="N5" i="4"/>
  <c r="D8" i="4"/>
  <c r="J8" i="4"/>
  <c r="D9" i="4"/>
  <c r="J9" i="4"/>
  <c r="D10" i="4"/>
  <c r="J10" i="4"/>
  <c r="H28" i="10"/>
  <c r="F7" i="10"/>
  <c r="D11" i="4"/>
  <c r="J11" i="4"/>
  <c r="J12" i="4"/>
  <c r="D13" i="4"/>
  <c r="F13" i="4"/>
  <c r="J13" i="4"/>
  <c r="E14" i="4"/>
  <c r="J14" i="4"/>
  <c r="E15" i="4"/>
  <c r="J15" i="4"/>
  <c r="J16" i="4"/>
  <c r="U35" i="4"/>
  <c r="U28" i="4"/>
  <c r="U31" i="4"/>
  <c r="Z32" i="4"/>
  <c r="Z33" i="4"/>
  <c r="Z40" i="4"/>
  <c r="C41" i="4"/>
  <c r="H41" i="4"/>
  <c r="L41" i="4"/>
  <c r="Z41" i="4"/>
  <c r="Z42" i="4"/>
  <c r="H50" i="10"/>
  <c r="F32" i="10"/>
  <c r="H83" i="10"/>
  <c r="C52" i="4"/>
  <c r="H52" i="4"/>
  <c r="L52" i="4"/>
  <c r="B65" i="4"/>
  <c r="L65" i="4"/>
  <c r="B66" i="4"/>
  <c r="H66" i="4"/>
  <c r="L66" i="4"/>
  <c r="B67" i="4"/>
  <c r="H67" i="4"/>
  <c r="L67" i="4"/>
  <c r="B68" i="4"/>
  <c r="H68" i="4"/>
  <c r="L68" i="4"/>
  <c r="B69" i="4"/>
  <c r="H69" i="4"/>
  <c r="L69" i="4"/>
  <c r="B2" i="5"/>
  <c r="N2" i="5"/>
  <c r="B3" i="5"/>
  <c r="N3" i="5"/>
  <c r="E5" i="5"/>
  <c r="AC8" i="18"/>
  <c r="AD8" i="18"/>
  <c r="AB8" i="5"/>
  <c r="AD8" i="5"/>
  <c r="S12" i="5"/>
  <c r="M12" i="5"/>
  <c r="T12" i="5"/>
  <c r="O12" i="5"/>
  <c r="S15" i="5"/>
  <c r="M15" i="5"/>
  <c r="S16" i="5"/>
  <c r="S17" i="5"/>
  <c r="S18" i="5"/>
  <c r="S19" i="5"/>
  <c r="M19" i="5"/>
  <c r="T19" i="5"/>
  <c r="S22" i="5"/>
  <c r="M22" i="5"/>
  <c r="T22" i="5"/>
  <c r="O22" i="5"/>
  <c r="L23" i="18"/>
  <c r="T24" i="5"/>
  <c r="O24" i="5"/>
  <c r="L25" i="18"/>
  <c r="T26" i="5"/>
  <c r="O26" i="5"/>
  <c r="T27" i="5"/>
  <c r="O27" i="5"/>
  <c r="L28" i="18"/>
  <c r="L29" i="18"/>
  <c r="S23" i="5"/>
  <c r="S24" i="5"/>
  <c r="S25" i="5"/>
  <c r="M25" i="5"/>
  <c r="S26" i="5"/>
  <c r="M26" i="5"/>
  <c r="K27" i="18"/>
  <c r="S28" i="5"/>
  <c r="M28" i="5"/>
  <c r="S29" i="5"/>
  <c r="S30" i="5"/>
  <c r="T30" i="5"/>
  <c r="O30" i="5"/>
  <c r="T31" i="5"/>
  <c r="L32" i="18"/>
  <c r="L33" i="18"/>
  <c r="S36" i="5"/>
  <c r="T36" i="5"/>
  <c r="T37" i="5"/>
  <c r="T38" i="5"/>
  <c r="S38" i="5"/>
  <c r="S41" i="5"/>
  <c r="S42" i="5"/>
  <c r="M42" i="5"/>
  <c r="X42" i="5"/>
  <c r="S43" i="5"/>
  <c r="T43" i="5"/>
  <c r="O43" i="5"/>
  <c r="K44" i="18"/>
  <c r="L44" i="18"/>
  <c r="K45" i="18"/>
  <c r="L45" i="18"/>
  <c r="S46" i="5"/>
  <c r="T46" i="5"/>
  <c r="S49" i="5"/>
  <c r="T49" i="5"/>
  <c r="O49" i="5"/>
  <c r="T50" i="5"/>
  <c r="O50" i="5"/>
  <c r="T51" i="5"/>
  <c r="T52" i="5"/>
  <c r="O52" i="5"/>
  <c r="S50" i="5"/>
  <c r="M50" i="5"/>
  <c r="S51" i="5"/>
  <c r="S52" i="5"/>
  <c r="S54" i="5"/>
  <c r="M54" i="5"/>
  <c r="T54" i="5"/>
  <c r="O54" i="5"/>
  <c r="T56" i="5"/>
  <c r="O56" i="5"/>
  <c r="T57" i="5"/>
  <c r="O57" i="5"/>
  <c r="S56" i="5"/>
  <c r="M56" i="5"/>
  <c r="S57" i="5"/>
  <c r="S59" i="5"/>
  <c r="M59" i="5"/>
  <c r="L59" i="18"/>
  <c r="S60" i="5"/>
  <c r="M60" i="5"/>
  <c r="L60" i="18"/>
  <c r="L61" i="18"/>
  <c r="S64" i="5"/>
  <c r="M64" i="5"/>
  <c r="T64" i="5"/>
  <c r="O64" i="5"/>
  <c r="T65" i="5"/>
  <c r="S65" i="5"/>
  <c r="M65" i="5"/>
  <c r="S66" i="5"/>
  <c r="L66" i="18"/>
  <c r="S69" i="5"/>
  <c r="L69" i="18"/>
  <c r="S77" i="5"/>
  <c r="M77" i="5"/>
  <c r="L77" i="18"/>
  <c r="S78" i="5"/>
  <c r="L78" i="18"/>
  <c r="S80" i="5"/>
  <c r="L80" i="18"/>
  <c r="S81" i="5"/>
  <c r="M81" i="5"/>
  <c r="L81" i="18"/>
  <c r="S82" i="5"/>
  <c r="M82" i="5"/>
  <c r="L82" i="18"/>
  <c r="S83" i="5"/>
  <c r="L83" i="18"/>
  <c r="S84" i="5"/>
  <c r="S85" i="5"/>
  <c r="L85" i="18"/>
  <c r="S87" i="5"/>
  <c r="M87" i="5"/>
  <c r="S88" i="5"/>
  <c r="S89" i="5"/>
  <c r="M89" i="5"/>
  <c r="G260" i="9"/>
  <c r="I260" i="9"/>
  <c r="L88" i="18"/>
  <c r="L93" i="18"/>
  <c r="S94" i="5"/>
  <c r="M94" i="5"/>
  <c r="L94" i="18"/>
  <c r="L95" i="18"/>
  <c r="W96" i="5"/>
  <c r="N96" i="5"/>
  <c r="Y96" i="5"/>
  <c r="P96" i="5"/>
  <c r="AD96" i="5"/>
  <c r="T99" i="5"/>
  <c r="O99" i="5"/>
  <c r="T100" i="5"/>
  <c r="O100" i="5"/>
  <c r="S100" i="5"/>
  <c r="S101" i="5"/>
  <c r="T101" i="5"/>
  <c r="O101" i="5"/>
  <c r="S103" i="5"/>
  <c r="L103" i="18"/>
  <c r="S104" i="5"/>
  <c r="M104" i="5"/>
  <c r="L104" i="18"/>
  <c r="S105" i="5"/>
  <c r="M105" i="5"/>
  <c r="L105" i="18"/>
  <c r="S106" i="5"/>
  <c r="M106" i="5"/>
  <c r="L106" i="18"/>
  <c r="S107" i="5"/>
  <c r="M107" i="5"/>
  <c r="L107" i="18"/>
  <c r="S108" i="5"/>
  <c r="M108" i="5"/>
  <c r="L108" i="18"/>
  <c r="L109" i="18"/>
  <c r="L110" i="18"/>
  <c r="L111" i="18"/>
  <c r="L113" i="18"/>
  <c r="H110" i="10"/>
  <c r="F87" i="10"/>
  <c r="L114" i="18"/>
  <c r="W115" i="5"/>
  <c r="N115" i="5"/>
  <c r="Y115" i="5"/>
  <c r="P115" i="5"/>
  <c r="AD115" i="5"/>
  <c r="W116" i="5"/>
  <c r="N116" i="5"/>
  <c r="L117" i="18"/>
  <c r="L118" i="18"/>
  <c r="Y125" i="5"/>
  <c r="Y126" i="5"/>
  <c r="P126" i="5"/>
  <c r="L127" i="18"/>
  <c r="L128" i="18"/>
  <c r="L129" i="18"/>
  <c r="L130" i="18"/>
  <c r="L131" i="18"/>
  <c r="L132" i="18"/>
  <c r="L140" i="18"/>
  <c r="L142" i="18"/>
  <c r="S144" i="5"/>
  <c r="L144" i="18"/>
  <c r="S145" i="5"/>
  <c r="M145" i="5"/>
  <c r="L145" i="18"/>
  <c r="L147" i="18"/>
  <c r="S148" i="5"/>
  <c r="M148" i="5"/>
  <c r="L148" i="18"/>
  <c r="H149" i="5"/>
  <c r="S149" i="5"/>
  <c r="L149" i="18"/>
  <c r="H150" i="5"/>
  <c r="S150" i="5"/>
  <c r="L150" i="18"/>
  <c r="S151" i="5"/>
  <c r="L151" i="18"/>
  <c r="L152" i="18"/>
  <c r="F170" i="13"/>
  <c r="L154" i="18"/>
  <c r="S156" i="5"/>
  <c r="M156" i="5"/>
  <c r="L156" i="18"/>
  <c r="S157" i="5"/>
  <c r="M157" i="5"/>
  <c r="L157" i="18"/>
  <c r="S158" i="5"/>
  <c r="M158" i="5"/>
  <c r="L158" i="18"/>
  <c r="L160" i="18"/>
  <c r="S162" i="5"/>
  <c r="L162" i="18"/>
  <c r="H58" i="14"/>
  <c r="F30" i="14"/>
  <c r="L163" i="18"/>
  <c r="S165" i="5"/>
  <c r="L165" i="18"/>
  <c r="S166" i="5"/>
  <c r="L166" i="18"/>
  <c r="L179" i="18"/>
  <c r="L180" i="18"/>
  <c r="H97" i="14"/>
  <c r="F81" i="14"/>
  <c r="L167" i="18"/>
  <c r="S168" i="5"/>
  <c r="M168" i="5"/>
  <c r="L168" i="18"/>
  <c r="Y168" i="5"/>
  <c r="P168" i="5"/>
  <c r="AD168" i="5"/>
  <c r="S171" i="5"/>
  <c r="M171" i="5"/>
  <c r="L171" i="18"/>
  <c r="S172" i="5"/>
  <c r="M172" i="5"/>
  <c r="L172" i="18"/>
  <c r="S173" i="5"/>
  <c r="M173" i="5"/>
  <c r="L173" i="18"/>
  <c r="L175" i="18"/>
  <c r="L176" i="18"/>
  <c r="L177" i="18"/>
  <c r="S175" i="5"/>
  <c r="M175" i="5"/>
  <c r="H199" i="14"/>
  <c r="F186" i="14"/>
  <c r="F188" i="14"/>
  <c r="S177" i="5"/>
  <c r="H229" i="14"/>
  <c r="F215" i="14"/>
  <c r="S180" i="5"/>
  <c r="B2" i="6"/>
  <c r="N2" i="6"/>
  <c r="B3" i="6"/>
  <c r="N3" i="6"/>
  <c r="N11" i="6"/>
  <c r="AA11" i="6"/>
  <c r="N12" i="6"/>
  <c r="N13" i="6"/>
  <c r="N14" i="6"/>
  <c r="N15" i="6"/>
  <c r="N16" i="6"/>
  <c r="N17" i="6"/>
  <c r="N18" i="6"/>
  <c r="E1" i="7"/>
  <c r="N1" i="8"/>
  <c r="O3" i="8"/>
  <c r="M156" i="8"/>
  <c r="U3" i="8"/>
  <c r="U4" i="8"/>
  <c r="U5" i="8"/>
  <c r="U6" i="8"/>
  <c r="F10" i="8"/>
  <c r="L10" i="8"/>
  <c r="F11" i="8"/>
  <c r="L11" i="8"/>
  <c r="F12" i="8"/>
  <c r="L12" i="8"/>
  <c r="F13" i="8"/>
  <c r="L13" i="8"/>
  <c r="F14" i="8"/>
  <c r="L14" i="8"/>
  <c r="F54" i="8"/>
  <c r="G54" i="8"/>
  <c r="G64" i="8"/>
  <c r="G57" i="8"/>
  <c r="F134" i="8"/>
  <c r="K134" i="8"/>
  <c r="F135" i="8"/>
  <c r="K135" i="8"/>
  <c r="F136" i="8"/>
  <c r="K136" i="8"/>
  <c r="F137" i="8"/>
  <c r="K137" i="8"/>
  <c r="F138" i="8"/>
  <c r="K138" i="8"/>
  <c r="F161" i="8"/>
  <c r="F162" i="8"/>
  <c r="F163" i="8"/>
  <c r="F164" i="8"/>
  <c r="F165" i="8"/>
  <c r="F186" i="8"/>
  <c r="F187" i="8"/>
  <c r="F188" i="8"/>
  <c r="F189" i="8"/>
  <c r="F190" i="8"/>
  <c r="F195" i="8"/>
  <c r="K195" i="8"/>
  <c r="F196" i="8"/>
  <c r="K196" i="8"/>
  <c r="F197" i="8"/>
  <c r="K197" i="8"/>
  <c r="F198" i="8"/>
  <c r="K198" i="8"/>
  <c r="F199" i="8"/>
  <c r="K199" i="8"/>
  <c r="F204" i="8"/>
  <c r="F205" i="8"/>
  <c r="F206" i="8"/>
  <c r="F207" i="8"/>
  <c r="F208" i="8"/>
  <c r="F213" i="8"/>
  <c r="K213" i="8"/>
  <c r="F214" i="8"/>
  <c r="K214" i="8"/>
  <c r="F215" i="8"/>
  <c r="K215" i="8"/>
  <c r="F216" i="8"/>
  <c r="K216" i="8"/>
  <c r="F217" i="8"/>
  <c r="K217" i="8"/>
  <c r="F256" i="8"/>
  <c r="K256" i="8"/>
  <c r="F257" i="8"/>
  <c r="K257" i="8"/>
  <c r="F258" i="8"/>
  <c r="K258" i="8"/>
  <c r="F259" i="8"/>
  <c r="K259" i="8"/>
  <c r="F260" i="8"/>
  <c r="K260" i="8"/>
  <c r="F267" i="8"/>
  <c r="K267" i="8"/>
  <c r="F268" i="8"/>
  <c r="K268" i="8"/>
  <c r="F269" i="8"/>
  <c r="K269" i="8"/>
  <c r="F270" i="8"/>
  <c r="K270" i="8"/>
  <c r="F271" i="8"/>
  <c r="K271" i="8"/>
  <c r="F276" i="8"/>
  <c r="F277" i="8"/>
  <c r="F278" i="8"/>
  <c r="F279" i="8"/>
  <c r="F280" i="8"/>
  <c r="F285" i="8"/>
  <c r="K285" i="8"/>
  <c r="F286" i="8"/>
  <c r="K286" i="8"/>
  <c r="F287" i="8"/>
  <c r="K287" i="8"/>
  <c r="F288" i="8"/>
  <c r="K288" i="8"/>
  <c r="F289" i="8"/>
  <c r="K289" i="8"/>
  <c r="F295" i="8"/>
  <c r="K295" i="8"/>
  <c r="F296" i="8"/>
  <c r="K296" i="8"/>
  <c r="F297" i="8"/>
  <c r="K297" i="8"/>
  <c r="F298" i="8"/>
  <c r="K298" i="8"/>
  <c r="F299" i="8"/>
  <c r="K299" i="8"/>
  <c r="F304" i="8"/>
  <c r="K304" i="8"/>
  <c r="F305" i="8"/>
  <c r="K305" i="8"/>
  <c r="F306" i="8"/>
  <c r="K306" i="8"/>
  <c r="F307" i="8"/>
  <c r="K307" i="8"/>
  <c r="F308" i="8"/>
  <c r="K308" i="8"/>
  <c r="F313" i="8"/>
  <c r="F314" i="8"/>
  <c r="F315" i="8"/>
  <c r="F316" i="8"/>
  <c r="F317" i="8"/>
  <c r="F327" i="8"/>
  <c r="M327" i="8"/>
  <c r="F328" i="8"/>
  <c r="M328" i="8"/>
  <c r="F329" i="8"/>
  <c r="M329" i="8"/>
  <c r="F330" i="8"/>
  <c r="M330" i="8"/>
  <c r="F331" i="8"/>
  <c r="M331" i="8"/>
  <c r="F336" i="8"/>
  <c r="K336" i="8"/>
  <c r="F337" i="8"/>
  <c r="K337" i="8"/>
  <c r="F338" i="8"/>
  <c r="K338" i="8"/>
  <c r="F339" i="8"/>
  <c r="K339" i="8"/>
  <c r="F340" i="8"/>
  <c r="K340" i="8"/>
  <c r="F363" i="8"/>
  <c r="K363" i="8"/>
  <c r="F364" i="8"/>
  <c r="K364" i="8"/>
  <c r="F365" i="8"/>
  <c r="K365" i="8"/>
  <c r="F366" i="8"/>
  <c r="K366" i="8"/>
  <c r="F367" i="8"/>
  <c r="K367" i="8"/>
  <c r="F372" i="8"/>
  <c r="K372" i="8"/>
  <c r="F373" i="8"/>
  <c r="K373" i="8"/>
  <c r="F374" i="8"/>
  <c r="K374" i="8"/>
  <c r="F375" i="8"/>
  <c r="K375" i="8"/>
  <c r="F376" i="8"/>
  <c r="K376" i="8"/>
  <c r="F381" i="8"/>
  <c r="K381" i="8"/>
  <c r="F382" i="8"/>
  <c r="K382" i="8"/>
  <c r="F383" i="8"/>
  <c r="K383" i="8"/>
  <c r="F384" i="8"/>
  <c r="K384" i="8"/>
  <c r="F385" i="8"/>
  <c r="K385" i="8"/>
  <c r="F390" i="8"/>
  <c r="K390" i="8"/>
  <c r="F391" i="8"/>
  <c r="K391" i="8"/>
  <c r="F392" i="8"/>
  <c r="K392" i="8"/>
  <c r="F393" i="8"/>
  <c r="K393" i="8"/>
  <c r="F394" i="8"/>
  <c r="K394" i="8"/>
  <c r="F400" i="8"/>
  <c r="K400" i="8"/>
  <c r="F401" i="8"/>
  <c r="K401" i="8"/>
  <c r="F402" i="8"/>
  <c r="K402" i="8"/>
  <c r="F403" i="8"/>
  <c r="K403" i="8"/>
  <c r="F404" i="8"/>
  <c r="K404" i="8"/>
  <c r="F409" i="8"/>
  <c r="K409" i="8"/>
  <c r="F410" i="8"/>
  <c r="K410" i="8"/>
  <c r="F411" i="8"/>
  <c r="K411" i="8"/>
  <c r="F412" i="8"/>
  <c r="K412" i="8"/>
  <c r="F413" i="8"/>
  <c r="K413" i="8"/>
  <c r="F418" i="8"/>
  <c r="K418" i="8"/>
  <c r="F419" i="8"/>
  <c r="K419" i="8"/>
  <c r="F420" i="8"/>
  <c r="K420" i="8"/>
  <c r="F421" i="8"/>
  <c r="K421" i="8"/>
  <c r="F422" i="8"/>
  <c r="K422" i="8"/>
  <c r="F427" i="8"/>
  <c r="K427" i="8"/>
  <c r="F428" i="8"/>
  <c r="K428" i="8"/>
  <c r="F429" i="8"/>
  <c r="K429" i="8"/>
  <c r="F430" i="8"/>
  <c r="K430" i="8"/>
  <c r="F431" i="8"/>
  <c r="K431" i="8"/>
  <c r="F437" i="8"/>
  <c r="K437" i="8"/>
  <c r="F438" i="8"/>
  <c r="K438" i="8"/>
  <c r="F439" i="8"/>
  <c r="K439" i="8"/>
  <c r="F440" i="8"/>
  <c r="K440" i="8"/>
  <c r="F441" i="8"/>
  <c r="K441" i="8"/>
  <c r="N1" i="9"/>
  <c r="O3" i="9"/>
  <c r="U3" i="9"/>
  <c r="U4" i="9"/>
  <c r="U5" i="9"/>
  <c r="U6" i="9"/>
  <c r="F10" i="9"/>
  <c r="K10" i="9"/>
  <c r="F11" i="9"/>
  <c r="K11" i="9"/>
  <c r="F12" i="9"/>
  <c r="K12" i="9"/>
  <c r="F13" i="9"/>
  <c r="K13" i="9"/>
  <c r="F14" i="9"/>
  <c r="K14" i="9"/>
  <c r="F19" i="9"/>
  <c r="K19" i="9"/>
  <c r="F20" i="9"/>
  <c r="K20" i="9"/>
  <c r="F21" i="9"/>
  <c r="K21" i="9"/>
  <c r="F22" i="9"/>
  <c r="K22" i="9"/>
  <c r="F23" i="9"/>
  <c r="K23" i="9"/>
  <c r="F28" i="9"/>
  <c r="F29" i="9"/>
  <c r="F30" i="9"/>
  <c r="F31" i="9"/>
  <c r="F32" i="9"/>
  <c r="F38" i="9"/>
  <c r="M38" i="9"/>
  <c r="F39" i="9"/>
  <c r="M39" i="9"/>
  <c r="F40" i="9"/>
  <c r="M40" i="9"/>
  <c r="F41" i="9"/>
  <c r="M41" i="9"/>
  <c r="F42" i="9"/>
  <c r="M42" i="9"/>
  <c r="F47" i="9"/>
  <c r="F48" i="9"/>
  <c r="F49" i="9"/>
  <c r="F50" i="9"/>
  <c r="F51" i="9"/>
  <c r="F63" i="9"/>
  <c r="K63" i="9"/>
  <c r="F80" i="9"/>
  <c r="G93" i="9"/>
  <c r="G138" i="9"/>
  <c r="F124" i="9"/>
  <c r="F194" i="9"/>
  <c r="K194" i="9"/>
  <c r="F195" i="9"/>
  <c r="K195" i="9"/>
  <c r="F196" i="9"/>
  <c r="K196" i="9"/>
  <c r="F197" i="9"/>
  <c r="K197" i="9"/>
  <c r="F198" i="9"/>
  <c r="K198" i="9"/>
  <c r="F204" i="9"/>
  <c r="K204" i="9"/>
  <c r="F205" i="9"/>
  <c r="K205" i="9"/>
  <c r="F206" i="9"/>
  <c r="K206" i="9"/>
  <c r="F207" i="9"/>
  <c r="K207" i="9"/>
  <c r="F208" i="9"/>
  <c r="K208" i="9"/>
  <c r="F213" i="9"/>
  <c r="K213" i="9"/>
  <c r="F214" i="9"/>
  <c r="K214" i="9"/>
  <c r="F215" i="9"/>
  <c r="K215" i="9"/>
  <c r="F216" i="9"/>
  <c r="K216" i="9"/>
  <c r="F217" i="9"/>
  <c r="K217" i="9"/>
  <c r="F222" i="9"/>
  <c r="K222" i="9"/>
  <c r="F223" i="9"/>
  <c r="K223" i="9"/>
  <c r="F224" i="9"/>
  <c r="K224" i="9"/>
  <c r="F225" i="9"/>
  <c r="K225" i="9"/>
  <c r="F226" i="9"/>
  <c r="K226" i="9"/>
  <c r="F232" i="9"/>
  <c r="K232" i="9"/>
  <c r="F233" i="9"/>
  <c r="K233" i="9"/>
  <c r="F234" i="9"/>
  <c r="K234" i="9"/>
  <c r="F235" i="9"/>
  <c r="K235" i="9"/>
  <c r="F236" i="9"/>
  <c r="K236" i="9"/>
  <c r="F241" i="9"/>
  <c r="F242" i="9"/>
  <c r="F243" i="9"/>
  <c r="F244" i="9"/>
  <c r="F245" i="9"/>
  <c r="K260" i="9"/>
  <c r="F310" i="9"/>
  <c r="F311" i="9"/>
  <c r="F312" i="9"/>
  <c r="F313" i="9"/>
  <c r="F314" i="9"/>
  <c r="F319" i="9"/>
  <c r="F323" i="9"/>
  <c r="F339" i="9"/>
  <c r="K339" i="9"/>
  <c r="F340" i="9"/>
  <c r="K340" i="9"/>
  <c r="F341" i="9"/>
  <c r="K341" i="9"/>
  <c r="F342" i="9"/>
  <c r="K342" i="9"/>
  <c r="F343" i="9"/>
  <c r="K343" i="9"/>
  <c r="F348" i="9"/>
  <c r="K348" i="9"/>
  <c r="F349" i="9"/>
  <c r="K349" i="9"/>
  <c r="F350" i="9"/>
  <c r="K350" i="9"/>
  <c r="F351" i="9"/>
  <c r="K351" i="9"/>
  <c r="F352" i="9"/>
  <c r="K352" i="9"/>
  <c r="F359" i="9"/>
  <c r="M359" i="9"/>
  <c r="F360" i="9"/>
  <c r="M360" i="9"/>
  <c r="F361" i="9"/>
  <c r="M361" i="9"/>
  <c r="F362" i="9"/>
  <c r="M362" i="9"/>
  <c r="F363" i="9"/>
  <c r="M363" i="9"/>
  <c r="F369" i="9"/>
  <c r="K369" i="9"/>
  <c r="F370" i="9"/>
  <c r="K370" i="9"/>
  <c r="F371" i="9"/>
  <c r="K371" i="9"/>
  <c r="F372" i="9"/>
  <c r="K372" i="9"/>
  <c r="F373" i="9"/>
  <c r="K373" i="9"/>
  <c r="F378" i="9"/>
  <c r="K378" i="9"/>
  <c r="F379" i="9"/>
  <c r="K379" i="9"/>
  <c r="F380" i="9"/>
  <c r="K380" i="9"/>
  <c r="F381" i="9"/>
  <c r="K381" i="9"/>
  <c r="F382" i="9"/>
  <c r="K382" i="9"/>
  <c r="E387" i="9"/>
  <c r="F387" i="9"/>
  <c r="K387" i="9"/>
  <c r="F388" i="9"/>
  <c r="K388" i="9"/>
  <c r="F389" i="9"/>
  <c r="K389" i="9"/>
  <c r="F390" i="9"/>
  <c r="K390" i="9"/>
  <c r="F391" i="9"/>
  <c r="K391" i="9"/>
  <c r="N1" i="10"/>
  <c r="O3" i="10"/>
  <c r="U3" i="10"/>
  <c r="U4" i="10"/>
  <c r="U5" i="10"/>
  <c r="N1" i="11"/>
  <c r="U4" i="11"/>
  <c r="U5" i="11"/>
  <c r="F10" i="11"/>
  <c r="F11" i="11"/>
  <c r="F12" i="11"/>
  <c r="F13" i="11"/>
  <c r="F14" i="11"/>
  <c r="F103" i="11"/>
  <c r="F104" i="11"/>
  <c r="F105" i="11"/>
  <c r="F106" i="11"/>
  <c r="F107" i="11"/>
  <c r="F114" i="11"/>
  <c r="F115" i="11"/>
  <c r="F116" i="11"/>
  <c r="F117" i="11"/>
  <c r="F118" i="11"/>
  <c r="F128" i="11"/>
  <c r="F129" i="11"/>
  <c r="F130" i="11"/>
  <c r="F131" i="11"/>
  <c r="F132" i="11"/>
  <c r="M1" i="13"/>
  <c r="O3" i="13"/>
  <c r="T3" i="13"/>
  <c r="T4" i="13"/>
  <c r="T5" i="13"/>
  <c r="F9" i="13"/>
  <c r="F10" i="13"/>
  <c r="F11" i="13"/>
  <c r="F12" i="13"/>
  <c r="F13" i="13"/>
  <c r="F19" i="13"/>
  <c r="K19" i="13"/>
  <c r="F20" i="13"/>
  <c r="K20" i="13"/>
  <c r="F21" i="13"/>
  <c r="K21" i="13"/>
  <c r="F22" i="13"/>
  <c r="K22" i="13"/>
  <c r="F23" i="13"/>
  <c r="K23" i="13"/>
  <c r="F30" i="13"/>
  <c r="M30" i="13"/>
  <c r="M31" i="13"/>
  <c r="M32" i="13"/>
  <c r="M33" i="13"/>
  <c r="M34" i="13"/>
  <c r="F52" i="13"/>
  <c r="F53" i="13"/>
  <c r="F54" i="13"/>
  <c r="F55" i="13"/>
  <c r="F56" i="13"/>
  <c r="F61" i="13"/>
  <c r="F62" i="13"/>
  <c r="F63" i="13"/>
  <c r="F64" i="13"/>
  <c r="F65" i="13"/>
  <c r="F86" i="13"/>
  <c r="F87" i="13"/>
  <c r="F88" i="13"/>
  <c r="F89" i="13"/>
  <c r="F90" i="13"/>
  <c r="F144" i="13"/>
  <c r="F145" i="13"/>
  <c r="F146" i="13"/>
  <c r="F147" i="13"/>
  <c r="F148" i="13"/>
  <c r="F204" i="13"/>
  <c r="K204" i="13"/>
  <c r="F205" i="13"/>
  <c r="K205" i="13"/>
  <c r="F206" i="13"/>
  <c r="K206" i="13"/>
  <c r="F207" i="13"/>
  <c r="K207" i="13"/>
  <c r="F208" i="13"/>
  <c r="K208" i="13"/>
  <c r="F213" i="13"/>
  <c r="F214" i="13"/>
  <c r="F215" i="13"/>
  <c r="F216" i="13"/>
  <c r="F217" i="13"/>
  <c r="N1" i="14"/>
  <c r="O3" i="14"/>
  <c r="U3" i="14"/>
  <c r="U4" i="14"/>
  <c r="U5" i="14"/>
  <c r="F22" i="14"/>
  <c r="F23" i="14"/>
  <c r="F24" i="14"/>
  <c r="F25" i="14"/>
  <c r="F26" i="14"/>
  <c r="F64" i="14"/>
  <c r="F65" i="14"/>
  <c r="F66" i="14"/>
  <c r="F67" i="14"/>
  <c r="F68" i="14"/>
  <c r="F73" i="14"/>
  <c r="F74" i="14"/>
  <c r="F75" i="14"/>
  <c r="F76" i="14"/>
  <c r="F77" i="14"/>
  <c r="F103" i="14"/>
  <c r="F104" i="14"/>
  <c r="F105" i="14"/>
  <c r="F123" i="14"/>
  <c r="F124" i="14"/>
  <c r="F125" i="14"/>
  <c r="F126" i="14"/>
  <c r="F127" i="14"/>
  <c r="F149" i="14"/>
  <c r="F150" i="14"/>
  <c r="F151" i="14"/>
  <c r="F152" i="14"/>
  <c r="F153" i="14"/>
  <c r="F168" i="14"/>
  <c r="F169" i="14"/>
  <c r="F170" i="14"/>
  <c r="F171" i="14"/>
  <c r="F172" i="14"/>
  <c r="F178" i="14"/>
  <c r="F179" i="14"/>
  <c r="F180" i="14"/>
  <c r="F181" i="14"/>
  <c r="F182" i="14"/>
  <c r="F205" i="14"/>
  <c r="F206" i="14"/>
  <c r="F207" i="14"/>
  <c r="F208" i="14"/>
  <c r="F209" i="14"/>
  <c r="F219" i="14"/>
  <c r="F220" i="14"/>
  <c r="G13" i="15"/>
  <c r="G19" i="15"/>
  <c r="G25" i="15"/>
  <c r="G31" i="15"/>
  <c r="G37" i="15"/>
  <c r="G43" i="15"/>
  <c r="G49" i="15"/>
  <c r="G55" i="15"/>
  <c r="G14" i="15"/>
  <c r="G20" i="15"/>
  <c r="G26" i="15"/>
  <c r="G32" i="15"/>
  <c r="G38" i="15"/>
  <c r="G44" i="15"/>
  <c r="G50" i="15"/>
  <c r="G56" i="15"/>
  <c r="G15" i="15"/>
  <c r="G21" i="15"/>
  <c r="G27" i="15"/>
  <c r="G33" i="15"/>
  <c r="G39" i="15"/>
  <c r="G45" i="15"/>
  <c r="G51" i="15"/>
  <c r="G57" i="15"/>
  <c r="G16" i="15"/>
  <c r="G22" i="15"/>
  <c r="G28" i="15"/>
  <c r="G34" i="15"/>
  <c r="G40" i="15"/>
  <c r="G46" i="15"/>
  <c r="G52" i="15"/>
  <c r="G58" i="15"/>
  <c r="G17" i="15"/>
  <c r="G23" i="15"/>
  <c r="G29" i="15"/>
  <c r="G35" i="15"/>
  <c r="G41" i="15"/>
  <c r="G47" i="15"/>
  <c r="G53" i="15"/>
  <c r="G59" i="15"/>
  <c r="G18" i="15"/>
  <c r="G24" i="15"/>
  <c r="G30" i="15"/>
  <c r="G36" i="15"/>
  <c r="G42" i="15"/>
  <c r="G48" i="15"/>
  <c r="G54" i="15"/>
  <c r="G60" i="15"/>
  <c r="I76" i="15"/>
  <c r="J76" i="15"/>
  <c r="K76" i="15"/>
  <c r="O76" i="15"/>
  <c r="P76" i="15"/>
  <c r="Q76" i="15"/>
  <c r="I79" i="15"/>
  <c r="J79" i="15"/>
  <c r="K79" i="15"/>
  <c r="O79" i="15"/>
  <c r="P79" i="15"/>
  <c r="Q79" i="15"/>
  <c r="I82" i="15"/>
  <c r="J82" i="15"/>
  <c r="K82" i="15"/>
  <c r="O82" i="15"/>
  <c r="P82" i="15"/>
  <c r="Q82" i="15"/>
  <c r="I85" i="15"/>
  <c r="J85" i="15"/>
  <c r="K85" i="15"/>
  <c r="O85" i="15"/>
  <c r="P85" i="15"/>
  <c r="Q85" i="15"/>
  <c r="J88" i="15"/>
  <c r="K88" i="15"/>
  <c r="O88" i="15"/>
  <c r="P88" i="15"/>
  <c r="Q88" i="15"/>
  <c r="I91" i="15"/>
  <c r="J91" i="15"/>
  <c r="K91" i="15"/>
  <c r="O91" i="15"/>
  <c r="P91" i="15"/>
  <c r="Q91" i="15"/>
  <c r="F2" i="16"/>
  <c r="F3" i="16"/>
  <c r="D7" i="16"/>
  <c r="E7" i="16"/>
  <c r="D36" i="16"/>
  <c r="E36" i="16"/>
  <c r="D38" i="16"/>
  <c r="E38" i="16"/>
  <c r="D39" i="16"/>
  <c r="E39" i="16"/>
  <c r="D41" i="16"/>
  <c r="E41" i="16"/>
  <c r="D42" i="16"/>
  <c r="E42" i="16"/>
  <c r="D43" i="16"/>
  <c r="E43" i="16"/>
  <c r="F2" i="17"/>
  <c r="F3" i="17"/>
  <c r="D7" i="17"/>
  <c r="E7" i="17"/>
  <c r="L9" i="18"/>
  <c r="W8" i="18"/>
  <c r="X8" i="18"/>
  <c r="K37" i="18"/>
  <c r="H96" i="18"/>
  <c r="H115" i="18"/>
  <c r="L116" i="18"/>
  <c r="L159" i="18"/>
  <c r="CF127" i="18"/>
  <c r="CF128" i="18"/>
  <c r="CF129" i="18"/>
  <c r="CF130" i="18"/>
  <c r="CF131" i="18"/>
  <c r="CF132" i="18"/>
  <c r="CF133" i="18"/>
  <c r="CF134" i="18"/>
  <c r="BA160" i="18"/>
  <c r="BB160" i="18"/>
  <c r="BC160" i="18"/>
  <c r="BD160" i="18"/>
  <c r="BE160" i="18"/>
  <c r="BF160" i="18"/>
  <c r="BG160" i="18"/>
  <c r="BH160" i="18"/>
  <c r="BI160" i="18"/>
  <c r="BJ160" i="18"/>
  <c r="BR160" i="18"/>
  <c r="BS160" i="18"/>
  <c r="BT160" i="18"/>
  <c r="BU160" i="18"/>
  <c r="BV160" i="18"/>
  <c r="BW160" i="18"/>
  <c r="BX160" i="18"/>
  <c r="BY160" i="18"/>
  <c r="BZ160" i="18"/>
  <c r="CA160" i="18"/>
  <c r="BA161" i="18"/>
  <c r="BB161" i="18"/>
  <c r="BC161" i="18"/>
  <c r="BD161" i="18"/>
  <c r="BE161" i="18"/>
  <c r="BF161" i="18"/>
  <c r="BG161" i="18"/>
  <c r="BH161" i="18"/>
  <c r="BI161" i="18"/>
  <c r="BJ161" i="18"/>
  <c r="BR161" i="18"/>
  <c r="BS161" i="18"/>
  <c r="BT161" i="18"/>
  <c r="BU161" i="18"/>
  <c r="BV161" i="18"/>
  <c r="BW161" i="18"/>
  <c r="BX161" i="18"/>
  <c r="BY161" i="18"/>
  <c r="BZ161" i="18"/>
  <c r="CA161" i="18"/>
  <c r="BA169" i="18"/>
  <c r="BB169" i="18"/>
  <c r="BC169" i="18"/>
  <c r="BD169" i="18"/>
  <c r="BE169" i="18"/>
  <c r="BF169" i="18"/>
  <c r="BG169" i="18"/>
  <c r="BH169" i="18"/>
  <c r="BI169" i="18"/>
  <c r="BJ169" i="18"/>
  <c r="BR169" i="18"/>
  <c r="BS169" i="18"/>
  <c r="BT169" i="18"/>
  <c r="BU169" i="18"/>
  <c r="BV169" i="18"/>
  <c r="BW169" i="18"/>
  <c r="BX169" i="18"/>
  <c r="BY169" i="18"/>
  <c r="BZ169" i="18"/>
  <c r="CA169" i="18"/>
  <c r="F90" i="10"/>
  <c r="F89" i="10"/>
  <c r="G33" i="20"/>
  <c r="F45" i="20"/>
  <c r="F54" i="20"/>
  <c r="F44" i="20"/>
  <c r="F118" i="6"/>
  <c r="G35" i="20"/>
  <c r="J49" i="2"/>
  <c r="S10" i="6"/>
  <c r="U7" i="6"/>
  <c r="F17" i="6"/>
  <c r="J57" i="2"/>
  <c r="S18" i="6"/>
  <c r="J54" i="2"/>
  <c r="S15" i="6"/>
  <c r="M149" i="5"/>
  <c r="V149" i="5"/>
  <c r="M43" i="5"/>
  <c r="V43" i="5"/>
  <c r="M29" i="5"/>
  <c r="V29" i="5"/>
  <c r="O15" i="5"/>
  <c r="X15" i="5"/>
  <c r="F322" i="9"/>
  <c r="M180" i="5"/>
  <c r="V180" i="5"/>
  <c r="M150" i="5"/>
  <c r="V150" i="5"/>
  <c r="M101" i="5"/>
  <c r="V101" i="5"/>
  <c r="M84" i="5"/>
  <c r="V84" i="5"/>
  <c r="M80" i="5"/>
  <c r="K103" i="6"/>
  <c r="K111" i="6"/>
  <c r="M66" i="5"/>
  <c r="V66" i="5"/>
  <c r="O51" i="5"/>
  <c r="X51" i="5"/>
  <c r="O41" i="5"/>
  <c r="L41" i="18"/>
  <c r="F189" i="14"/>
  <c r="F321" i="9"/>
  <c r="M165" i="5"/>
  <c r="K165" i="18"/>
  <c r="M162" i="5"/>
  <c r="K162" i="18"/>
  <c r="P125" i="5"/>
  <c r="X124" i="5"/>
  <c r="O124" i="5"/>
  <c r="M100" i="5"/>
  <c r="V100" i="5"/>
  <c r="M51" i="5"/>
  <c r="V51" i="5"/>
  <c r="M46" i="5"/>
  <c r="V46" i="5"/>
  <c r="M36" i="5"/>
  <c r="V36" i="5"/>
  <c r="M23" i="5"/>
  <c r="K23" i="18"/>
  <c r="V18" i="5"/>
  <c r="M18" i="5"/>
  <c r="H34" i="6"/>
  <c r="I53" i="6"/>
  <c r="I75" i="6"/>
  <c r="O17" i="5"/>
  <c r="X17" i="5"/>
  <c r="G159" i="15"/>
  <c r="H159" i="15"/>
  <c r="J105" i="20"/>
  <c r="M129" i="5"/>
  <c r="K129" i="18"/>
  <c r="E30" i="21"/>
  <c r="M55" i="5"/>
  <c r="V55" i="5"/>
  <c r="M166" i="5"/>
  <c r="V166" i="5"/>
  <c r="M144" i="5"/>
  <c r="K144" i="18"/>
  <c r="M85" i="5"/>
  <c r="K84" i="18"/>
  <c r="K49" i="18"/>
  <c r="M49" i="5"/>
  <c r="M38" i="5"/>
  <c r="K38" i="18"/>
  <c r="O37" i="5"/>
  <c r="X37" i="5"/>
  <c r="O19" i="5"/>
  <c r="L19" i="18"/>
  <c r="M16" i="5"/>
  <c r="V16" i="5"/>
  <c r="S95" i="5"/>
  <c r="M88" i="5"/>
  <c r="K88" i="18"/>
  <c r="M52" i="5"/>
  <c r="V52" i="5"/>
  <c r="O46" i="5"/>
  <c r="X46" i="5"/>
  <c r="O36" i="5"/>
  <c r="L36" i="18"/>
  <c r="M24" i="5"/>
  <c r="V24" i="5"/>
  <c r="F34" i="13"/>
  <c r="M177" i="5"/>
  <c r="V177" i="5"/>
  <c r="M151" i="5"/>
  <c r="K151" i="18"/>
  <c r="M103" i="5"/>
  <c r="V103" i="5"/>
  <c r="M83" i="5"/>
  <c r="V83" i="5"/>
  <c r="M78" i="5"/>
  <c r="V78" i="5"/>
  <c r="M69" i="5"/>
  <c r="V69" i="5"/>
  <c r="O65" i="5"/>
  <c r="L65" i="18"/>
  <c r="M57" i="5"/>
  <c r="K57" i="18"/>
  <c r="M41" i="5"/>
  <c r="V41" i="5"/>
  <c r="O38" i="5"/>
  <c r="X38" i="5"/>
  <c r="M30" i="5"/>
  <c r="K30" i="18"/>
  <c r="M17" i="5"/>
  <c r="K17" i="18"/>
  <c r="H41" i="6"/>
  <c r="O41" i="6"/>
  <c r="I58" i="6"/>
  <c r="M40" i="5"/>
  <c r="K40" i="18"/>
  <c r="M142" i="5"/>
  <c r="V142" i="5"/>
  <c r="I95" i="15"/>
  <c r="I96" i="15"/>
  <c r="N167" i="15"/>
  <c r="R168" i="15"/>
  <c r="E86" i="17"/>
  <c r="G156" i="15"/>
  <c r="H156" i="15"/>
  <c r="J102" i="20"/>
  <c r="H111" i="20"/>
  <c r="H105" i="20"/>
  <c r="H102" i="20"/>
  <c r="H99" i="20"/>
  <c r="I58" i="15"/>
  <c r="N58" i="15"/>
  <c r="J58" i="15"/>
  <c r="Q58" i="15"/>
  <c r="M58" i="15"/>
  <c r="P58" i="15"/>
  <c r="L58" i="15"/>
  <c r="O58" i="15"/>
  <c r="K58" i="15"/>
  <c r="K33" i="18"/>
  <c r="V33" i="5"/>
  <c r="K32" i="18"/>
  <c r="V32" i="5"/>
  <c r="J109" i="6"/>
  <c r="S120" i="5"/>
  <c r="G165" i="15"/>
  <c r="H165" i="15"/>
  <c r="J111" i="20"/>
  <c r="C63" i="2"/>
  <c r="J30" i="6"/>
  <c r="J41" i="6"/>
  <c r="I54" i="6"/>
  <c r="J65" i="6"/>
  <c r="H71" i="6"/>
  <c r="O71" i="6"/>
  <c r="I82" i="6"/>
  <c r="J87" i="6"/>
  <c r="J106" i="6"/>
  <c r="O14" i="6"/>
  <c r="J28" i="6"/>
  <c r="H32" i="6"/>
  <c r="H40" i="6"/>
  <c r="O40" i="6"/>
  <c r="H44" i="6"/>
  <c r="O44" i="6"/>
  <c r="H48" i="6"/>
  <c r="O48" i="6"/>
  <c r="H53" i="6"/>
  <c r="O53" i="6"/>
  <c r="J56" i="6"/>
  <c r="H62" i="6"/>
  <c r="O62" i="6"/>
  <c r="J68" i="6"/>
  <c r="H74" i="6"/>
  <c r="O74" i="6"/>
  <c r="H79" i="6"/>
  <c r="O79" i="6"/>
  <c r="H85" i="6"/>
  <c r="O85" i="6"/>
  <c r="I90" i="6"/>
  <c r="I107" i="6"/>
  <c r="I108" i="6"/>
  <c r="O13" i="6"/>
  <c r="I26" i="6"/>
  <c r="I34" i="6"/>
  <c r="I46" i="6"/>
  <c r="J50" i="6"/>
  <c r="J59" i="6"/>
  <c r="J77" i="6"/>
  <c r="O104" i="6"/>
  <c r="J111" i="6"/>
  <c r="O17" i="6"/>
  <c r="I27" i="6"/>
  <c r="J31" i="6"/>
  <c r="J38" i="6"/>
  <c r="J43" i="6"/>
  <c r="H47" i="6"/>
  <c r="O47" i="6"/>
  <c r="H51" i="6"/>
  <c r="O51" i="6"/>
  <c r="I56" i="6"/>
  <c r="J61" i="6"/>
  <c r="I66" i="6"/>
  <c r="J72" i="6"/>
  <c r="H78" i="6"/>
  <c r="O78" i="6"/>
  <c r="I83" i="6"/>
  <c r="H90" i="6"/>
  <c r="O90" i="6"/>
  <c r="J105" i="6"/>
  <c r="O15" i="6"/>
  <c r="J26" i="6"/>
  <c r="H30" i="6"/>
  <c r="I33" i="6"/>
  <c r="H39" i="6"/>
  <c r="O39" i="6"/>
  <c r="I42" i="6"/>
  <c r="J45" i="6"/>
  <c r="H49" i="6"/>
  <c r="J51" i="6"/>
  <c r="H55" i="6"/>
  <c r="O55" i="6"/>
  <c r="I59" i="6"/>
  <c r="I63" i="6"/>
  <c r="I68" i="6"/>
  <c r="J71" i="6"/>
  <c r="J75" i="6"/>
  <c r="J80" i="6"/>
  <c r="J84" i="6"/>
  <c r="I88" i="6"/>
  <c r="O103" i="6"/>
  <c r="I106" i="6"/>
  <c r="J108" i="6"/>
  <c r="O109" i="6"/>
  <c r="O110" i="6"/>
  <c r="O111" i="6"/>
  <c r="X41" i="5"/>
  <c r="H10" i="15"/>
  <c r="H28" i="6"/>
  <c r="I30" i="6"/>
  <c r="J32" i="6"/>
  <c r="I38" i="6"/>
  <c r="I40" i="6"/>
  <c r="J42" i="6"/>
  <c r="I45" i="6"/>
  <c r="J47" i="6"/>
  <c r="J49" i="6"/>
  <c r="I52" i="6"/>
  <c r="J54" i="6"/>
  <c r="J57" i="6"/>
  <c r="H61" i="6"/>
  <c r="O61" i="6"/>
  <c r="J63" i="6"/>
  <c r="H67" i="6"/>
  <c r="O67" i="6"/>
  <c r="I70" i="6"/>
  <c r="J73" i="6"/>
  <c r="I76" i="6"/>
  <c r="J79" i="6"/>
  <c r="H83" i="6"/>
  <c r="O83" i="6"/>
  <c r="H86" i="6"/>
  <c r="O86" i="6"/>
  <c r="J89" i="6"/>
  <c r="I103" i="6"/>
  <c r="O105" i="6"/>
  <c r="I109" i="6"/>
  <c r="H111" i="6"/>
  <c r="H46" i="15"/>
  <c r="H22" i="15"/>
  <c r="H40" i="15"/>
  <c r="H16" i="15"/>
  <c r="H34" i="15"/>
  <c r="F32" i="13"/>
  <c r="F33" i="13"/>
  <c r="F31" i="13"/>
  <c r="J47" i="2"/>
  <c r="G277" i="9"/>
  <c r="L62" i="2"/>
  <c r="L61" i="2"/>
  <c r="H109" i="20"/>
  <c r="E39" i="21"/>
  <c r="H39" i="21"/>
  <c r="G162" i="15"/>
  <c r="H162" i="15"/>
  <c r="J108" i="20"/>
  <c r="E38" i="21"/>
  <c r="H38" i="21"/>
  <c r="G161" i="15"/>
  <c r="H161" i="15"/>
  <c r="J107" i="20"/>
  <c r="E37" i="21"/>
  <c r="G160" i="15"/>
  <c r="H160" i="15"/>
  <c r="J106" i="20"/>
  <c r="E36" i="21"/>
  <c r="H36" i="21"/>
  <c r="G158" i="15"/>
  <c r="H158" i="15"/>
  <c r="J104" i="20"/>
  <c r="H104" i="20"/>
  <c r="G157" i="15"/>
  <c r="H157" i="15"/>
  <c r="J103" i="20"/>
  <c r="E32" i="21"/>
  <c r="H32" i="21"/>
  <c r="H103" i="20"/>
  <c r="G154" i="15"/>
  <c r="H154" i="15"/>
  <c r="J100" i="20"/>
  <c r="F56" i="10"/>
  <c r="F61" i="10"/>
  <c r="J286" i="9"/>
  <c r="J278" i="9"/>
  <c r="L74" i="18"/>
  <c r="K41" i="18"/>
  <c r="V123" i="5"/>
  <c r="K130" i="18"/>
  <c r="L73" i="18"/>
  <c r="K69" i="18"/>
  <c r="L89" i="18"/>
  <c r="K83" i="18"/>
  <c r="L68" i="18"/>
  <c r="X68" i="5"/>
  <c r="L100" i="18"/>
  <c r="X100" i="5"/>
  <c r="K16" i="18"/>
  <c r="K101" i="18"/>
  <c r="K177" i="18"/>
  <c r="K100" i="18"/>
  <c r="K85" i="18"/>
  <c r="K18" i="18"/>
  <c r="K168" i="18"/>
  <c r="V168" i="5"/>
  <c r="V56" i="5"/>
  <c r="K56" i="18"/>
  <c r="X64" i="5"/>
  <c r="L64" i="18"/>
  <c r="K66" i="18"/>
  <c r="K46" i="18"/>
  <c r="K131" i="18"/>
  <c r="L17" i="18"/>
  <c r="V128" i="5"/>
  <c r="K55" i="18"/>
  <c r="K43" i="18"/>
  <c r="K103" i="18"/>
  <c r="L84" i="18"/>
  <c r="G151" i="15"/>
  <c r="H151" i="15"/>
  <c r="J97" i="20"/>
  <c r="G163" i="15"/>
  <c r="H163" i="15"/>
  <c r="J109" i="20"/>
  <c r="H107" i="20"/>
  <c r="H101" i="20"/>
  <c r="H100" i="20"/>
  <c r="H106" i="20"/>
  <c r="F72" i="8"/>
  <c r="K348" i="8"/>
  <c r="F160" i="11"/>
  <c r="O11" i="6"/>
  <c r="O12" i="6"/>
  <c r="H26" i="6"/>
  <c r="J27" i="6"/>
  <c r="I29" i="6"/>
  <c r="I31" i="6"/>
  <c r="H33" i="6"/>
  <c r="J34" i="6"/>
  <c r="J39" i="6"/>
  <c r="I41" i="6"/>
  <c r="H43" i="6"/>
  <c r="O43" i="6"/>
  <c r="H45" i="6"/>
  <c r="O45" i="6"/>
  <c r="J46" i="6"/>
  <c r="I48" i="6"/>
  <c r="I50" i="6"/>
  <c r="H52" i="6"/>
  <c r="O52" i="6"/>
  <c r="J53" i="6"/>
  <c r="J55" i="6"/>
  <c r="H58" i="6"/>
  <c r="O58" i="6"/>
  <c r="I60" i="6"/>
  <c r="H63" i="6"/>
  <c r="O63" i="6"/>
  <c r="H65" i="6"/>
  <c r="O65" i="6"/>
  <c r="I67" i="6"/>
  <c r="H70" i="6"/>
  <c r="O70" i="6"/>
  <c r="I72" i="6"/>
  <c r="I74" i="6"/>
  <c r="H77" i="6"/>
  <c r="O77" i="6"/>
  <c r="I79" i="6"/>
  <c r="J81" i="6"/>
  <c r="I84" i="6"/>
  <c r="I86" i="6"/>
  <c r="J88" i="6"/>
  <c r="I91" i="6"/>
  <c r="I104" i="6"/>
  <c r="H106" i="6"/>
  <c r="O106" i="6"/>
  <c r="J107" i="6"/>
  <c r="H109" i="6"/>
  <c r="I110" i="6"/>
  <c r="J104" i="6"/>
  <c r="Y8" i="18"/>
  <c r="K52" i="18"/>
  <c r="K129" i="20"/>
  <c r="N127" i="20"/>
  <c r="F39" i="11"/>
  <c r="K180" i="18"/>
  <c r="V127" i="5"/>
  <c r="K127" i="18"/>
  <c r="K136" i="18"/>
  <c r="V136" i="5"/>
  <c r="F159" i="11"/>
  <c r="N120" i="20"/>
  <c r="F41" i="11"/>
  <c r="F161" i="11"/>
  <c r="G48" i="11"/>
  <c r="G52" i="11"/>
  <c r="G49" i="11"/>
  <c r="G50" i="11"/>
  <c r="G51" i="11"/>
  <c r="V57" i="5"/>
  <c r="K51" i="18"/>
  <c r="V40" i="5"/>
  <c r="K29" i="18"/>
  <c r="L91" i="18"/>
  <c r="L87" i="18"/>
  <c r="V59" i="5"/>
  <c r="K59" i="18"/>
  <c r="H27" i="4"/>
  <c r="V36" i="4"/>
  <c r="H36" i="4"/>
  <c r="H17" i="15"/>
  <c r="H29" i="15"/>
  <c r="O87" i="6"/>
  <c r="V68" i="5"/>
  <c r="K68" i="18"/>
  <c r="K99" i="18"/>
  <c r="V99" i="5"/>
  <c r="K22" i="18"/>
  <c r="V22" i="5"/>
  <c r="S111" i="5"/>
  <c r="M111" i="5"/>
  <c r="F35" i="10"/>
  <c r="F36" i="10"/>
  <c r="F34" i="10"/>
  <c r="F37" i="10"/>
  <c r="S110" i="5"/>
  <c r="M110" i="5"/>
  <c r="F11" i="10"/>
  <c r="F10" i="10"/>
  <c r="F12" i="10"/>
  <c r="F8" i="10"/>
  <c r="F33" i="10"/>
  <c r="K120" i="8"/>
  <c r="M147" i="8"/>
  <c r="K129" i="8"/>
  <c r="F81" i="8"/>
  <c r="F34" i="14"/>
  <c r="S163" i="5"/>
  <c r="F32" i="14"/>
  <c r="F33" i="14"/>
  <c r="F31" i="14"/>
  <c r="F35" i="14"/>
  <c r="K145" i="18"/>
  <c r="V145" i="5"/>
  <c r="V64" i="5"/>
  <c r="K64" i="18"/>
  <c r="K166" i="18"/>
  <c r="F9" i="10"/>
  <c r="K94" i="18"/>
  <c r="V94" i="5"/>
  <c r="V50" i="5"/>
  <c r="K50" i="18"/>
  <c r="X30" i="5"/>
  <c r="L30" i="18"/>
  <c r="V25" i="5"/>
  <c r="K25" i="18"/>
  <c r="V19" i="5"/>
  <c r="K19" i="18"/>
  <c r="K156" i="18"/>
  <c r="V156" i="5"/>
  <c r="V65" i="5"/>
  <c r="K65" i="18"/>
  <c r="K24" i="18"/>
  <c r="V173" i="5"/>
  <c r="K173" i="18"/>
  <c r="K54" i="18"/>
  <c r="V54" i="5"/>
  <c r="X40" i="5"/>
  <c r="L40" i="18"/>
  <c r="V175" i="5"/>
  <c r="K175" i="18"/>
  <c r="F102" i="14"/>
  <c r="F106" i="14"/>
  <c r="V148" i="5"/>
  <c r="K148" i="18"/>
  <c r="S114" i="5"/>
  <c r="F88" i="10"/>
  <c r="F92" i="10"/>
  <c r="F91" i="10"/>
  <c r="G28" i="11"/>
  <c r="K122" i="18"/>
  <c r="V122" i="5"/>
  <c r="O63" i="2"/>
  <c r="X52" i="5"/>
  <c r="L52" i="18"/>
  <c r="X24" i="5"/>
  <c r="L24" i="18"/>
  <c r="L57" i="18"/>
  <c r="X57" i="5"/>
  <c r="L66" i="2"/>
  <c r="O45" i="8"/>
  <c r="U32" i="4"/>
  <c r="V28" i="4"/>
  <c r="U33" i="4"/>
  <c r="F158" i="11"/>
  <c r="F162" i="11"/>
  <c r="F40" i="11"/>
  <c r="F38" i="11"/>
  <c r="P3" i="18"/>
  <c r="AE22" i="18"/>
  <c r="G45" i="8"/>
  <c r="H52" i="15"/>
  <c r="H28" i="15"/>
  <c r="H110" i="6"/>
  <c r="O108" i="6"/>
  <c r="O107" i="6"/>
  <c r="I105" i="6"/>
  <c r="H104" i="6"/>
  <c r="H103" i="6"/>
  <c r="J90" i="6"/>
  <c r="I89" i="6"/>
  <c r="H88" i="6"/>
  <c r="J86" i="6"/>
  <c r="I85" i="6"/>
  <c r="H84" i="6"/>
  <c r="J82" i="6"/>
  <c r="I81" i="6"/>
  <c r="H80" i="6"/>
  <c r="J78" i="6"/>
  <c r="I77" i="6"/>
  <c r="H76" i="6"/>
  <c r="J74" i="6"/>
  <c r="I73" i="6"/>
  <c r="H72" i="6"/>
  <c r="J70" i="6"/>
  <c r="I69" i="6"/>
  <c r="H68" i="6"/>
  <c r="J66" i="6"/>
  <c r="I65" i="6"/>
  <c r="H64" i="6"/>
  <c r="J62" i="6"/>
  <c r="I61" i="6"/>
  <c r="H60" i="6"/>
  <c r="J58" i="6"/>
  <c r="I57" i="6"/>
  <c r="H56" i="6"/>
  <c r="I111" i="6"/>
  <c r="J110" i="6"/>
  <c r="H105" i="6"/>
  <c r="J103" i="6"/>
  <c r="H91" i="6"/>
  <c r="H89" i="6"/>
  <c r="I87" i="6"/>
  <c r="L87" i="6"/>
  <c r="J85" i="6"/>
  <c r="J83" i="6"/>
  <c r="H82" i="6"/>
  <c r="I80" i="6"/>
  <c r="I78" i="6"/>
  <c r="J76" i="6"/>
  <c r="H75" i="6"/>
  <c r="H73" i="6"/>
  <c r="I71" i="6"/>
  <c r="J69" i="6"/>
  <c r="J67" i="6"/>
  <c r="H66" i="6"/>
  <c r="I64" i="6"/>
  <c r="I62" i="6"/>
  <c r="J60" i="6"/>
  <c r="H59" i="6"/>
  <c r="H57" i="6"/>
  <c r="I55" i="6"/>
  <c r="H54" i="6"/>
  <c r="J52" i="6"/>
  <c r="I51" i="6"/>
  <c r="H50" i="6"/>
  <c r="J48" i="6"/>
  <c r="I47" i="6"/>
  <c r="H46" i="6"/>
  <c r="J44" i="6"/>
  <c r="L44" i="6"/>
  <c r="I43" i="6"/>
  <c r="H42" i="6"/>
  <c r="J40" i="6"/>
  <c r="I39" i="6"/>
  <c r="H38" i="6"/>
  <c r="J33" i="6"/>
  <c r="I32" i="6"/>
  <c r="H31" i="6"/>
  <c r="J29" i="6"/>
  <c r="I28" i="6"/>
  <c r="H27" i="6"/>
  <c r="O18" i="6"/>
  <c r="O16" i="6"/>
  <c r="O10" i="6"/>
  <c r="H108" i="6"/>
  <c r="K139" i="18"/>
  <c r="V139" i="5"/>
  <c r="H107" i="6"/>
  <c r="J50" i="3"/>
  <c r="E87" i="17"/>
  <c r="K78" i="8"/>
  <c r="F91" i="8"/>
  <c r="K104" i="8"/>
  <c r="K113" i="8"/>
  <c r="F127" i="8"/>
  <c r="F147" i="8"/>
  <c r="F156" i="8"/>
  <c r="F173" i="8"/>
  <c r="F226" i="8"/>
  <c r="K240" i="8"/>
  <c r="K249" i="8"/>
  <c r="F346" i="8"/>
  <c r="F355" i="8"/>
  <c r="K77" i="18"/>
  <c r="V77" i="5"/>
  <c r="V82" i="5"/>
  <c r="K82" i="18"/>
  <c r="F243" i="8"/>
  <c r="K175" i="8"/>
  <c r="F107" i="8"/>
  <c r="X43" i="5"/>
  <c r="L43" i="18"/>
  <c r="F84" i="14"/>
  <c r="S167" i="5"/>
  <c r="M167" i="5"/>
  <c r="F83" i="14"/>
  <c r="F86" i="14"/>
  <c r="F82" i="14"/>
  <c r="F85" i="14"/>
  <c r="X54" i="5"/>
  <c r="L54" i="18"/>
  <c r="L55" i="18"/>
  <c r="X55" i="5"/>
  <c r="K229" i="8"/>
  <c r="K94" i="8"/>
  <c r="V87" i="5"/>
  <c r="K87" i="18"/>
  <c r="V15" i="5"/>
  <c r="K15" i="18"/>
  <c r="F71" i="8"/>
  <c r="F73" i="8"/>
  <c r="F75" i="8"/>
  <c r="F78" i="8"/>
  <c r="F80" i="8"/>
  <c r="K88" i="8"/>
  <c r="K90" i="8"/>
  <c r="K93" i="8"/>
  <c r="K95" i="8"/>
  <c r="K97" i="8"/>
  <c r="F104" i="8"/>
  <c r="F106" i="8"/>
  <c r="F109" i="8"/>
  <c r="F111" i="8"/>
  <c r="F113" i="8"/>
  <c r="K119" i="8"/>
  <c r="K121" i="8"/>
  <c r="K123" i="8"/>
  <c r="K126" i="8"/>
  <c r="K128" i="8"/>
  <c r="M146" i="8"/>
  <c r="M148" i="8"/>
  <c r="M150" i="8"/>
  <c r="M153" i="8"/>
  <c r="M155" i="8"/>
  <c r="K172" i="8"/>
  <c r="K174" i="8"/>
  <c r="K177" i="8"/>
  <c r="K179" i="8"/>
  <c r="K181" i="8"/>
  <c r="K223" i="8"/>
  <c r="K225" i="8"/>
  <c r="K227" i="8"/>
  <c r="K230" i="8"/>
  <c r="K232" i="8"/>
  <c r="F240" i="8"/>
  <c r="F242" i="8"/>
  <c r="F244" i="8"/>
  <c r="F247" i="8"/>
  <c r="F249" i="8"/>
  <c r="K347" i="8"/>
  <c r="K349" i="8"/>
  <c r="K352" i="8"/>
  <c r="K354" i="8"/>
  <c r="K356" i="8"/>
  <c r="K72" i="8"/>
  <c r="K74" i="8"/>
  <c r="K77" i="8"/>
  <c r="K79" i="8"/>
  <c r="K81" i="8"/>
  <c r="F88" i="8"/>
  <c r="F90" i="8"/>
  <c r="F93" i="8"/>
  <c r="F95" i="8"/>
  <c r="F97" i="8"/>
  <c r="K103" i="8"/>
  <c r="K105" i="8"/>
  <c r="K107" i="8"/>
  <c r="K110" i="8"/>
  <c r="K112" i="8"/>
  <c r="F119" i="8"/>
  <c r="F121" i="8"/>
  <c r="F123" i="8"/>
  <c r="F126" i="8"/>
  <c r="F128" i="8"/>
  <c r="F146" i="8"/>
  <c r="F148" i="8"/>
  <c r="F150" i="8"/>
  <c r="F153" i="8"/>
  <c r="F155" i="8"/>
  <c r="F172" i="8"/>
  <c r="F174" i="8"/>
  <c r="F177" i="8"/>
  <c r="F179" i="8"/>
  <c r="F181" i="8"/>
  <c r="F223" i="8"/>
  <c r="F225" i="8"/>
  <c r="F227" i="8"/>
  <c r="F230" i="8"/>
  <c r="F232" i="8"/>
  <c r="K241" i="8"/>
  <c r="K243" i="8"/>
  <c r="K246" i="8"/>
  <c r="K248" i="8"/>
  <c r="K250" i="8"/>
  <c r="F347" i="8"/>
  <c r="F349" i="8"/>
  <c r="F352" i="8"/>
  <c r="F354" i="8"/>
  <c r="F356" i="8"/>
  <c r="K71" i="8"/>
  <c r="K75" i="8"/>
  <c r="K80" i="8"/>
  <c r="F89" i="8"/>
  <c r="F94" i="8"/>
  <c r="K106" i="8"/>
  <c r="K111" i="8"/>
  <c r="F120" i="8"/>
  <c r="F125" i="8"/>
  <c r="F129" i="8"/>
  <c r="M149" i="8"/>
  <c r="M154" i="8"/>
  <c r="F171" i="8"/>
  <c r="F175" i="8"/>
  <c r="F180" i="8"/>
  <c r="F224" i="8"/>
  <c r="F229" i="8"/>
  <c r="F233" i="8"/>
  <c r="K242" i="8"/>
  <c r="K247" i="8"/>
  <c r="F348" i="8"/>
  <c r="F353" i="8"/>
  <c r="F74" i="8"/>
  <c r="F79" i="8"/>
  <c r="K87" i="8"/>
  <c r="K91" i="8"/>
  <c r="K96" i="8"/>
  <c r="F105" i="8"/>
  <c r="F110" i="8"/>
  <c r="K122" i="8"/>
  <c r="K127" i="8"/>
  <c r="F149" i="8"/>
  <c r="F154" i="8"/>
  <c r="K173" i="8"/>
  <c r="K178" i="8"/>
  <c r="K226" i="8"/>
  <c r="K231" i="8"/>
  <c r="F241" i="8"/>
  <c r="F246" i="8"/>
  <c r="F250" i="8"/>
  <c r="K346" i="8"/>
  <c r="K350" i="8"/>
  <c r="K355" i="8"/>
  <c r="V157" i="5"/>
  <c r="K157" i="18"/>
  <c r="F350" i="8"/>
  <c r="K244" i="8"/>
  <c r="F231" i="8"/>
  <c r="F178" i="8"/>
  <c r="F152" i="8"/>
  <c r="F122" i="8"/>
  <c r="K109" i="8"/>
  <c r="F96" i="8"/>
  <c r="F87" i="8"/>
  <c r="K73" i="8"/>
  <c r="S179" i="5"/>
  <c r="M179" i="5"/>
  <c r="F218" i="14"/>
  <c r="F217" i="14"/>
  <c r="F216" i="14"/>
  <c r="K108" i="18"/>
  <c r="V108" i="5"/>
  <c r="K104" i="18"/>
  <c r="V104" i="5"/>
  <c r="X101" i="5"/>
  <c r="L101" i="18"/>
  <c r="V89" i="5"/>
  <c r="K89" i="18"/>
  <c r="V81" i="5"/>
  <c r="K81" i="18"/>
  <c r="V28" i="5"/>
  <c r="K28" i="18"/>
  <c r="V147" i="5"/>
  <c r="K147" i="18"/>
  <c r="S154" i="5"/>
  <c r="M154" i="5"/>
  <c r="F173" i="13"/>
  <c r="F172" i="13"/>
  <c r="F174" i="13"/>
  <c r="F171" i="13"/>
  <c r="K106" i="18"/>
  <c r="V106" i="5"/>
  <c r="K353" i="8"/>
  <c r="F248" i="8"/>
  <c r="K233" i="8"/>
  <c r="K224" i="8"/>
  <c r="K180" i="8"/>
  <c r="K171" i="8"/>
  <c r="M152" i="8"/>
  <c r="K125" i="8"/>
  <c r="F112" i="8"/>
  <c r="F103" i="8"/>
  <c r="K89" i="8"/>
  <c r="F77" i="8"/>
  <c r="V172" i="5"/>
  <c r="K172" i="18"/>
  <c r="V158" i="5"/>
  <c r="K158" i="18"/>
  <c r="X99" i="5"/>
  <c r="L99" i="18"/>
  <c r="L50" i="18"/>
  <c r="X50" i="5"/>
  <c r="V26" i="5"/>
  <c r="K26" i="18"/>
  <c r="L27" i="18"/>
  <c r="X27" i="5"/>
  <c r="S176" i="5"/>
  <c r="M176" i="5"/>
  <c r="F187" i="14"/>
  <c r="F191" i="14"/>
  <c r="F190" i="14"/>
  <c r="K171" i="18"/>
  <c r="V171" i="5"/>
  <c r="X49" i="5"/>
  <c r="L49" i="18"/>
  <c r="L22" i="18"/>
  <c r="X22" i="5"/>
  <c r="V30" i="4"/>
  <c r="V33" i="4"/>
  <c r="V31" i="4"/>
  <c r="V32" i="4"/>
  <c r="K107" i="18"/>
  <c r="V107" i="5"/>
  <c r="K105" i="18"/>
  <c r="V105" i="5"/>
  <c r="L92" i="18"/>
  <c r="V60" i="5"/>
  <c r="K60" i="18"/>
  <c r="V42" i="5"/>
  <c r="K42" i="18"/>
  <c r="L56" i="18"/>
  <c r="X56" i="5"/>
  <c r="K12" i="18"/>
  <c r="V12" i="5"/>
  <c r="X65" i="5"/>
  <c r="V49" i="5"/>
  <c r="X36" i="5"/>
  <c r="L26" i="18"/>
  <c r="X26" i="5"/>
  <c r="H59" i="15"/>
  <c r="H47" i="15"/>
  <c r="H35" i="15"/>
  <c r="H23" i="15"/>
  <c r="H11" i="15"/>
  <c r="H41" i="15"/>
  <c r="H53" i="15"/>
  <c r="X18" i="5"/>
  <c r="L18" i="18"/>
  <c r="K138" i="18"/>
  <c r="V138" i="5"/>
  <c r="W28" i="4"/>
  <c r="X28" i="4"/>
  <c r="Y28" i="4"/>
  <c r="U30" i="4"/>
  <c r="X12" i="5"/>
  <c r="L12" i="18"/>
  <c r="X16" i="5"/>
  <c r="L16" i="18"/>
  <c r="K135" i="18"/>
  <c r="V135" i="5"/>
  <c r="W134" i="18"/>
  <c r="J277" i="9"/>
  <c r="E77" i="17"/>
  <c r="G26" i="11"/>
  <c r="G27" i="11"/>
  <c r="G30" i="11"/>
  <c r="V165" i="5"/>
  <c r="K78" i="18"/>
  <c r="V30" i="5"/>
  <c r="H119" i="20"/>
  <c r="L46" i="18"/>
  <c r="N149" i="15"/>
  <c r="R169" i="15"/>
  <c r="J121" i="6"/>
  <c r="J127" i="6"/>
  <c r="F12" i="6"/>
  <c r="F11" i="6"/>
  <c r="H32" i="20"/>
  <c r="K77" i="20"/>
  <c r="H33" i="20"/>
  <c r="H34" i="20"/>
  <c r="F53" i="20"/>
  <c r="F56" i="20"/>
  <c r="F47" i="20"/>
  <c r="J113" i="20"/>
  <c r="L37" i="18"/>
  <c r="F14" i="6"/>
  <c r="F16" i="6"/>
  <c r="F18" i="6"/>
  <c r="K36" i="18"/>
  <c r="F10" i="6"/>
  <c r="F15" i="6"/>
  <c r="F13" i="6"/>
  <c r="K142" i="18"/>
  <c r="K150" i="18"/>
  <c r="V144" i="5"/>
  <c r="K149" i="18"/>
  <c r="E82" i="17"/>
  <c r="D63" i="16"/>
  <c r="E81" i="17"/>
  <c r="L14" i="21"/>
  <c r="S24" i="6"/>
  <c r="V129" i="5"/>
  <c r="T113" i="20"/>
  <c r="Q180" i="18"/>
  <c r="Q178" i="18"/>
  <c r="Q176" i="18"/>
  <c r="Q174" i="18"/>
  <c r="Q172" i="18"/>
  <c r="Q170" i="18"/>
  <c r="Q168" i="18"/>
  <c r="Q166" i="18"/>
  <c r="Q164" i="18"/>
  <c r="Q162" i="18"/>
  <c r="Q160" i="18"/>
  <c r="Q158" i="18"/>
  <c r="Q156" i="18"/>
  <c r="Q154" i="18"/>
  <c r="Q152" i="18"/>
  <c r="Q150" i="18"/>
  <c r="Q148" i="18"/>
  <c r="Q146" i="18"/>
  <c r="Q144" i="18"/>
  <c r="Q142" i="18"/>
  <c r="Q140" i="18"/>
  <c r="Q138" i="18"/>
  <c r="Q136" i="18"/>
  <c r="Q134" i="18"/>
  <c r="Q132" i="18"/>
  <c r="Q130" i="18"/>
  <c r="Q128" i="18"/>
  <c r="Q126" i="18"/>
  <c r="Q124" i="18"/>
  <c r="Q122" i="18"/>
  <c r="Q120" i="18"/>
  <c r="Q118" i="18"/>
  <c r="Q116" i="18"/>
  <c r="Q114" i="18"/>
  <c r="Q112" i="18"/>
  <c r="Q110" i="18"/>
  <c r="Q108" i="18"/>
  <c r="Q106" i="18"/>
  <c r="Q104" i="18"/>
  <c r="Q102" i="18"/>
  <c r="Q100" i="18"/>
  <c r="Q98" i="18"/>
  <c r="Q96" i="18"/>
  <c r="Q94" i="18"/>
  <c r="Q92" i="18"/>
  <c r="Q90" i="18"/>
  <c r="Q88" i="18"/>
  <c r="Q86" i="18"/>
  <c r="Q84" i="18"/>
  <c r="Q82" i="18"/>
  <c r="Q80" i="18"/>
  <c r="Q78" i="18"/>
  <c r="Q76" i="18"/>
  <c r="Q74" i="18"/>
  <c r="Q72" i="18"/>
  <c r="Q70" i="18"/>
  <c r="Q68" i="18"/>
  <c r="Q66" i="18"/>
  <c r="Q64" i="18"/>
  <c r="Q62" i="18"/>
  <c r="Q60" i="18"/>
  <c r="Q58" i="18"/>
  <c r="Q56" i="18"/>
  <c r="Q54" i="18"/>
  <c r="Q52" i="18"/>
  <c r="Q50" i="18"/>
  <c r="Q48" i="18"/>
  <c r="Q46" i="18"/>
  <c r="Q44" i="18"/>
  <c r="Q42" i="18"/>
  <c r="Q40" i="18"/>
  <c r="Q38" i="18"/>
  <c r="Q36" i="18"/>
  <c r="Q34" i="18"/>
  <c r="Q32" i="18"/>
  <c r="Q30" i="18"/>
  <c r="Q28" i="18"/>
  <c r="Q26" i="18"/>
  <c r="Q24" i="18"/>
  <c r="Q22" i="18"/>
  <c r="Q20" i="18"/>
  <c r="Q18" i="18"/>
  <c r="Q16" i="18"/>
  <c r="Q14" i="18"/>
  <c r="Q12" i="18"/>
  <c r="Q10" i="18"/>
  <c r="R61" i="18"/>
  <c r="C61" i="18"/>
  <c r="R57" i="18"/>
  <c r="C57" i="18"/>
  <c r="R53" i="18"/>
  <c r="R49" i="18"/>
  <c r="C49" i="18"/>
  <c r="R45" i="18"/>
  <c r="C45" i="18"/>
  <c r="R41" i="18"/>
  <c r="C41" i="18"/>
  <c r="R37" i="18"/>
  <c r="C37" i="18"/>
  <c r="R33" i="18"/>
  <c r="C33" i="18"/>
  <c r="R29" i="18"/>
  <c r="C29" i="18"/>
  <c r="R25" i="18"/>
  <c r="R21" i="18"/>
  <c r="R17" i="18"/>
  <c r="C17" i="18"/>
  <c r="R13" i="18"/>
  <c r="C13" i="18"/>
  <c r="R9" i="18"/>
  <c r="C9" i="18"/>
  <c r="P180" i="18"/>
  <c r="P178" i="18"/>
  <c r="P176" i="18"/>
  <c r="B176" i="18"/>
  <c r="P174" i="18"/>
  <c r="B174" i="18"/>
  <c r="P172" i="18"/>
  <c r="P170" i="18"/>
  <c r="B170" i="18"/>
  <c r="P168" i="18"/>
  <c r="B168" i="18"/>
  <c r="P166" i="18"/>
  <c r="B166" i="18"/>
  <c r="P164" i="18"/>
  <c r="P162" i="18"/>
  <c r="P160" i="18"/>
  <c r="B160" i="18"/>
  <c r="P158" i="18"/>
  <c r="B158" i="18"/>
  <c r="P156" i="18"/>
  <c r="B156" i="18"/>
  <c r="P154" i="18"/>
  <c r="P152" i="18"/>
  <c r="B152" i="18"/>
  <c r="P150" i="18"/>
  <c r="B150" i="18"/>
  <c r="P148" i="18"/>
  <c r="P146" i="18"/>
  <c r="P144" i="18"/>
  <c r="B144" i="18"/>
  <c r="P142" i="18"/>
  <c r="B142" i="18"/>
  <c r="P140" i="18"/>
  <c r="P138" i="18"/>
  <c r="B138" i="18"/>
  <c r="P136" i="18"/>
  <c r="B136" i="18"/>
  <c r="P134" i="18"/>
  <c r="B134" i="18"/>
  <c r="P132" i="18"/>
  <c r="P130" i="18"/>
  <c r="B130" i="18"/>
  <c r="P128" i="18"/>
  <c r="B128" i="18"/>
  <c r="P126" i="18"/>
  <c r="P124" i="18"/>
  <c r="P122" i="18"/>
  <c r="B122" i="18"/>
  <c r="P120" i="18"/>
  <c r="B120" i="18"/>
  <c r="P118" i="18"/>
  <c r="B118" i="18"/>
  <c r="P116" i="18"/>
  <c r="P114" i="18"/>
  <c r="B114" i="18"/>
  <c r="P112" i="18"/>
  <c r="B112" i="18"/>
  <c r="P110" i="18"/>
  <c r="B110" i="18"/>
  <c r="P108" i="18"/>
  <c r="B108" i="18"/>
  <c r="P106" i="18"/>
  <c r="P104" i="18"/>
  <c r="B104" i="18"/>
  <c r="P102" i="18"/>
  <c r="B102" i="18"/>
  <c r="P100" i="18"/>
  <c r="P98" i="18"/>
  <c r="B98" i="18"/>
  <c r="P96" i="18"/>
  <c r="B96" i="18"/>
  <c r="P94" i="18"/>
  <c r="B94" i="18"/>
  <c r="P92" i="18"/>
  <c r="P90" i="18"/>
  <c r="P88" i="18"/>
  <c r="B88" i="18"/>
  <c r="P86" i="18"/>
  <c r="B86" i="18"/>
  <c r="P84" i="18"/>
  <c r="P82" i="18"/>
  <c r="B82" i="18"/>
  <c r="P80" i="18"/>
  <c r="B80" i="18"/>
  <c r="P78" i="18"/>
  <c r="B78" i="18"/>
  <c r="P76" i="18"/>
  <c r="P74" i="18"/>
  <c r="B74" i="18"/>
  <c r="P72" i="18"/>
  <c r="B72" i="18"/>
  <c r="P70" i="18"/>
  <c r="B70" i="18"/>
  <c r="P68" i="18"/>
  <c r="P66" i="18"/>
  <c r="B66" i="18"/>
  <c r="P64" i="18"/>
  <c r="B64" i="18"/>
  <c r="P62" i="18"/>
  <c r="B62" i="18"/>
  <c r="P60" i="18"/>
  <c r="B60" i="18"/>
  <c r="P58" i="18"/>
  <c r="B58" i="18"/>
  <c r="P56" i="18"/>
  <c r="B56" i="18"/>
  <c r="P54" i="18"/>
  <c r="B54" i="18"/>
  <c r="P52" i="18"/>
  <c r="B52" i="18"/>
  <c r="P50" i="18"/>
  <c r="P48" i="18"/>
  <c r="B48" i="18"/>
  <c r="P46" i="18"/>
  <c r="B46" i="18"/>
  <c r="P44" i="18"/>
  <c r="P42" i="18"/>
  <c r="Q179" i="18"/>
  <c r="Q175" i="18"/>
  <c r="Q171" i="18"/>
  <c r="Q167" i="18"/>
  <c r="Q163" i="18"/>
  <c r="Q159" i="18"/>
  <c r="Q155" i="18"/>
  <c r="Q151" i="18"/>
  <c r="Q147" i="18"/>
  <c r="Q143" i="18"/>
  <c r="Q139" i="18"/>
  <c r="Q135" i="18"/>
  <c r="Q131" i="18"/>
  <c r="Q127" i="18"/>
  <c r="Q123" i="18"/>
  <c r="Q119" i="18"/>
  <c r="Q115" i="18"/>
  <c r="Q111" i="18"/>
  <c r="Q107" i="18"/>
  <c r="Q103" i="18"/>
  <c r="Q99" i="18"/>
  <c r="Q95" i="18"/>
  <c r="Q91" i="18"/>
  <c r="Q87" i="18"/>
  <c r="Q83" i="18"/>
  <c r="Q79" i="18"/>
  <c r="Q75" i="18"/>
  <c r="Q71" i="18"/>
  <c r="Q67" i="18"/>
  <c r="Q63" i="18"/>
  <c r="Q59" i="18"/>
  <c r="Q55" i="18"/>
  <c r="Q51" i="18"/>
  <c r="Q47" i="18"/>
  <c r="Q43" i="18"/>
  <c r="P40" i="18"/>
  <c r="B40" i="18"/>
  <c r="Q37" i="18"/>
  <c r="P35" i="18"/>
  <c r="B35" i="18"/>
  <c r="P32" i="18"/>
  <c r="Q29" i="18"/>
  <c r="P27" i="18"/>
  <c r="B27" i="18"/>
  <c r="P24" i="18"/>
  <c r="B24" i="18"/>
  <c r="Q21" i="18"/>
  <c r="P19" i="18"/>
  <c r="B19" i="18"/>
  <c r="P16" i="18"/>
  <c r="B16" i="18"/>
  <c r="Q13" i="18"/>
  <c r="P11" i="18"/>
  <c r="R60" i="18"/>
  <c r="C60" i="18"/>
  <c r="R55" i="18"/>
  <c r="C55" i="18"/>
  <c r="R50" i="18"/>
  <c r="C50" i="18"/>
  <c r="R44" i="18"/>
  <c r="R39" i="18"/>
  <c r="C39" i="18"/>
  <c r="R34" i="18"/>
  <c r="C34" i="18"/>
  <c r="R28" i="18"/>
  <c r="C28" i="18"/>
  <c r="R23" i="18"/>
  <c r="C23" i="18"/>
  <c r="R18" i="18"/>
  <c r="C18" i="18"/>
  <c r="R12" i="18"/>
  <c r="C12" i="18"/>
  <c r="P179" i="18"/>
  <c r="B179" i="18"/>
  <c r="P175" i="18"/>
  <c r="P171" i="18"/>
  <c r="B171" i="18"/>
  <c r="P167" i="18"/>
  <c r="B167" i="18"/>
  <c r="P163" i="18"/>
  <c r="B163" i="18"/>
  <c r="P159" i="18"/>
  <c r="P155" i="18"/>
  <c r="B155" i="18"/>
  <c r="P151" i="18"/>
  <c r="B151" i="18"/>
  <c r="P147" i="18"/>
  <c r="B147" i="18"/>
  <c r="P143" i="18"/>
  <c r="P139" i="18"/>
  <c r="B139" i="18"/>
  <c r="P135" i="18"/>
  <c r="B135" i="18"/>
  <c r="P131" i="18"/>
  <c r="B131" i="18"/>
  <c r="P127" i="18"/>
  <c r="P123" i="18"/>
  <c r="B123" i="18"/>
  <c r="P119" i="18"/>
  <c r="B119" i="18"/>
  <c r="P115" i="18"/>
  <c r="B115" i="18"/>
  <c r="P111" i="18"/>
  <c r="P107" i="18"/>
  <c r="B107" i="18"/>
  <c r="P103" i="18"/>
  <c r="B103" i="18"/>
  <c r="P99" i="18"/>
  <c r="B99" i="18"/>
  <c r="P95" i="18"/>
  <c r="P91" i="18"/>
  <c r="B91" i="18"/>
  <c r="P87" i="18"/>
  <c r="B87" i="18"/>
  <c r="P83" i="18"/>
  <c r="B83" i="18"/>
  <c r="P79" i="18"/>
  <c r="P75" i="18"/>
  <c r="B75" i="18"/>
  <c r="P71" i="18"/>
  <c r="B71" i="18"/>
  <c r="P67" i="18"/>
  <c r="B67" i="18"/>
  <c r="P63" i="18"/>
  <c r="B63" i="18"/>
  <c r="P59" i="18"/>
  <c r="P55" i="18"/>
  <c r="B55" i="18"/>
  <c r="P51" i="18"/>
  <c r="B51" i="18"/>
  <c r="P47" i="18"/>
  <c r="P43" i="18"/>
  <c r="B43" i="18"/>
  <c r="Q39" i="18"/>
  <c r="P37" i="18"/>
  <c r="B37" i="18"/>
  <c r="P34" i="18"/>
  <c r="B34" i="18"/>
  <c r="Q31" i="18"/>
  <c r="P29" i="18"/>
  <c r="B29" i="18"/>
  <c r="P26" i="18"/>
  <c r="B26" i="18"/>
  <c r="Q23" i="18"/>
  <c r="P21" i="18"/>
  <c r="B21" i="18"/>
  <c r="P18" i="18"/>
  <c r="B18" i="18"/>
  <c r="Q15" i="18"/>
  <c r="P13" i="18"/>
  <c r="P10" i="18"/>
  <c r="B10" i="18"/>
  <c r="R59" i="18"/>
  <c r="C59" i="18"/>
  <c r="R54" i="18"/>
  <c r="C54" i="18"/>
  <c r="R48" i="18"/>
  <c r="R43" i="18"/>
  <c r="C43" i="18"/>
  <c r="R38" i="18"/>
  <c r="C38" i="18"/>
  <c r="R32" i="18"/>
  <c r="C32" i="18"/>
  <c r="R27" i="18"/>
  <c r="R22" i="18"/>
  <c r="C22" i="18"/>
  <c r="R16" i="18"/>
  <c r="C16" i="18"/>
  <c r="R11" i="18"/>
  <c r="C11" i="18"/>
  <c r="Q177" i="18"/>
  <c r="Q173" i="18"/>
  <c r="Q169" i="18"/>
  <c r="Q165" i="18"/>
  <c r="Q161" i="18"/>
  <c r="Q157" i="18"/>
  <c r="Q153" i="18"/>
  <c r="Q149" i="18"/>
  <c r="Q145" i="18"/>
  <c r="Q141" i="18"/>
  <c r="Q137" i="18"/>
  <c r="Q133" i="18"/>
  <c r="Q129" i="18"/>
  <c r="Q125" i="18"/>
  <c r="Q121" i="18"/>
  <c r="Q117" i="18"/>
  <c r="Q113" i="18"/>
  <c r="Q109" i="18"/>
  <c r="Q105" i="18"/>
  <c r="Q101" i="18"/>
  <c r="Q97" i="18"/>
  <c r="Q93" i="18"/>
  <c r="Q89" i="18"/>
  <c r="Q85" i="18"/>
  <c r="Q81" i="18"/>
  <c r="Q77" i="18"/>
  <c r="Q73" i="18"/>
  <c r="Q69" i="18"/>
  <c r="Q65" i="18"/>
  <c r="Q61" i="18"/>
  <c r="Q57" i="18"/>
  <c r="Q53" i="18"/>
  <c r="Q49" i="18"/>
  <c r="Q45" i="18"/>
  <c r="Q41" i="18"/>
  <c r="P39" i="18"/>
  <c r="B39" i="18"/>
  <c r="P36" i="18"/>
  <c r="Q33" i="18"/>
  <c r="P31" i="18"/>
  <c r="B31" i="18"/>
  <c r="P28" i="18"/>
  <c r="B28" i="18"/>
  <c r="Q25" i="18"/>
  <c r="P23" i="18"/>
  <c r="B23" i="18"/>
  <c r="P20" i="18"/>
  <c r="B20" i="18"/>
  <c r="Q17" i="18"/>
  <c r="P15" i="18"/>
  <c r="B15" i="18"/>
  <c r="P12" i="18"/>
  <c r="B12" i="18"/>
  <c r="Q9" i="18"/>
  <c r="R58" i="18"/>
  <c r="C58" i="18"/>
  <c r="R52" i="18"/>
  <c r="R47" i="18"/>
  <c r="R42" i="18"/>
  <c r="C42" i="18"/>
  <c r="R36" i="18"/>
  <c r="R31" i="18"/>
  <c r="R26" i="18"/>
  <c r="C26" i="18"/>
  <c r="R20" i="18"/>
  <c r="C20" i="18"/>
  <c r="R15" i="18"/>
  <c r="C15" i="18"/>
  <c r="R10" i="18"/>
  <c r="P177" i="18"/>
  <c r="B177" i="18"/>
  <c r="P173" i="18"/>
  <c r="B173" i="18"/>
  <c r="P169" i="18"/>
  <c r="P165" i="18"/>
  <c r="P161" i="18"/>
  <c r="B161" i="18"/>
  <c r="P157" i="18"/>
  <c r="B157" i="18"/>
  <c r="P153" i="18"/>
  <c r="B153" i="18"/>
  <c r="P149" i="18"/>
  <c r="B149" i="18"/>
  <c r="P145" i="18"/>
  <c r="B145" i="18"/>
  <c r="P141" i="18"/>
  <c r="B141" i="18"/>
  <c r="P137" i="18"/>
  <c r="B137" i="18"/>
  <c r="P133" i="18"/>
  <c r="B133" i="18"/>
  <c r="P129" i="18"/>
  <c r="B129" i="18"/>
  <c r="P125" i="18"/>
  <c r="B125" i="18"/>
  <c r="P121" i="18"/>
  <c r="B121" i="18"/>
  <c r="P117" i="18"/>
  <c r="P113" i="18"/>
  <c r="P109" i="18"/>
  <c r="B109" i="18"/>
  <c r="P105" i="18"/>
  <c r="B105" i="18"/>
  <c r="P101" i="18"/>
  <c r="P97" i="18"/>
  <c r="P93" i="18"/>
  <c r="B93" i="18"/>
  <c r="P89" i="18"/>
  <c r="B89" i="18"/>
  <c r="P85" i="18"/>
  <c r="P81" i="18"/>
  <c r="B81" i="18"/>
  <c r="P77" i="18"/>
  <c r="B77" i="18"/>
  <c r="P73" i="18"/>
  <c r="P69" i="18"/>
  <c r="P65" i="18"/>
  <c r="B65" i="18"/>
  <c r="P61" i="18"/>
  <c r="B61" i="18"/>
  <c r="P57" i="18"/>
  <c r="B57" i="18"/>
  <c r="P53" i="18"/>
  <c r="B53" i="18"/>
  <c r="P49" i="18"/>
  <c r="P45" i="18"/>
  <c r="B45" i="18"/>
  <c r="P41" i="18"/>
  <c r="B41" i="18"/>
  <c r="P38" i="18"/>
  <c r="Q35" i="18"/>
  <c r="P33" i="18"/>
  <c r="B33" i="18"/>
  <c r="P30" i="18"/>
  <c r="B30" i="18"/>
  <c r="Q27" i="18"/>
  <c r="P25" i="18"/>
  <c r="P22" i="18"/>
  <c r="B22" i="18"/>
  <c r="Q19" i="18"/>
  <c r="P17" i="18"/>
  <c r="P14" i="18"/>
  <c r="B14" i="18"/>
  <c r="Q11" i="18"/>
  <c r="P9" i="18"/>
  <c r="B9" i="18"/>
  <c r="R56" i="18"/>
  <c r="R51" i="18"/>
  <c r="C51" i="18"/>
  <c r="R46" i="18"/>
  <c r="C46" i="18"/>
  <c r="R40" i="18"/>
  <c r="C40" i="18"/>
  <c r="R35" i="18"/>
  <c r="R30" i="18"/>
  <c r="C30" i="18"/>
  <c r="R24" i="18"/>
  <c r="C24" i="18"/>
  <c r="R19" i="18"/>
  <c r="C19" i="18"/>
  <c r="R14" i="18"/>
  <c r="V88" i="5"/>
  <c r="M163" i="5"/>
  <c r="V163" i="5"/>
  <c r="L41" i="6"/>
  <c r="K10" i="6"/>
  <c r="K14" i="6"/>
  <c r="K30" i="6"/>
  <c r="V17" i="5"/>
  <c r="L38" i="18"/>
  <c r="V151" i="5"/>
  <c r="M95" i="5"/>
  <c r="K95" i="18"/>
  <c r="X19" i="5"/>
  <c r="V38" i="5"/>
  <c r="V85" i="5"/>
  <c r="V23" i="5"/>
  <c r="V162" i="5"/>
  <c r="L51" i="18"/>
  <c r="V80" i="5"/>
  <c r="M120" i="5"/>
  <c r="V120" i="5"/>
  <c r="L15" i="18"/>
  <c r="W121" i="18"/>
  <c r="K80" i="18"/>
  <c r="M114" i="5"/>
  <c r="V114" i="5"/>
  <c r="L53" i="6"/>
  <c r="N52" i="15"/>
  <c r="J52" i="15"/>
  <c r="Q52" i="15"/>
  <c r="M52" i="15"/>
  <c r="I52" i="15"/>
  <c r="P52" i="15"/>
  <c r="L52" i="15"/>
  <c r="O52" i="15"/>
  <c r="K52" i="15"/>
  <c r="P40" i="15"/>
  <c r="L40" i="15"/>
  <c r="O40" i="15"/>
  <c r="K40" i="15"/>
  <c r="N40" i="15"/>
  <c r="J40" i="15"/>
  <c r="Q40" i="15"/>
  <c r="M40" i="15"/>
  <c r="I40" i="15"/>
  <c r="Q34" i="15"/>
  <c r="M34" i="15"/>
  <c r="I34" i="15"/>
  <c r="P34" i="15"/>
  <c r="L34" i="15"/>
  <c r="O34" i="15"/>
  <c r="K34" i="15"/>
  <c r="N34" i="15"/>
  <c r="J34" i="15"/>
  <c r="O46" i="15"/>
  <c r="K46" i="15"/>
  <c r="N46" i="15"/>
  <c r="J46" i="15"/>
  <c r="Q46" i="15"/>
  <c r="M46" i="15"/>
  <c r="I46" i="15"/>
  <c r="P46" i="15"/>
  <c r="L46" i="15"/>
  <c r="N28" i="15"/>
  <c r="J28" i="15"/>
  <c r="Q28" i="15"/>
  <c r="M28" i="15"/>
  <c r="I28" i="15"/>
  <c r="P28" i="15"/>
  <c r="L28" i="15"/>
  <c r="O28" i="15"/>
  <c r="K28" i="15"/>
  <c r="P16" i="15"/>
  <c r="L16" i="15"/>
  <c r="O16" i="15"/>
  <c r="K16" i="15"/>
  <c r="N16" i="15"/>
  <c r="J16" i="15"/>
  <c r="Q16" i="15"/>
  <c r="M16" i="15"/>
  <c r="I16" i="15"/>
  <c r="O22" i="15"/>
  <c r="K22" i="15"/>
  <c r="N22" i="15"/>
  <c r="J22" i="15"/>
  <c r="Q22" i="15"/>
  <c r="M22" i="15"/>
  <c r="I22" i="15"/>
  <c r="P22" i="15"/>
  <c r="L22" i="15"/>
  <c r="O35" i="15"/>
  <c r="O36" i="15"/>
  <c r="K35" i="15"/>
  <c r="K36" i="15"/>
  <c r="N35" i="15"/>
  <c r="N36" i="15"/>
  <c r="J14" i="6"/>
  <c r="J35" i="15"/>
  <c r="J36" i="15"/>
  <c r="Q35" i="15"/>
  <c r="Q36" i="15"/>
  <c r="M35" i="15"/>
  <c r="I35" i="15"/>
  <c r="I36" i="15"/>
  <c r="P35" i="15"/>
  <c r="L35" i="15"/>
  <c r="Q59" i="15"/>
  <c r="Q60" i="15"/>
  <c r="M59" i="15"/>
  <c r="M60" i="15"/>
  <c r="I18" i="6"/>
  <c r="P59" i="15"/>
  <c r="P60" i="15"/>
  <c r="L59" i="15"/>
  <c r="L60" i="15"/>
  <c r="H18" i="6"/>
  <c r="I59" i="15"/>
  <c r="I60" i="15"/>
  <c r="O59" i="15"/>
  <c r="O60" i="15"/>
  <c r="K59" i="15"/>
  <c r="K60" i="15"/>
  <c r="N59" i="15"/>
  <c r="N60" i="15"/>
  <c r="J18" i="6"/>
  <c r="J59" i="15"/>
  <c r="J60" i="15"/>
  <c r="O23" i="15"/>
  <c r="K23" i="15"/>
  <c r="N23" i="15"/>
  <c r="J23" i="15"/>
  <c r="Q23" i="15"/>
  <c r="Q24" i="15"/>
  <c r="M23" i="15"/>
  <c r="I23" i="15"/>
  <c r="L23" i="15"/>
  <c r="P23" i="15"/>
  <c r="Q53" i="15"/>
  <c r="Q54" i="15"/>
  <c r="M53" i="15"/>
  <c r="M54" i="15"/>
  <c r="I17" i="6"/>
  <c r="I53" i="15"/>
  <c r="I54" i="15"/>
  <c r="P53" i="15"/>
  <c r="P54" i="15"/>
  <c r="L53" i="15"/>
  <c r="L54" i="15"/>
  <c r="H17" i="6"/>
  <c r="O53" i="15"/>
  <c r="O54" i="15"/>
  <c r="K53" i="15"/>
  <c r="K54" i="15"/>
  <c r="N53" i="15"/>
  <c r="N54" i="15"/>
  <c r="J17" i="6"/>
  <c r="J53" i="15"/>
  <c r="Q29" i="15"/>
  <c r="M29" i="15"/>
  <c r="I29" i="15"/>
  <c r="I30" i="15"/>
  <c r="P29" i="15"/>
  <c r="L29" i="15"/>
  <c r="L30" i="15"/>
  <c r="H13" i="6"/>
  <c r="O29" i="15"/>
  <c r="K29" i="15"/>
  <c r="K30" i="15"/>
  <c r="N29" i="15"/>
  <c r="J29" i="15"/>
  <c r="Q41" i="15"/>
  <c r="M41" i="15"/>
  <c r="M42" i="15"/>
  <c r="I15" i="6"/>
  <c r="I41" i="15"/>
  <c r="P41" i="15"/>
  <c r="L41" i="15"/>
  <c r="L42" i="15"/>
  <c r="H15" i="6"/>
  <c r="O41" i="15"/>
  <c r="O42" i="15"/>
  <c r="K41" i="15"/>
  <c r="N41" i="15"/>
  <c r="J41" i="15"/>
  <c r="O47" i="15"/>
  <c r="K47" i="15"/>
  <c r="N47" i="15"/>
  <c r="J47" i="15"/>
  <c r="Q47" i="15"/>
  <c r="Q48" i="15"/>
  <c r="M47" i="15"/>
  <c r="I47" i="15"/>
  <c r="P47" i="15"/>
  <c r="P48" i="15"/>
  <c r="L47" i="15"/>
  <c r="Q17" i="15"/>
  <c r="M17" i="15"/>
  <c r="I17" i="15"/>
  <c r="P17" i="15"/>
  <c r="L17" i="15"/>
  <c r="O17" i="15"/>
  <c r="O18" i="15"/>
  <c r="K17" i="15"/>
  <c r="K18" i="15"/>
  <c r="N17" i="15"/>
  <c r="J17" i="15"/>
  <c r="J18" i="15"/>
  <c r="C19" i="2"/>
  <c r="M45" i="8"/>
  <c r="F45" i="8"/>
  <c r="L49" i="6"/>
  <c r="R151" i="15"/>
  <c r="L97" i="20"/>
  <c r="K120" i="18"/>
  <c r="P10" i="15"/>
  <c r="L10" i="15"/>
  <c r="O10" i="15"/>
  <c r="K10" i="15"/>
  <c r="N10" i="15"/>
  <c r="J10" i="15"/>
  <c r="Q10" i="15"/>
  <c r="M10" i="15"/>
  <c r="I10" i="15"/>
  <c r="O11" i="15"/>
  <c r="K11" i="15"/>
  <c r="M11" i="15"/>
  <c r="P11" i="15"/>
  <c r="N11" i="15"/>
  <c r="J11" i="15"/>
  <c r="Q11" i="15"/>
  <c r="I11" i="15"/>
  <c r="I12" i="15"/>
  <c r="L11" i="15"/>
  <c r="L12" i="15"/>
  <c r="H10" i="6"/>
  <c r="L90" i="6"/>
  <c r="O49" i="6"/>
  <c r="L63" i="6"/>
  <c r="L40" i="6"/>
  <c r="L51" i="6"/>
  <c r="L71" i="6"/>
  <c r="L61" i="6"/>
  <c r="L43" i="6"/>
  <c r="L58" i="6"/>
  <c r="N54" i="2"/>
  <c r="N49" i="2"/>
  <c r="F27" i="6"/>
  <c r="N57" i="2"/>
  <c r="J66" i="2"/>
  <c r="K54" i="2"/>
  <c r="L47" i="6"/>
  <c r="L83" i="6"/>
  <c r="L79" i="6"/>
  <c r="L67" i="6"/>
  <c r="L111" i="6"/>
  <c r="L86" i="6"/>
  <c r="L77" i="6"/>
  <c r="L52" i="6"/>
  <c r="L45" i="6"/>
  <c r="N47" i="2"/>
  <c r="F26" i="6"/>
  <c r="N56" i="2"/>
  <c r="N60" i="2"/>
  <c r="N61" i="2"/>
  <c r="N64" i="2"/>
  <c r="N62" i="2"/>
  <c r="F33" i="6"/>
  <c r="U33" i="6"/>
  <c r="E44" i="21"/>
  <c r="H40" i="21"/>
  <c r="F58" i="10"/>
  <c r="F57" i="10"/>
  <c r="F59" i="10"/>
  <c r="F60" i="10"/>
  <c r="S113" i="5"/>
  <c r="Z160" i="18"/>
  <c r="AA9" i="18"/>
  <c r="AA62" i="18"/>
  <c r="S122" i="18"/>
  <c r="K110" i="6"/>
  <c r="L110" i="6"/>
  <c r="K17" i="6"/>
  <c r="K15" i="6"/>
  <c r="K31" i="6"/>
  <c r="K163" i="18"/>
  <c r="K105" i="6"/>
  <c r="L105" i="6"/>
  <c r="K106" i="6"/>
  <c r="L106" i="6"/>
  <c r="K104" i="6"/>
  <c r="L104" i="6"/>
  <c r="K107" i="6"/>
  <c r="L107" i="6"/>
  <c r="K108" i="6"/>
  <c r="L108" i="6"/>
  <c r="K109" i="6"/>
  <c r="L109" i="6"/>
  <c r="L103" i="6"/>
  <c r="H113" i="20"/>
  <c r="H120" i="20"/>
  <c r="L48" i="6"/>
  <c r="L74" i="6"/>
  <c r="AC82" i="18"/>
  <c r="AE120" i="18"/>
  <c r="L39" i="6"/>
  <c r="L55" i="6"/>
  <c r="L62" i="6"/>
  <c r="L65" i="6"/>
  <c r="L70" i="6"/>
  <c r="L81" i="6"/>
  <c r="AE54" i="18"/>
  <c r="X134" i="18"/>
  <c r="AE148" i="18"/>
  <c r="L69" i="6"/>
  <c r="L85" i="6"/>
  <c r="L78" i="6"/>
  <c r="AD53" i="18"/>
  <c r="AC33" i="18"/>
  <c r="T135" i="18"/>
  <c r="X136" i="18"/>
  <c r="Y126" i="18"/>
  <c r="AD92" i="18"/>
  <c r="AE63" i="18"/>
  <c r="AE26" i="18"/>
  <c r="Y134" i="18"/>
  <c r="AB120" i="18"/>
  <c r="U131" i="18"/>
  <c r="V121" i="18"/>
  <c r="AA134" i="18"/>
  <c r="T129" i="18"/>
  <c r="AC118" i="18"/>
  <c r="T160" i="18"/>
  <c r="AC74" i="18"/>
  <c r="AD42" i="18"/>
  <c r="AC134" i="18"/>
  <c r="AE11" i="18"/>
  <c r="AD147" i="18"/>
  <c r="AE73" i="18"/>
  <c r="AC43" i="18"/>
  <c r="X129" i="18"/>
  <c r="AD18" i="18"/>
  <c r="AE154" i="18"/>
  <c r="AD40" i="18"/>
  <c r="AE137" i="18"/>
  <c r="AE135" i="18"/>
  <c r="X121" i="18"/>
  <c r="AC99" i="18"/>
  <c r="AC80" i="18"/>
  <c r="AC70" i="18"/>
  <c r="AC49" i="18"/>
  <c r="AE35" i="18"/>
  <c r="AC13" i="18"/>
  <c r="V127" i="18"/>
  <c r="W138" i="18"/>
  <c r="AD16" i="18"/>
  <c r="AE37" i="18"/>
  <c r="AE41" i="18"/>
  <c r="AB139" i="18"/>
  <c r="T131" i="18"/>
  <c r="AE23" i="18"/>
  <c r="R174" i="18"/>
  <c r="C174" i="18"/>
  <c r="AB138" i="18"/>
  <c r="X123" i="18"/>
  <c r="Y121" i="18"/>
  <c r="U121" i="18"/>
  <c r="AB121" i="18"/>
  <c r="AD94" i="18"/>
  <c r="AC78" i="18"/>
  <c r="AD64" i="18"/>
  <c r="AC58" i="18"/>
  <c r="AC32" i="18"/>
  <c r="AC9" i="18"/>
  <c r="U127" i="18"/>
  <c r="AB137" i="18"/>
  <c r="AC152" i="18"/>
  <c r="AD35" i="18"/>
  <c r="AC40" i="18"/>
  <c r="U137" i="18"/>
  <c r="AE139" i="18"/>
  <c r="AD31" i="18"/>
  <c r="V128" i="18"/>
  <c r="V137" i="18"/>
  <c r="AD119" i="18"/>
  <c r="W126" i="18"/>
  <c r="Z121" i="18"/>
  <c r="T126" i="18"/>
  <c r="V169" i="18"/>
  <c r="AC122" i="18"/>
  <c r="AB126" i="18"/>
  <c r="V125" i="18"/>
  <c r="V123" i="18"/>
  <c r="T121" i="18"/>
  <c r="AE123" i="18"/>
  <c r="X125" i="18"/>
  <c r="U123" i="18"/>
  <c r="Y120" i="18"/>
  <c r="AD135" i="18"/>
  <c r="AE150" i="18"/>
  <c r="AC120" i="18"/>
  <c r="AB125" i="18"/>
  <c r="W123" i="18"/>
  <c r="X120" i="18"/>
  <c r="AC136" i="18"/>
  <c r="AC123" i="18"/>
  <c r="Y125" i="18"/>
  <c r="W120" i="18"/>
  <c r="S128" i="18"/>
  <c r="AE145" i="18"/>
  <c r="R138" i="18"/>
  <c r="C138" i="18"/>
  <c r="V135" i="18"/>
  <c r="AB136" i="18"/>
  <c r="X138" i="18"/>
  <c r="U133" i="18"/>
  <c r="Z127" i="18"/>
  <c r="X128" i="18"/>
  <c r="AD114" i="18"/>
  <c r="AC19" i="18"/>
  <c r="AD22" i="18"/>
  <c r="AE122" i="18"/>
  <c r="T125" i="18"/>
  <c r="AC135" i="18"/>
  <c r="S131" i="18"/>
  <c r="AC18" i="18"/>
  <c r="U136" i="18"/>
  <c r="V138" i="18"/>
  <c r="S155" i="18"/>
  <c r="W127" i="18"/>
  <c r="AC42" i="18"/>
  <c r="AE21" i="18"/>
  <c r="AE28" i="18"/>
  <c r="AE46" i="18"/>
  <c r="AC121" i="18"/>
  <c r="Y123" i="18"/>
  <c r="AC150" i="18"/>
  <c r="S127" i="18"/>
  <c r="AD144" i="18"/>
  <c r="U135" i="18"/>
  <c r="W137" i="18"/>
  <c r="X139" i="18"/>
  <c r="T133" i="18"/>
  <c r="Z128" i="18"/>
  <c r="AE40" i="18"/>
  <c r="AC14" i="18"/>
  <c r="AD24" i="18"/>
  <c r="AC29" i="18"/>
  <c r="AD39" i="18"/>
  <c r="AE48" i="18"/>
  <c r="AC50" i="18"/>
  <c r="AD60" i="18"/>
  <c r="AD65" i="18"/>
  <c r="AC72" i="18"/>
  <c r="AD90" i="18"/>
  <c r="AE81" i="18"/>
  <c r="AE85" i="18"/>
  <c r="AC101" i="18"/>
  <c r="Z161" i="18"/>
  <c r="AD123" i="18"/>
  <c r="X126" i="18"/>
  <c r="T122" i="18"/>
  <c r="Z123" i="18"/>
  <c r="Z120" i="18"/>
  <c r="AD121" i="18"/>
  <c r="S125" i="18"/>
  <c r="AA123" i="18"/>
  <c r="T120" i="18"/>
  <c r="AC147" i="18"/>
  <c r="AC151" i="18"/>
  <c r="AE121" i="18"/>
  <c r="W125" i="18"/>
  <c r="AB123" i="18"/>
  <c r="AC119" i="18"/>
  <c r="X122" i="18"/>
  <c r="V120" i="18"/>
  <c r="U122" i="18"/>
  <c r="AE138" i="18"/>
  <c r="AE152" i="18"/>
  <c r="V122" i="18"/>
  <c r="S120" i="18"/>
  <c r="AD149" i="18"/>
  <c r="Z126" i="18"/>
  <c r="AD150" i="18"/>
  <c r="Y131" i="18"/>
  <c r="Z135" i="18"/>
  <c r="Z137" i="18"/>
  <c r="Z139" i="18"/>
  <c r="Y133" i="18"/>
  <c r="AA130" i="18"/>
  <c r="AD41" i="18"/>
  <c r="AC12" i="18"/>
  <c r="AE24" i="18"/>
  <c r="V126" i="18"/>
  <c r="AC148" i="18"/>
  <c r="AC16" i="18"/>
  <c r="Y135" i="18"/>
  <c r="AA138" i="18"/>
  <c r="S133" i="18"/>
  <c r="AA127" i="18"/>
  <c r="AE113" i="18"/>
  <c r="AC24" i="18"/>
  <c r="AC39" i="18"/>
  <c r="AE118" i="18"/>
  <c r="AC138" i="18"/>
  <c r="T127" i="18"/>
  <c r="AC145" i="18"/>
  <c r="V136" i="18"/>
  <c r="S139" i="18"/>
  <c r="Z133" i="18"/>
  <c r="W128" i="18"/>
  <c r="AC11" i="18"/>
  <c r="AC25" i="18"/>
  <c r="AD33" i="18"/>
  <c r="AC45" i="18"/>
  <c r="AC51" i="18"/>
  <c r="AD67" i="18"/>
  <c r="AE71" i="18"/>
  <c r="AE77" i="18"/>
  <c r="AE83" i="18"/>
  <c r="AD98" i="18"/>
  <c r="AD124" i="18"/>
  <c r="AB122" i="18"/>
  <c r="R137" i="18"/>
  <c r="C137" i="18"/>
  <c r="Z122" i="18"/>
  <c r="AC139" i="18"/>
  <c r="AD122" i="18"/>
  <c r="AA122" i="18"/>
  <c r="AD139" i="18"/>
  <c r="AD151" i="18"/>
  <c r="W122" i="18"/>
  <c r="AC142" i="18"/>
  <c r="AC144" i="18"/>
  <c r="R139" i="18"/>
  <c r="C139" i="18"/>
  <c r="T136" i="18"/>
  <c r="T138" i="18"/>
  <c r="S134" i="18"/>
  <c r="U129" i="18"/>
  <c r="W129" i="18"/>
  <c r="AC154" i="18"/>
  <c r="AE30" i="18"/>
  <c r="AC28" i="18"/>
  <c r="T123" i="18"/>
  <c r="AE151" i="18"/>
  <c r="AE17" i="18"/>
  <c r="Z136" i="18"/>
  <c r="W139" i="18"/>
  <c r="X133" i="18"/>
  <c r="X127" i="18"/>
  <c r="AE114" i="18"/>
  <c r="AD26" i="18"/>
  <c r="AE36" i="18"/>
  <c r="U126" i="18"/>
  <c r="AD148" i="18"/>
  <c r="Y128" i="18"/>
  <c r="R136" i="18"/>
  <c r="C136" i="18"/>
  <c r="AA136" i="18"/>
  <c r="X169" i="18"/>
  <c r="V161" i="18"/>
  <c r="AC100" i="18"/>
  <c r="AC84" i="18"/>
  <c r="AE79" i="18"/>
  <c r="AD69" i="18"/>
  <c r="AC52" i="18"/>
  <c r="AE44" i="18"/>
  <c r="AC27" i="18"/>
  <c r="AD19" i="18"/>
  <c r="AA128" i="18"/>
  <c r="T134" i="18"/>
  <c r="AA135" i="18"/>
  <c r="AD142" i="18"/>
  <c r="AE38" i="18"/>
  <c r="AC22" i="18"/>
  <c r="V131" i="18"/>
  <c r="AA137" i="18"/>
  <c r="AE15" i="18"/>
  <c r="AD118" i="18"/>
  <c r="AD14" i="18"/>
  <c r="Z131" i="18"/>
  <c r="V139" i="18"/>
  <c r="AE134" i="18"/>
  <c r="Y127" i="18"/>
  <c r="AC124" i="18"/>
  <c r="S121" i="18"/>
  <c r="AC149" i="18"/>
  <c r="S126" i="18"/>
  <c r="Z125" i="18"/>
  <c r="S161" i="18"/>
  <c r="AA169" i="18"/>
  <c r="W160" i="18"/>
  <c r="AA161" i="18"/>
  <c r="Y160" i="18"/>
  <c r="F268" i="9"/>
  <c r="F269" i="9"/>
  <c r="L50" i="6"/>
  <c r="O50" i="6"/>
  <c r="O91" i="6"/>
  <c r="L91" i="6"/>
  <c r="L60" i="6"/>
  <c r="O60" i="6"/>
  <c r="L76" i="6"/>
  <c r="O76" i="6"/>
  <c r="AB160" i="18"/>
  <c r="T169" i="18"/>
  <c r="Y161" i="18"/>
  <c r="T161" i="18"/>
  <c r="V110" i="5"/>
  <c r="Z110" i="5"/>
  <c r="K110" i="18"/>
  <c r="J51" i="3"/>
  <c r="O95" i="15"/>
  <c r="U96" i="15"/>
  <c r="L46" i="6"/>
  <c r="O46" i="6"/>
  <c r="O57" i="6"/>
  <c r="L57" i="6"/>
  <c r="L56" i="6"/>
  <c r="O56" i="6"/>
  <c r="L72" i="6"/>
  <c r="O72" i="6"/>
  <c r="L88" i="6"/>
  <c r="O88" i="6"/>
  <c r="U169" i="18"/>
  <c r="S169" i="18"/>
  <c r="X161" i="18"/>
  <c r="V111" i="5"/>
  <c r="Z111" i="5"/>
  <c r="K111" i="18"/>
  <c r="O42" i="6"/>
  <c r="L42" i="6"/>
  <c r="O59" i="6"/>
  <c r="L59" i="6"/>
  <c r="O66" i="6"/>
  <c r="L66" i="6"/>
  <c r="O73" i="6"/>
  <c r="L73" i="6"/>
  <c r="O68" i="6"/>
  <c r="L68" i="6"/>
  <c r="O84" i="6"/>
  <c r="L84" i="6"/>
  <c r="AE124" i="18"/>
  <c r="AD120" i="18"/>
  <c r="AA125" i="18"/>
  <c r="S123" i="18"/>
  <c r="U120" i="18"/>
  <c r="AD136" i="18"/>
  <c r="AD152" i="18"/>
  <c r="S129" i="18"/>
  <c r="AC15" i="18"/>
  <c r="AD17" i="18"/>
  <c r="AE18" i="18"/>
  <c r="AC137" i="18"/>
  <c r="X135" i="18"/>
  <c r="Y136" i="18"/>
  <c r="Y137" i="18"/>
  <c r="Z138" i="18"/>
  <c r="AA139" i="18"/>
  <c r="V134" i="18"/>
  <c r="W133" i="18"/>
  <c r="U130" i="18"/>
  <c r="Z130" i="18"/>
  <c r="W131" i="18"/>
  <c r="AE42" i="18"/>
  <c r="U125" i="18"/>
  <c r="Y122" i="18"/>
  <c r="AD138" i="18"/>
  <c r="AE149" i="18"/>
  <c r="S130" i="18"/>
  <c r="AE144" i="18"/>
  <c r="AB135" i="18"/>
  <c r="T137" i="18"/>
  <c r="Y138" i="18"/>
  <c r="AB134" i="18"/>
  <c r="V129" i="18"/>
  <c r="AA131" i="18"/>
  <c r="AD113" i="18"/>
  <c r="AE9" i="18"/>
  <c r="AE12" i="18"/>
  <c r="AD30" i="18"/>
  <c r="AC23" i="18"/>
  <c r="AE27" i="18"/>
  <c r="AC35" i="18"/>
  <c r="AC46" i="18"/>
  <c r="AC37" i="18"/>
  <c r="AD38" i="18"/>
  <c r="AD44" i="18"/>
  <c r="AC53" i="18"/>
  <c r="AE49" i="18"/>
  <c r="AE52" i="18"/>
  <c r="AC54" i="18"/>
  <c r="AE55" i="18"/>
  <c r="AD56" i="18"/>
  <c r="AD57" i="18"/>
  <c r="AD59" i="18"/>
  <c r="AE60" i="18"/>
  <c r="AE61" i="18"/>
  <c r="AE67" i="18"/>
  <c r="AE64" i="18"/>
  <c r="AE65" i="18"/>
  <c r="AE68" i="18"/>
  <c r="AD70" i="18"/>
  <c r="AD71" i="18"/>
  <c r="AD74" i="18"/>
  <c r="AE76" i="18"/>
  <c r="AE90" i="18"/>
  <c r="AD78" i="18"/>
  <c r="AE80" i="18"/>
  <c r="AD82" i="18"/>
  <c r="AD83" i="18"/>
  <c r="AD86" i="18"/>
  <c r="AC87" i="18"/>
  <c r="AE89" i="18"/>
  <c r="AC91" i="18"/>
  <c r="AE92" i="18"/>
  <c r="AC94" i="18"/>
  <c r="AE95" i="18"/>
  <c r="AC98" i="18"/>
  <c r="AC102" i="18"/>
  <c r="AC104" i="18"/>
  <c r="AC105" i="18"/>
  <c r="AD106" i="18"/>
  <c r="AD107" i="18"/>
  <c r="AE108" i="18"/>
  <c r="AC111" i="18"/>
  <c r="AD112" i="18"/>
  <c r="AD116" i="18"/>
  <c r="AE119" i="18"/>
  <c r="AA126" i="18"/>
  <c r="AA121" i="18"/>
  <c r="AE142" i="18"/>
  <c r="Y130" i="18"/>
  <c r="AD145" i="18"/>
  <c r="AD134" i="18"/>
  <c r="S137" i="18"/>
  <c r="T139" i="18"/>
  <c r="U134" i="18"/>
  <c r="AB133" i="18"/>
  <c r="V130" i="18"/>
  <c r="X130" i="18"/>
  <c r="AC113" i="18"/>
  <c r="AE19" i="18"/>
  <c r="AD12" i="18"/>
  <c r="AC21" i="18"/>
  <c r="AE31" i="18"/>
  <c r="AD29" i="18"/>
  <c r="AD32" i="18"/>
  <c r="AE33" i="18"/>
  <c r="AE43" i="18"/>
  <c r="AD37" i="18"/>
  <c r="AC44" i="18"/>
  <c r="AE53" i="18"/>
  <c r="AD50" i="18"/>
  <c r="AD51" i="18"/>
  <c r="AC55" i="18"/>
  <c r="AC56" i="18"/>
  <c r="AE57" i="18"/>
  <c r="AC59" i="18"/>
  <c r="AD63" i="18"/>
  <c r="AC64" i="18"/>
  <c r="AC66" i="18"/>
  <c r="AD68" i="18"/>
  <c r="AE70" i="18"/>
  <c r="AE72" i="18"/>
  <c r="AC79" i="18"/>
  <c r="AD81" i="18"/>
  <c r="AC83" i="18"/>
  <c r="AC85" i="18"/>
  <c r="AE91" i="18"/>
  <c r="AE93" i="18"/>
  <c r="AD102" i="18"/>
  <c r="AD103" i="18"/>
  <c r="AE106" i="18"/>
  <c r="AC108" i="18"/>
  <c r="AD111" i="18"/>
  <c r="AE116" i="18"/>
  <c r="AC117" i="18"/>
  <c r="AC133" i="18"/>
  <c r="AC125" i="18"/>
  <c r="AC126" i="18"/>
  <c r="AB130" i="18"/>
  <c r="AC127" i="18"/>
  <c r="AE130" i="18"/>
  <c r="AE131" i="18"/>
  <c r="AD140" i="18"/>
  <c r="AC141" i="18"/>
  <c r="AC143" i="18"/>
  <c r="AD146" i="18"/>
  <c r="AD153" i="18"/>
  <c r="AD155" i="18"/>
  <c r="AE156" i="18"/>
  <c r="AE157" i="18"/>
  <c r="AE159" i="18"/>
  <c r="AD160" i="18"/>
  <c r="AE161" i="18"/>
  <c r="AE162" i="18"/>
  <c r="AE163" i="18"/>
  <c r="AE164" i="18"/>
  <c r="AC165" i="18"/>
  <c r="AC166" i="18"/>
  <c r="AD167" i="18"/>
  <c r="AD168" i="18"/>
  <c r="AD179" i="18"/>
  <c r="AD180" i="18"/>
  <c r="AC170" i="18"/>
  <c r="AE171" i="18"/>
  <c r="AC174" i="18"/>
  <c r="U9" i="18"/>
  <c r="Y9" i="18"/>
  <c r="AD10" i="18"/>
  <c r="T10" i="18"/>
  <c r="X10" i="18"/>
  <c r="AB10" i="18"/>
  <c r="U11" i="18"/>
  <c r="Y11" i="18"/>
  <c r="S12" i="18"/>
  <c r="W12" i="18"/>
  <c r="AA12" i="18"/>
  <c r="T13" i="18"/>
  <c r="X13" i="18"/>
  <c r="AB13" i="18"/>
  <c r="V14" i="18"/>
  <c r="Z14" i="18"/>
  <c r="S15" i="18"/>
  <c r="W15" i="18"/>
  <c r="AA15" i="18"/>
  <c r="T16" i="18"/>
  <c r="X16" i="18"/>
  <c r="AB16" i="18"/>
  <c r="U17" i="18"/>
  <c r="Y17" i="18"/>
  <c r="V18" i="18"/>
  <c r="Z18" i="18"/>
  <c r="V19" i="18"/>
  <c r="Z19" i="18"/>
  <c r="AE20" i="18"/>
  <c r="U20" i="18"/>
  <c r="Y20" i="18"/>
  <c r="S21" i="18"/>
  <c r="W21" i="18"/>
  <c r="AA21" i="18"/>
  <c r="U22" i="18"/>
  <c r="Y22" i="18"/>
  <c r="V23" i="18"/>
  <c r="Z23" i="18"/>
  <c r="S24" i="18"/>
  <c r="W24" i="18"/>
  <c r="AA24" i="18"/>
  <c r="C25" i="18"/>
  <c r="T25" i="18"/>
  <c r="X25" i="18"/>
  <c r="AB25" i="18"/>
  <c r="V26" i="18"/>
  <c r="Z26" i="18"/>
  <c r="S27" i="18"/>
  <c r="W27" i="18"/>
  <c r="AA27" i="18"/>
  <c r="T28" i="18"/>
  <c r="X28" i="18"/>
  <c r="AB28" i="18"/>
  <c r="U29" i="18"/>
  <c r="Y29" i="18"/>
  <c r="U30" i="18"/>
  <c r="Y30" i="18"/>
  <c r="U31" i="18"/>
  <c r="Y31" i="18"/>
  <c r="B32" i="18"/>
  <c r="V32" i="18"/>
  <c r="Z32" i="18"/>
  <c r="T33" i="18"/>
  <c r="X33" i="18"/>
  <c r="AB33" i="18"/>
  <c r="AC34" i="18"/>
  <c r="S34" i="18"/>
  <c r="W34" i="18"/>
  <c r="AA34" i="18"/>
  <c r="C35" i="18"/>
  <c r="T35" i="18"/>
  <c r="X35" i="18"/>
  <c r="AB35" i="18"/>
  <c r="V36" i="18"/>
  <c r="Z36" i="18"/>
  <c r="S37" i="18"/>
  <c r="W37" i="18"/>
  <c r="AA37" i="18"/>
  <c r="T38" i="18"/>
  <c r="X38" i="18"/>
  <c r="AB38" i="18"/>
  <c r="V39" i="18"/>
  <c r="Z39" i="18"/>
  <c r="T40" i="18"/>
  <c r="X40" i="18"/>
  <c r="AB40" i="18"/>
  <c r="T41" i="18"/>
  <c r="X41" i="18"/>
  <c r="AB41" i="18"/>
  <c r="V42" i="18"/>
  <c r="Z42" i="18"/>
  <c r="S43" i="18"/>
  <c r="W43" i="18"/>
  <c r="AA43" i="18"/>
  <c r="U44" i="18"/>
  <c r="Y44" i="18"/>
  <c r="V45" i="18"/>
  <c r="Z45" i="18"/>
  <c r="V46" i="18"/>
  <c r="Z46" i="18"/>
  <c r="AD47" i="18"/>
  <c r="T47" i="18"/>
  <c r="X47" i="18"/>
  <c r="AB47" i="18"/>
  <c r="V48" i="18"/>
  <c r="Z48" i="18"/>
  <c r="S49" i="18"/>
  <c r="W49" i="18"/>
  <c r="AA49" i="18"/>
  <c r="T50" i="18"/>
  <c r="X50" i="18"/>
  <c r="AB50" i="18"/>
  <c r="U51" i="18"/>
  <c r="Y51" i="18"/>
  <c r="V52" i="18"/>
  <c r="Z52" i="18"/>
  <c r="T53" i="18"/>
  <c r="X53" i="18"/>
  <c r="AB53" i="18"/>
  <c r="U54" i="18"/>
  <c r="Y54" i="18"/>
  <c r="V55" i="18"/>
  <c r="Z55" i="18"/>
  <c r="C56" i="18"/>
  <c r="S56" i="18"/>
  <c r="AE147" i="18"/>
  <c r="AE16" i="18"/>
  <c r="R135" i="18"/>
  <c r="C135" i="18"/>
  <c r="W136" i="18"/>
  <c r="U139" i="18"/>
  <c r="V133" i="18"/>
  <c r="Z129" i="18"/>
  <c r="AD154" i="18"/>
  <c r="AD9" i="18"/>
  <c r="AD21" i="18"/>
  <c r="AD23" i="18"/>
  <c r="AE25" i="18"/>
  <c r="AD27" i="18"/>
  <c r="AE32" i="18"/>
  <c r="AE39" i="18"/>
  <c r="AE45" i="18"/>
  <c r="AD48" i="18"/>
  <c r="AE50" i="18"/>
  <c r="AD54" i="18"/>
  <c r="AE56" i="18"/>
  <c r="AC67" i="18"/>
  <c r="AC65" i="18"/>
  <c r="AC69" i="18"/>
  <c r="AE74" i="18"/>
  <c r="AC90" i="18"/>
  <c r="AD77" i="18"/>
  <c r="AD84" i="18"/>
  <c r="AE88" i="18"/>
  <c r="AD89" i="18"/>
  <c r="AD91" i="18"/>
  <c r="AE94" i="18"/>
  <c r="AD101" i="18"/>
  <c r="AC103" i="18"/>
  <c r="AD105" i="18"/>
  <c r="AC107" i="18"/>
  <c r="AE111" i="18"/>
  <c r="AD133" i="18"/>
  <c r="AE125" i="18"/>
  <c r="AB127" i="18"/>
  <c r="AB129" i="18"/>
  <c r="AD127" i="18"/>
  <c r="AD128" i="18"/>
  <c r="AD129" i="18"/>
  <c r="AC130" i="18"/>
  <c r="AD131" i="18"/>
  <c r="AE140" i="18"/>
  <c r="AE141" i="18"/>
  <c r="AE153" i="18"/>
  <c r="AD156" i="18"/>
  <c r="AC158" i="18"/>
  <c r="AC159" i="18"/>
  <c r="AC160" i="18"/>
  <c r="AC163" i="18"/>
  <c r="AE165" i="18"/>
  <c r="AC167" i="18"/>
  <c r="AE168" i="18"/>
  <c r="AC180" i="18"/>
  <c r="AD170" i="18"/>
  <c r="AD172" i="18"/>
  <c r="AE173" i="18"/>
  <c r="AE175" i="18"/>
  <c r="AE176" i="18"/>
  <c r="AE177" i="18"/>
  <c r="AD178" i="18"/>
  <c r="W9" i="18"/>
  <c r="AB9" i="18"/>
  <c r="AE10" i="18"/>
  <c r="V10" i="18"/>
  <c r="AA10" i="18"/>
  <c r="W11" i="18"/>
  <c r="AB11" i="18"/>
  <c r="T12" i="18"/>
  <c r="Y12" i="18"/>
  <c r="U13" i="18"/>
  <c r="Z13" i="18"/>
  <c r="W14" i="18"/>
  <c r="AB14" i="18"/>
  <c r="X15" i="18"/>
  <c r="S16" i="18"/>
  <c r="Y16" i="18"/>
  <c r="S17" i="18"/>
  <c r="X17" i="18"/>
  <c r="T18" i="18"/>
  <c r="Y18" i="18"/>
  <c r="T19" i="18"/>
  <c r="Y19" i="18"/>
  <c r="S20" i="18"/>
  <c r="X20" i="18"/>
  <c r="C21" i="18"/>
  <c r="U21" i="18"/>
  <c r="Z21" i="18"/>
  <c r="W22" i="18"/>
  <c r="AB22" i="18"/>
  <c r="S23" i="18"/>
  <c r="X23" i="18"/>
  <c r="T24" i="18"/>
  <c r="Y24" i="18"/>
  <c r="U25" i="18"/>
  <c r="Z25" i="18"/>
  <c r="W26" i="18"/>
  <c r="AB26" i="18"/>
  <c r="X27" i="18"/>
  <c r="S28" i="18"/>
  <c r="Y28" i="18"/>
  <c r="S29" i="18"/>
  <c r="X29" i="18"/>
  <c r="S30" i="18"/>
  <c r="X30" i="18"/>
  <c r="C31" i="18"/>
  <c r="W31" i="18"/>
  <c r="AB31" i="18"/>
  <c r="S32" i="18"/>
  <c r="X32" i="18"/>
  <c r="U33" i="18"/>
  <c r="Z33" i="18"/>
  <c r="T34" i="18"/>
  <c r="Y34" i="18"/>
  <c r="U35" i="18"/>
  <c r="Z35" i="18"/>
  <c r="C36" i="18"/>
  <c r="W36" i="18"/>
  <c r="AB36" i="18"/>
  <c r="X37" i="18"/>
  <c r="B38" i="18"/>
  <c r="S38" i="18"/>
  <c r="Y38" i="18"/>
  <c r="U39" i="18"/>
  <c r="AA39" i="18"/>
  <c r="W40" i="18"/>
  <c r="W41" i="18"/>
  <c r="T42" i="18"/>
  <c r="Y42" i="18"/>
  <c r="U43" i="18"/>
  <c r="Z43" i="18"/>
  <c r="W44" i="18"/>
  <c r="AB44" i="18"/>
  <c r="S45" i="18"/>
  <c r="X45" i="18"/>
  <c r="S46" i="18"/>
  <c r="X46" i="18"/>
  <c r="B47" i="18"/>
  <c r="AE47" i="18"/>
  <c r="V47" i="18"/>
  <c r="AA47" i="18"/>
  <c r="S48" i="18"/>
  <c r="X48" i="18"/>
  <c r="B49" i="18"/>
  <c r="T49" i="18"/>
  <c r="Y49" i="18"/>
  <c r="U50" i="18"/>
  <c r="Z50" i="18"/>
  <c r="T51" i="18"/>
  <c r="Z51" i="18"/>
  <c r="C52" i="18"/>
  <c r="U52" i="18"/>
  <c r="AA52" i="18"/>
  <c r="W53" i="18"/>
  <c r="S54" i="18"/>
  <c r="X54" i="18"/>
  <c r="T55" i="18"/>
  <c r="Y55" i="18"/>
  <c r="U56" i="18"/>
  <c r="Y56" i="18"/>
  <c r="V57" i="18"/>
  <c r="Z57" i="18"/>
  <c r="T58" i="18"/>
  <c r="X58" i="18"/>
  <c r="AB58" i="18"/>
  <c r="U59" i="18"/>
  <c r="Y59" i="18"/>
  <c r="S60" i="18"/>
  <c r="W60" i="18"/>
  <c r="AA60" i="18"/>
  <c r="U61" i="18"/>
  <c r="Y61" i="18"/>
  <c r="AD62" i="18"/>
  <c r="T62" i="18"/>
  <c r="X62" i="18"/>
  <c r="AB62" i="18"/>
  <c r="V63" i="18"/>
  <c r="Z63" i="18"/>
  <c r="R64" i="18"/>
  <c r="C64" i="18"/>
  <c r="T64" i="18"/>
  <c r="X64" i="18"/>
  <c r="AB64" i="18"/>
  <c r="U65" i="18"/>
  <c r="Y65" i="18"/>
  <c r="V66" i="18"/>
  <c r="Z66" i="18"/>
  <c r="R67" i="18"/>
  <c r="C67" i="18"/>
  <c r="T67" i="18"/>
  <c r="X67" i="18"/>
  <c r="AB67" i="18"/>
  <c r="V68" i="18"/>
  <c r="Z68" i="18"/>
  <c r="V69" i="18"/>
  <c r="Z69" i="18"/>
  <c r="S70" i="18"/>
  <c r="W70" i="18"/>
  <c r="AA70" i="18"/>
  <c r="U71" i="18"/>
  <c r="Y71" i="18"/>
  <c r="V72" i="18"/>
  <c r="Z72" i="18"/>
  <c r="S73" i="18"/>
  <c r="W73" i="18"/>
  <c r="AA73" i="18"/>
  <c r="T74" i="18"/>
  <c r="X74" i="18"/>
  <c r="AB74" i="18"/>
  <c r="AC75" i="18"/>
  <c r="S75" i="18"/>
  <c r="W75" i="18"/>
  <c r="AA75" i="18"/>
  <c r="R76" i="18"/>
  <c r="C76" i="18"/>
  <c r="T76" i="18"/>
  <c r="X76" i="18"/>
  <c r="AB76" i="18"/>
  <c r="V77" i="18"/>
  <c r="Z77" i="18"/>
  <c r="V78" i="18"/>
  <c r="Z78" i="18"/>
  <c r="S79" i="18"/>
  <c r="W79" i="18"/>
  <c r="AA79" i="18"/>
  <c r="U80" i="18"/>
  <c r="Y80" i="18"/>
  <c r="V81" i="18"/>
  <c r="Z81" i="18"/>
  <c r="S82" i="18"/>
  <c r="W82" i="18"/>
  <c r="AA82" i="18"/>
  <c r="R83" i="18"/>
  <c r="C83" i="18"/>
  <c r="S83" i="18"/>
  <c r="W83" i="18"/>
  <c r="AA83" i="18"/>
  <c r="R84" i="18"/>
  <c r="C84" i="18"/>
  <c r="T84" i="18"/>
  <c r="X84" i="18"/>
  <c r="AB84" i="18"/>
  <c r="U85" i="18"/>
  <c r="Y85" i="18"/>
  <c r="U86" i="18"/>
  <c r="Y86" i="18"/>
  <c r="V87" i="18"/>
  <c r="Z87" i="18"/>
  <c r="R88" i="18"/>
  <c r="C88" i="18"/>
  <c r="S88" i="18"/>
  <c r="W88" i="18"/>
  <c r="AA88" i="18"/>
  <c r="U89" i="18"/>
  <c r="Y89" i="18"/>
  <c r="B90" i="18"/>
  <c r="S90" i="18"/>
  <c r="W90" i="18"/>
  <c r="AA90" i="18"/>
  <c r="U91" i="18"/>
  <c r="Y91" i="18"/>
  <c r="B92" i="18"/>
  <c r="S92" i="18"/>
  <c r="W92" i="18"/>
  <c r="AA92" i="18"/>
  <c r="R93" i="18"/>
  <c r="C93" i="18"/>
  <c r="U93" i="18"/>
  <c r="Y93" i="18"/>
  <c r="S94" i="18"/>
  <c r="W94" i="18"/>
  <c r="AA94" i="18"/>
  <c r="R95" i="18"/>
  <c r="C95" i="18"/>
  <c r="T95" i="18"/>
  <c r="X95" i="18"/>
  <c r="AB95" i="18"/>
  <c r="U96" i="18"/>
  <c r="Y96" i="18"/>
  <c r="AC96" i="18"/>
  <c r="AE97" i="18"/>
  <c r="U97" i="18"/>
  <c r="Y97" i="18"/>
  <c r="S98" i="18"/>
  <c r="W98" i="18"/>
  <c r="AA98" i="18"/>
  <c r="R99" i="18"/>
  <c r="C99" i="18"/>
  <c r="T99" i="18"/>
  <c r="X99" i="18"/>
  <c r="AB99" i="18"/>
  <c r="U100" i="18"/>
  <c r="Y100" i="18"/>
  <c r="B101" i="18"/>
  <c r="V101" i="18"/>
  <c r="Z101" i="18"/>
  <c r="R102" i="18"/>
  <c r="C102" i="18"/>
  <c r="T102" i="18"/>
  <c r="X102" i="18"/>
  <c r="AB102" i="18"/>
  <c r="V103" i="18"/>
  <c r="Z103" i="18"/>
  <c r="T104" i="18"/>
  <c r="X104" i="18"/>
  <c r="AB104" i="18"/>
  <c r="V105" i="18"/>
  <c r="Z105" i="18"/>
  <c r="T106" i="18"/>
  <c r="X106" i="18"/>
  <c r="AB106" i="18"/>
  <c r="V107" i="18"/>
  <c r="Z107" i="18"/>
  <c r="T108" i="18"/>
  <c r="X108" i="18"/>
  <c r="AB108" i="18"/>
  <c r="V109" i="18"/>
  <c r="Z109" i="18"/>
  <c r="T110" i="18"/>
  <c r="X110" i="18"/>
  <c r="AB110" i="18"/>
  <c r="U111" i="18"/>
  <c r="Y111" i="18"/>
  <c r="S112" i="18"/>
  <c r="W112" i="18"/>
  <c r="AA112" i="18"/>
  <c r="U113" i="18"/>
  <c r="Y113" i="18"/>
  <c r="V114" i="18"/>
  <c r="Z114" i="18"/>
  <c r="V115" i="18"/>
  <c r="Z115" i="18"/>
  <c r="AD115" i="18"/>
  <c r="R116" i="18"/>
  <c r="C116" i="18"/>
  <c r="U116" i="18"/>
  <c r="Y116" i="18"/>
  <c r="B117" i="18"/>
  <c r="S117" i="18"/>
  <c r="W117" i="18"/>
  <c r="AA117" i="18"/>
  <c r="R118" i="18"/>
  <c r="C118" i="18"/>
  <c r="U118" i="18"/>
  <c r="Y118" i="18"/>
  <c r="V119" i="18"/>
  <c r="Z119" i="18"/>
  <c r="R120" i="18"/>
  <c r="C120" i="18"/>
  <c r="R121" i="18"/>
  <c r="C121" i="18"/>
  <c r="R122" i="18"/>
  <c r="C122" i="18"/>
  <c r="R123" i="18"/>
  <c r="C123" i="18"/>
  <c r="R124" i="18"/>
  <c r="C124" i="18"/>
  <c r="V124" i="18"/>
  <c r="Z124" i="18"/>
  <c r="R125" i="18"/>
  <c r="C125" i="18"/>
  <c r="R126" i="18"/>
  <c r="C126" i="18"/>
  <c r="V132" i="18"/>
  <c r="Z132" i="18"/>
  <c r="R134" i="18"/>
  <c r="C134" i="18"/>
  <c r="B140" i="18"/>
  <c r="V140" i="18"/>
  <c r="Z140" i="18"/>
  <c r="T141" i="18"/>
  <c r="X141" i="18"/>
  <c r="AB141" i="18"/>
  <c r="V142" i="18"/>
  <c r="Z142" i="18"/>
  <c r="S143" i="18"/>
  <c r="W143" i="18"/>
  <c r="AA143" i="18"/>
  <c r="R144" i="18"/>
  <c r="C144" i="18"/>
  <c r="U144" i="18"/>
  <c r="Y144" i="18"/>
  <c r="U145" i="18"/>
  <c r="Y145" i="18"/>
  <c r="B146" i="18"/>
  <c r="V146" i="18"/>
  <c r="Z146" i="18"/>
  <c r="R147" i="18"/>
  <c r="C147" i="18"/>
  <c r="T147" i="18"/>
  <c r="X147" i="18"/>
  <c r="AB147" i="18"/>
  <c r="U148" i="18"/>
  <c r="Y148" i="18"/>
  <c r="V149" i="18"/>
  <c r="Z149" i="18"/>
  <c r="R150" i="18"/>
  <c r="C150" i="18"/>
  <c r="S150" i="18"/>
  <c r="W150" i="18"/>
  <c r="AA150" i="18"/>
  <c r="T151" i="18"/>
  <c r="X151" i="18"/>
  <c r="AB151" i="18"/>
  <c r="V152" i="18"/>
  <c r="Z152" i="18"/>
  <c r="R153" i="18"/>
  <c r="C153" i="18"/>
  <c r="T153" i="18"/>
  <c r="X153" i="18"/>
  <c r="AB153" i="18"/>
  <c r="V154" i="18"/>
  <c r="Z154" i="18"/>
  <c r="T155" i="18"/>
  <c r="X155" i="18"/>
  <c r="AB155" i="18"/>
  <c r="U156" i="18"/>
  <c r="Y156" i="18"/>
  <c r="S157" i="18"/>
  <c r="W157" i="18"/>
  <c r="AA157" i="18"/>
  <c r="R158" i="18"/>
  <c r="C158" i="18"/>
  <c r="U158" i="18"/>
  <c r="Y158" i="18"/>
  <c r="B159" i="18"/>
  <c r="S159" i="18"/>
  <c r="W159" i="18"/>
  <c r="AA159" i="18"/>
  <c r="R160" i="18"/>
  <c r="C160" i="18"/>
  <c r="AA160" i="18"/>
  <c r="U162" i="18"/>
  <c r="Y162" i="18"/>
  <c r="V163" i="18"/>
  <c r="Z163" i="18"/>
  <c r="S164" i="18"/>
  <c r="W164" i="18"/>
  <c r="AA164" i="18"/>
  <c r="R165" i="18"/>
  <c r="C165" i="18"/>
  <c r="U165" i="18"/>
  <c r="Y165" i="18"/>
  <c r="V166" i="18"/>
  <c r="Z166" i="18"/>
  <c r="S167" i="18"/>
  <c r="W167" i="18"/>
  <c r="AA167" i="18"/>
  <c r="U168" i="18"/>
  <c r="Y168" i="18"/>
  <c r="B169" i="18"/>
  <c r="Y169" i="18"/>
  <c r="U170" i="18"/>
  <c r="Y170" i="18"/>
  <c r="S171" i="18"/>
  <c r="W171" i="18"/>
  <c r="AA171" i="18"/>
  <c r="R172" i="18"/>
  <c r="C172" i="18"/>
  <c r="T172" i="18"/>
  <c r="X172" i="18"/>
  <c r="AB172" i="18"/>
  <c r="U173" i="18"/>
  <c r="Y173" i="18"/>
  <c r="U174" i="18"/>
  <c r="Y174" i="18"/>
  <c r="B175" i="18"/>
  <c r="S175" i="18"/>
  <c r="W175" i="18"/>
  <c r="AA175" i="18"/>
  <c r="R176" i="18"/>
  <c r="C176" i="18"/>
  <c r="U176" i="18"/>
  <c r="Y176" i="18"/>
  <c r="V177" i="18"/>
  <c r="Z177" i="18"/>
  <c r="R178" i="18"/>
  <c r="C178" i="18"/>
  <c r="T178" i="18"/>
  <c r="X178" i="18"/>
  <c r="AB178" i="18"/>
  <c r="V179" i="18"/>
  <c r="Z179" i="18"/>
  <c r="S180" i="18"/>
  <c r="W180" i="18"/>
  <c r="AA180" i="18"/>
  <c r="S135" i="18"/>
  <c r="T128" i="18"/>
  <c r="AD137" i="18"/>
  <c r="X137" i="18"/>
  <c r="Y139" i="18"/>
  <c r="AA133" i="18"/>
  <c r="AA129" i="18"/>
  <c r="AD43" i="18"/>
  <c r="AD58" i="18"/>
  <c r="AC61" i="18"/>
  <c r="AE69" i="18"/>
  <c r="AC71" i="18"/>
  <c r="AC73" i="18"/>
  <c r="AC114" i="18"/>
  <c r="AD11" i="18"/>
  <c r="AC30" i="18"/>
  <c r="AE29" i="18"/>
  <c r="AD55" i="18"/>
  <c r="AE59" i="18"/>
  <c r="AD66" i="18"/>
  <c r="AA120" i="18"/>
  <c r="T130" i="18"/>
  <c r="AD15" i="18"/>
  <c r="AC17" i="18"/>
  <c r="W135" i="18"/>
  <c r="S138" i="18"/>
  <c r="W130" i="18"/>
  <c r="AE136" i="18"/>
  <c r="Y129" i="18"/>
  <c r="S136" i="18"/>
  <c r="U138" i="18"/>
  <c r="Z134" i="18"/>
  <c r="U128" i="18"/>
  <c r="X131" i="18"/>
  <c r="AE13" i="18"/>
  <c r="AC48" i="18"/>
  <c r="AD52" i="18"/>
  <c r="AD61" i="18"/>
  <c r="AD80" i="18"/>
  <c r="AD93" i="18"/>
  <c r="AE101" i="18"/>
  <c r="AD104" i="18"/>
  <c r="AC109" i="18"/>
  <c r="AC110" i="18"/>
  <c r="AE112" i="18"/>
  <c r="AE117" i="18"/>
  <c r="AD125" i="18"/>
  <c r="AB131" i="18"/>
  <c r="AC128" i="18"/>
  <c r="AE129" i="18"/>
  <c r="AE132" i="18"/>
  <c r="AC140" i="18"/>
  <c r="AC155" i="18"/>
  <c r="AD157" i="18"/>
  <c r="AD161" i="18"/>
  <c r="AD166" i="18"/>
  <c r="AC168" i="18"/>
  <c r="AE180" i="18"/>
  <c r="AC169" i="18"/>
  <c r="AD171" i="18"/>
  <c r="AD173" i="18"/>
  <c r="AC177" i="18"/>
  <c r="AE178" i="18"/>
  <c r="V9" i="18"/>
  <c r="C10" i="18"/>
  <c r="S10" i="18"/>
  <c r="Z10" i="18"/>
  <c r="S11" i="18"/>
  <c r="Z11" i="18"/>
  <c r="Z12" i="18"/>
  <c r="Y13" i="18"/>
  <c r="S14" i="18"/>
  <c r="Y14" i="18"/>
  <c r="Y15" i="18"/>
  <c r="W16" i="18"/>
  <c r="V17" i="18"/>
  <c r="AB17" i="18"/>
  <c r="U18" i="18"/>
  <c r="AB18" i="18"/>
  <c r="S19" i="18"/>
  <c r="AA19" i="18"/>
  <c r="AD20" i="18"/>
  <c r="W20" i="18"/>
  <c r="X21" i="18"/>
  <c r="AE14" i="18"/>
  <c r="AD13" i="18"/>
  <c r="AE58" i="18"/>
  <c r="AD49" i="18"/>
  <c r="AE51" i="18"/>
  <c r="AE66" i="18"/>
  <c r="AD72" i="18"/>
  <c r="AC76" i="18"/>
  <c r="AE82" i="18"/>
  <c r="AD85" i="18"/>
  <c r="AC86" i="18"/>
  <c r="AD87" i="18"/>
  <c r="AC88" i="18"/>
  <c r="AC89" i="18"/>
  <c r="AC92" i="18"/>
  <c r="AE98" i="18"/>
  <c r="AE104" i="18"/>
  <c r="AD108" i="18"/>
  <c r="AE133" i="18"/>
  <c r="AE126" i="18"/>
  <c r="AE128" i="18"/>
  <c r="AC132" i="18"/>
  <c r="AC146" i="18"/>
  <c r="AD159" i="18"/>
  <c r="AC161" i="18"/>
  <c r="AD163" i="18"/>
  <c r="AC164" i="18"/>
  <c r="AE167" i="18"/>
  <c r="AD169" i="18"/>
  <c r="AE172" i="18"/>
  <c r="AD175" i="18"/>
  <c r="S9" i="18"/>
  <c r="U10" i="18"/>
  <c r="X11" i="18"/>
  <c r="U12" i="18"/>
  <c r="B13" i="18"/>
  <c r="W13" i="18"/>
  <c r="T14" i="18"/>
  <c r="V15" i="18"/>
  <c r="Z16" i="18"/>
  <c r="AA17" i="18"/>
  <c r="W18" i="18"/>
  <c r="X19" i="18"/>
  <c r="AA20" i="18"/>
  <c r="V21" i="18"/>
  <c r="S22" i="18"/>
  <c r="Z22" i="18"/>
  <c r="Y23" i="18"/>
  <c r="X24" i="18"/>
  <c r="W25" i="18"/>
  <c r="X26" i="18"/>
  <c r="C27" i="18"/>
  <c r="V27" i="18"/>
  <c r="V28" i="18"/>
  <c r="T29" i="18"/>
  <c r="AA29" i="18"/>
  <c r="Z30" i="18"/>
  <c r="V31" i="18"/>
  <c r="U32" i="18"/>
  <c r="AB32" i="18"/>
  <c r="V33" i="18"/>
  <c r="Z34" i="18"/>
  <c r="Y35" i="18"/>
  <c r="S36" i="18"/>
  <c r="Y36" i="18"/>
  <c r="Y37" i="18"/>
  <c r="W38" i="18"/>
  <c r="X39" i="18"/>
  <c r="Y40" i="18"/>
  <c r="V41" i="18"/>
  <c r="W42" i="18"/>
  <c r="V43" i="18"/>
  <c r="B44" i="18"/>
  <c r="V44" i="18"/>
  <c r="U45" i="18"/>
  <c r="AB45" i="18"/>
  <c r="T46" i="18"/>
  <c r="AA46" i="18"/>
  <c r="AC47" i="18"/>
  <c r="W47" i="18"/>
  <c r="C48" i="18"/>
  <c r="W48" i="18"/>
  <c r="V49" i="18"/>
  <c r="B50" i="18"/>
  <c r="V50" i="18"/>
  <c r="S51" i="18"/>
  <c r="AA51" i="18"/>
  <c r="S52" i="18"/>
  <c r="Y52" i="18"/>
  <c r="S53" i="18"/>
  <c r="Z53" i="18"/>
  <c r="Z54" i="18"/>
  <c r="X55" i="18"/>
  <c r="W56" i="18"/>
  <c r="AB56" i="18"/>
  <c r="S57" i="18"/>
  <c r="X57" i="18"/>
  <c r="U58" i="18"/>
  <c r="Z58" i="18"/>
  <c r="V59" i="18"/>
  <c r="AA59" i="18"/>
  <c r="X60" i="18"/>
  <c r="T61" i="18"/>
  <c r="Z61" i="18"/>
  <c r="R62" i="18"/>
  <c r="C62" i="18"/>
  <c r="S62" i="18"/>
  <c r="Y62" i="18"/>
  <c r="U63" i="18"/>
  <c r="AA63" i="18"/>
  <c r="W64" i="18"/>
  <c r="S65" i="18"/>
  <c r="X65" i="18"/>
  <c r="R66" i="18"/>
  <c r="C66" i="18"/>
  <c r="T66" i="18"/>
  <c r="Y66" i="18"/>
  <c r="V67" i="18"/>
  <c r="AA67" i="18"/>
  <c r="S68" i="18"/>
  <c r="X68" i="18"/>
  <c r="B69" i="18"/>
  <c r="S69" i="18"/>
  <c r="X69" i="18"/>
  <c r="T70" i="18"/>
  <c r="Y70" i="18"/>
  <c r="R71" i="18"/>
  <c r="C71" i="18"/>
  <c r="V71" i="18"/>
  <c r="AA71" i="18"/>
  <c r="W72" i="18"/>
  <c r="AB72" i="18"/>
  <c r="X73" i="18"/>
  <c r="S74" i="18"/>
  <c r="Y74" i="18"/>
  <c r="R75" i="18"/>
  <c r="C75" i="18"/>
  <c r="X75" i="18"/>
  <c r="B76" i="18"/>
  <c r="S76" i="18"/>
  <c r="Y76" i="18"/>
  <c r="U77" i="18"/>
  <c r="AA77" i="18"/>
  <c r="U78" i="18"/>
  <c r="AA78" i="18"/>
  <c r="V79" i="18"/>
  <c r="AB79" i="18"/>
  <c r="S80" i="18"/>
  <c r="X80" i="18"/>
  <c r="T81" i="18"/>
  <c r="Y81" i="18"/>
  <c r="R82" i="18"/>
  <c r="C82" i="18"/>
  <c r="U82" i="18"/>
  <c r="Z82" i="18"/>
  <c r="U83" i="18"/>
  <c r="Z83" i="18"/>
  <c r="V84" i="18"/>
  <c r="AA84" i="18"/>
  <c r="V85" i="18"/>
  <c r="AA85" i="18"/>
  <c r="T86" i="18"/>
  <c r="Z86" i="18"/>
  <c r="R87" i="18"/>
  <c r="C87" i="18"/>
  <c r="U87" i="18"/>
  <c r="AA87" i="18"/>
  <c r="V88" i="18"/>
  <c r="AB88" i="18"/>
  <c r="S89" i="18"/>
  <c r="X89" i="18"/>
  <c r="R90" i="18"/>
  <c r="C90" i="18"/>
  <c r="U90" i="18"/>
  <c r="Z90" i="18"/>
  <c r="W91" i="18"/>
  <c r="AB91" i="18"/>
  <c r="T92" i="18"/>
  <c r="Y92" i="18"/>
  <c r="V93" i="18"/>
  <c r="AA93" i="18"/>
  <c r="X94" i="18"/>
  <c r="B95" i="18"/>
  <c r="S95" i="18"/>
  <c r="Y95" i="18"/>
  <c r="S96" i="18"/>
  <c r="X96" i="18"/>
  <c r="AD96" i="18"/>
  <c r="AC97" i="18"/>
  <c r="T97" i="18"/>
  <c r="Z97" i="18"/>
  <c r="V98" i="18"/>
  <c r="AB98" i="18"/>
  <c r="W99" i="18"/>
  <c r="B100" i="18"/>
  <c r="W100" i="18"/>
  <c r="AB100" i="18"/>
  <c r="S101" i="18"/>
  <c r="X101" i="18"/>
  <c r="U102" i="18"/>
  <c r="Z102" i="18"/>
  <c r="W103" i="18"/>
  <c r="AB103" i="18"/>
  <c r="S104" i="18"/>
  <c r="Y104" i="18"/>
  <c r="U105" i="18"/>
  <c r="AA105" i="18"/>
  <c r="W106" i="18"/>
  <c r="T107" i="18"/>
  <c r="Y107" i="18"/>
  <c r="R108" i="18"/>
  <c r="C108" i="18"/>
  <c r="V108" i="18"/>
  <c r="AA108" i="18"/>
  <c r="S109" i="18"/>
  <c r="X109" i="18"/>
  <c r="U110" i="18"/>
  <c r="Z110" i="18"/>
  <c r="R111" i="18"/>
  <c r="C111" i="18"/>
  <c r="V111" i="18"/>
  <c r="AA111" i="18"/>
  <c r="X112" i="18"/>
  <c r="B113" i="18"/>
  <c r="T113" i="18"/>
  <c r="Z113" i="18"/>
  <c r="R114" i="18"/>
  <c r="C114" i="18"/>
  <c r="U114" i="18"/>
  <c r="AA114" i="18"/>
  <c r="U115" i="18"/>
  <c r="AA115" i="18"/>
  <c r="B116" i="18"/>
  <c r="T116" i="18"/>
  <c r="Z116" i="18"/>
  <c r="R117" i="18"/>
  <c r="C117" i="18"/>
  <c r="V117" i="18"/>
  <c r="AB117" i="18"/>
  <c r="S118" i="18"/>
  <c r="X118" i="18"/>
  <c r="T119" i="18"/>
  <c r="Y119" i="18"/>
  <c r="T124" i="18"/>
  <c r="Y124" i="18"/>
  <c r="B127" i="18"/>
  <c r="R129" i="18"/>
  <c r="C129" i="18"/>
  <c r="B132" i="18"/>
  <c r="S132" i="18"/>
  <c r="X132" i="18"/>
  <c r="W140" i="18"/>
  <c r="AB140" i="18"/>
  <c r="S141" i="18"/>
  <c r="Y141" i="18"/>
  <c r="R142" i="18"/>
  <c r="C142" i="18"/>
  <c r="U142" i="18"/>
  <c r="AA142" i="18"/>
  <c r="V143" i="18"/>
  <c r="AB143" i="18"/>
  <c r="S144" i="18"/>
  <c r="X144" i="18"/>
  <c r="S145" i="18"/>
  <c r="X145" i="18"/>
  <c r="T146" i="18"/>
  <c r="Y146" i="18"/>
  <c r="V147" i="18"/>
  <c r="AA147" i="18"/>
  <c r="W148" i="18"/>
  <c r="AB148" i="18"/>
  <c r="S149" i="18"/>
  <c r="X149" i="18"/>
  <c r="T150" i="18"/>
  <c r="Y150" i="18"/>
  <c r="R151" i="18"/>
  <c r="C151" i="18"/>
  <c r="U151" i="18"/>
  <c r="Z151" i="18"/>
  <c r="W152" i="18"/>
  <c r="AB152" i="18"/>
  <c r="S153" i="18"/>
  <c r="Y153" i="18"/>
  <c r="U154" i="18"/>
  <c r="AA154" i="18"/>
  <c r="W155" i="18"/>
  <c r="S156" i="18"/>
  <c r="X156" i="18"/>
  <c r="U157" i="18"/>
  <c r="Z157" i="18"/>
  <c r="W158" i="18"/>
  <c r="AB158" i="18"/>
  <c r="T159" i="18"/>
  <c r="Y159" i="18"/>
  <c r="B162" i="18"/>
  <c r="T162" i="18"/>
  <c r="Z162" i="18"/>
  <c r="R163" i="18"/>
  <c r="C163" i="18"/>
  <c r="U163" i="18"/>
  <c r="AA163" i="18"/>
  <c r="V164" i="18"/>
  <c r="AB164" i="18"/>
  <c r="S165" i="18"/>
  <c r="X165" i="18"/>
  <c r="T166" i="18"/>
  <c r="Y166" i="18"/>
  <c r="R167" i="18"/>
  <c r="C167" i="18"/>
  <c r="U167" i="18"/>
  <c r="Z167" i="18"/>
  <c r="W168" i="18"/>
  <c r="AB168" i="18"/>
  <c r="S170" i="18"/>
  <c r="X170" i="18"/>
  <c r="U171" i="18"/>
  <c r="Z171" i="18"/>
  <c r="V172" i="18"/>
  <c r="AA172" i="18"/>
  <c r="W173" i="18"/>
  <c r="AB173" i="18"/>
  <c r="V174" i="18"/>
  <c r="AA174" i="18"/>
  <c r="X175" i="18"/>
  <c r="T176" i="18"/>
  <c r="Z176" i="18"/>
  <c r="U177" i="18"/>
  <c r="AA177" i="18"/>
  <c r="W178" i="18"/>
  <c r="T179" i="18"/>
  <c r="Y179" i="18"/>
  <c r="R180" i="18"/>
  <c r="C180" i="18"/>
  <c r="U180" i="18"/>
  <c r="Z180" i="18"/>
  <c r="T9" i="18"/>
  <c r="W10" i="18"/>
  <c r="AA11" i="18"/>
  <c r="U14" i="18"/>
  <c r="Z15" i="18"/>
  <c r="AA16" i="18"/>
  <c r="T22" i="18"/>
  <c r="T23" i="18"/>
  <c r="S26" i="18"/>
  <c r="Y27" i="18"/>
  <c r="AB29" i="18"/>
  <c r="AA30" i="18"/>
  <c r="U34" i="18"/>
  <c r="S35" i="18"/>
  <c r="T36" i="18"/>
  <c r="T37" i="18"/>
  <c r="S39" i="18"/>
  <c r="S40" i="18"/>
  <c r="X43" i="18"/>
  <c r="C44" i="18"/>
  <c r="X44" i="18"/>
  <c r="W45" i="18"/>
  <c r="AB46" i="18"/>
  <c r="Y47" i="18"/>
  <c r="Y48" i="18"/>
  <c r="X49" i="18"/>
  <c r="V51" i="18"/>
  <c r="T52" i="18"/>
  <c r="U53" i="18"/>
  <c r="T54" i="18"/>
  <c r="S55" i="18"/>
  <c r="Y57" i="18"/>
  <c r="V58" i="18"/>
  <c r="AB59" i="18"/>
  <c r="Y60" i="18"/>
  <c r="V61" i="18"/>
  <c r="AA61" i="18"/>
  <c r="U62" i="18"/>
  <c r="R63" i="18"/>
  <c r="C63" i="18"/>
  <c r="AB63" i="18"/>
  <c r="Y64" i="18"/>
  <c r="T65" i="18"/>
  <c r="B68" i="18"/>
  <c r="Y68" i="18"/>
  <c r="T69" i="18"/>
  <c r="R70" i="18"/>
  <c r="C70" i="18"/>
  <c r="Z70" i="18"/>
  <c r="W71" i="18"/>
  <c r="S72" i="18"/>
  <c r="T73" i="18"/>
  <c r="R74" i="18"/>
  <c r="C74" i="18"/>
  <c r="Z74" i="18"/>
  <c r="T75" i="18"/>
  <c r="Y75" i="18"/>
  <c r="U76" i="18"/>
  <c r="Z76" i="18"/>
  <c r="W77" i="18"/>
  <c r="T80" i="18"/>
  <c r="R81" i="18"/>
  <c r="C81" i="18"/>
  <c r="AA81" i="18"/>
  <c r="V82" i="18"/>
  <c r="W84" i="18"/>
  <c r="B85" i="18"/>
  <c r="AB85" i="18"/>
  <c r="AA86" i="18"/>
  <c r="W87" i="18"/>
  <c r="AB87" i="18"/>
  <c r="Z89" i="18"/>
  <c r="V90" i="18"/>
  <c r="AB90" i="18"/>
  <c r="X91" i="18"/>
  <c r="U92" i="18"/>
  <c r="AB93" i="18"/>
  <c r="Y94" i="18"/>
  <c r="U95" i="18"/>
  <c r="Z95" i="18"/>
  <c r="T96" i="18"/>
  <c r="AE96" i="18"/>
  <c r="V97" i="18"/>
  <c r="Y99" i="18"/>
  <c r="S100" i="18"/>
  <c r="X100" i="18"/>
  <c r="T101" i="18"/>
  <c r="Y101" i="18"/>
  <c r="V102" i="18"/>
  <c r="AA102" i="18"/>
  <c r="X103" i="18"/>
  <c r="U104" i="18"/>
  <c r="R105" i="18"/>
  <c r="C105" i="18"/>
  <c r="AB105" i="18"/>
  <c r="Y106" i="18"/>
  <c r="U107" i="18"/>
  <c r="AA107" i="18"/>
  <c r="W108" i="18"/>
  <c r="T109" i="18"/>
  <c r="R110" i="18"/>
  <c r="C110" i="18"/>
  <c r="AA110" i="18"/>
  <c r="W111" i="18"/>
  <c r="T112" i="18"/>
  <c r="R113" i="18"/>
  <c r="C113" i="18"/>
  <c r="AA113" i="18"/>
  <c r="W114" i="18"/>
  <c r="AB114" i="18"/>
  <c r="W115" i="18"/>
  <c r="AB115" i="18"/>
  <c r="AA116" i="18"/>
  <c r="X117" i="18"/>
  <c r="T118" i="18"/>
  <c r="AC31" i="18"/>
  <c r="AD25" i="18"/>
  <c r="AC36" i="18"/>
  <c r="AC38" i="18"/>
  <c r="AC57" i="18"/>
  <c r="AC63" i="18"/>
  <c r="AD76" i="18"/>
  <c r="AC77" i="18"/>
  <c r="AE86" i="18"/>
  <c r="AE87" i="18"/>
  <c r="AD88" i="18"/>
  <c r="AC93" i="18"/>
  <c r="AE102" i="18"/>
  <c r="AD99" i="18"/>
  <c r="AD100" i="18"/>
  <c r="AE105" i="18"/>
  <c r="AD110" i="18"/>
  <c r="AD130" i="18"/>
  <c r="AD132" i="18"/>
  <c r="AD143" i="18"/>
  <c r="AE146" i="18"/>
  <c r="AC153" i="18"/>
  <c r="AC157" i="18"/>
  <c r="AD164" i="18"/>
  <c r="AD165" i="18"/>
  <c r="AE169" i="18"/>
  <c r="AC173" i="18"/>
  <c r="AD177" i="18"/>
  <c r="V12" i="18"/>
  <c r="AA13" i="18"/>
  <c r="T17" i="18"/>
  <c r="X18" i="18"/>
  <c r="AB19" i="18"/>
  <c r="T20" i="18"/>
  <c r="AB20" i="18"/>
  <c r="Y21" i="18"/>
  <c r="AA22" i="18"/>
  <c r="AA23" i="18"/>
  <c r="Z24" i="18"/>
  <c r="Y25" i="18"/>
  <c r="Y26" i="18"/>
  <c r="W28" i="18"/>
  <c r="V29" i="18"/>
  <c r="T30" i="18"/>
  <c r="X31" i="18"/>
  <c r="W32" i="18"/>
  <c r="W33" i="18"/>
  <c r="AB34" i="18"/>
  <c r="AA35" i="18"/>
  <c r="AA36" i="18"/>
  <c r="Z37" i="18"/>
  <c r="Z38" i="18"/>
  <c r="Y39" i="18"/>
  <c r="Z40" i="18"/>
  <c r="Y41" i="18"/>
  <c r="X42" i="18"/>
  <c r="U46" i="18"/>
  <c r="W50" i="18"/>
  <c r="AB51" i="18"/>
  <c r="AB52" i="18"/>
  <c r="AA53" i="18"/>
  <c r="AA54" i="18"/>
  <c r="AA55" i="18"/>
  <c r="X56" i="18"/>
  <c r="T57" i="18"/>
  <c r="AA58" i="18"/>
  <c r="W59" i="18"/>
  <c r="T60" i="18"/>
  <c r="AC62" i="18"/>
  <c r="Z62" i="18"/>
  <c r="W63" i="18"/>
  <c r="S64" i="18"/>
  <c r="R65" i="18"/>
  <c r="C65" i="18"/>
  <c r="Z65" i="18"/>
  <c r="U66" i="18"/>
  <c r="AA66" i="18"/>
  <c r="W67" i="18"/>
  <c r="T68" i="18"/>
  <c r="R69" i="18"/>
  <c r="C69" i="18"/>
  <c r="Y69" i="18"/>
  <c r="U70" i="18"/>
  <c r="AB71" i="18"/>
  <c r="X72" i="18"/>
  <c r="B73" i="18"/>
  <c r="Y73" i="18"/>
  <c r="U74" i="18"/>
  <c r="R77" i="18"/>
  <c r="C77" i="18"/>
  <c r="AB77" i="18"/>
  <c r="W78" i="18"/>
  <c r="AB78" i="18"/>
  <c r="X79" i="18"/>
  <c r="Z80" i="18"/>
  <c r="U81" i="18"/>
  <c r="AB82" i="18"/>
  <c r="V83" i="18"/>
  <c r="AB83" i="18"/>
  <c r="W85" i="18"/>
  <c r="V86" i="18"/>
  <c r="X88" i="18"/>
  <c r="T89" i="18"/>
  <c r="S91" i="18"/>
  <c r="Z92" i="18"/>
  <c r="W93" i="18"/>
  <c r="T94" i="18"/>
  <c r="R96" i="18"/>
  <c r="C96" i="18"/>
  <c r="Z96" i="18"/>
  <c r="AD97" i="18"/>
  <c r="AA97" i="18"/>
  <c r="X98" i="18"/>
  <c r="S99" i="18"/>
  <c r="S103" i="18"/>
  <c r="Z104" i="18"/>
  <c r="W105" i="18"/>
  <c r="S106" i="18"/>
  <c r="Y109" i="18"/>
  <c r="V110" i="18"/>
  <c r="AB111" i="18"/>
  <c r="Y112" i="18"/>
  <c r="V113" i="18"/>
  <c r="V116" i="18"/>
  <c r="AD46" i="18"/>
  <c r="AD79" i="18"/>
  <c r="AC81" i="18"/>
  <c r="AC95" i="18"/>
  <c r="AE100" i="18"/>
  <c r="AE110" i="18"/>
  <c r="AC116" i="18"/>
  <c r="AD117" i="18"/>
  <c r="AD126" i="18"/>
  <c r="AD162" i="18"/>
  <c r="AC172" i="18"/>
  <c r="AC176" i="18"/>
  <c r="AE174" i="18"/>
  <c r="AC178" i="18"/>
  <c r="Z9" i="18"/>
  <c r="B11" i="18"/>
  <c r="V13" i="18"/>
  <c r="AA14" i="18"/>
  <c r="B17" i="18"/>
  <c r="AC20" i="18"/>
  <c r="T21" i="18"/>
  <c r="X22" i="18"/>
  <c r="U23" i="18"/>
  <c r="U24" i="18"/>
  <c r="S25" i="18"/>
  <c r="T26" i="18"/>
  <c r="T27" i="18"/>
  <c r="AB30" i="18"/>
  <c r="S31" i="18"/>
  <c r="AD34" i="18"/>
  <c r="B36" i="18"/>
  <c r="V37" i="18"/>
  <c r="U38" i="18"/>
  <c r="T39" i="18"/>
  <c r="U40" i="18"/>
  <c r="AA41" i="18"/>
  <c r="AB42" i="18"/>
  <c r="Y43" i="18"/>
  <c r="Z44" i="18"/>
  <c r="Y45" i="18"/>
  <c r="W46" i="18"/>
  <c r="S47" i="18"/>
  <c r="T48" i="18"/>
  <c r="AB54" i="18"/>
  <c r="W55" i="18"/>
  <c r="T56" i="18"/>
  <c r="AA57" i="18"/>
  <c r="W58" i="18"/>
  <c r="S59" i="18"/>
  <c r="Z60" i="18"/>
  <c r="W61" i="18"/>
  <c r="AE62" i="18"/>
  <c r="X63" i="18"/>
  <c r="U64" i="18"/>
  <c r="AA65" i="18"/>
  <c r="W66" i="18"/>
  <c r="S67" i="18"/>
  <c r="AA68" i="18"/>
  <c r="U69" i="18"/>
  <c r="AB70" i="18"/>
  <c r="X71" i="18"/>
  <c r="T72" i="18"/>
  <c r="R73" i="18"/>
  <c r="C73" i="18"/>
  <c r="Z73" i="18"/>
  <c r="V74" i="18"/>
  <c r="AD75" i="18"/>
  <c r="Z75" i="18"/>
  <c r="V76" i="18"/>
  <c r="S77" i="18"/>
  <c r="T78" i="18"/>
  <c r="R79" i="18"/>
  <c r="C79" i="18"/>
  <c r="Z79" i="18"/>
  <c r="W80" i="18"/>
  <c r="S81" i="18"/>
  <c r="Y82" i="18"/>
  <c r="B84" i="18"/>
  <c r="U84" i="18"/>
  <c r="R85" i="18"/>
  <c r="C85" i="18"/>
  <c r="X85" i="18"/>
  <c r="X86" i="18"/>
  <c r="T87" i="18"/>
  <c r="Y88" i="18"/>
  <c r="V89" i="18"/>
  <c r="Z91" i="18"/>
  <c r="V92" i="18"/>
  <c r="S93" i="18"/>
  <c r="Z94" i="18"/>
  <c r="V95" i="18"/>
  <c r="AA96" i="18"/>
  <c r="AB97" i="18"/>
  <c r="Y98" i="18"/>
  <c r="U99" i="18"/>
  <c r="R100" i="18"/>
  <c r="C100" i="18"/>
  <c r="Z100" i="18"/>
  <c r="U101" i="18"/>
  <c r="Y103" i="18"/>
  <c r="V104" i="18"/>
  <c r="S105" i="18"/>
  <c r="B106" i="18"/>
  <c r="Z106" i="18"/>
  <c r="W107" i="18"/>
  <c r="S108" i="18"/>
  <c r="AA109" i="18"/>
  <c r="W110" i="18"/>
  <c r="S111" i="18"/>
  <c r="Z112" i="18"/>
  <c r="W113" i="18"/>
  <c r="S114" i="18"/>
  <c r="T115" i="18"/>
  <c r="AE115" i="18"/>
  <c r="AB116" i="18"/>
  <c r="Y117" i="18"/>
  <c r="V118" i="18"/>
  <c r="AB118" i="18"/>
  <c r="U119" i="18"/>
  <c r="AB119" i="18"/>
  <c r="X124" i="18"/>
  <c r="Y132" i="18"/>
  <c r="U140" i="18"/>
  <c r="V141" i="18"/>
  <c r="W142" i="18"/>
  <c r="B143" i="18"/>
  <c r="U143" i="18"/>
  <c r="V144" i="18"/>
  <c r="AB144" i="18"/>
  <c r="T145" i="18"/>
  <c r="AA145" i="18"/>
  <c r="S146" i="18"/>
  <c r="AA146" i="18"/>
  <c r="S147" i="18"/>
  <c r="Z147" i="18"/>
  <c r="S148" i="18"/>
  <c r="Z148" i="18"/>
  <c r="Y149" i="18"/>
  <c r="X150" i="18"/>
  <c r="W151" i="18"/>
  <c r="R152" i="18"/>
  <c r="C152" i="18"/>
  <c r="X152" i="18"/>
  <c r="W153" i="18"/>
  <c r="R154" i="18"/>
  <c r="C154" i="18"/>
  <c r="X154" i="18"/>
  <c r="R155" i="18"/>
  <c r="C155" i="18"/>
  <c r="Y155" i="18"/>
  <c r="R156" i="18"/>
  <c r="C156" i="18"/>
  <c r="W156" i="18"/>
  <c r="R157" i="18"/>
  <c r="C157" i="18"/>
  <c r="X157" i="18"/>
  <c r="X158" i="18"/>
  <c r="R159" i="18"/>
  <c r="C159" i="18"/>
  <c r="X159" i="18"/>
  <c r="R161" i="18"/>
  <c r="C161" i="18"/>
  <c r="S162" i="18"/>
  <c r="AA162" i="18"/>
  <c r="S163" i="18"/>
  <c r="Y163" i="18"/>
  <c r="Y164" i="18"/>
  <c r="Z165" i="18"/>
  <c r="X166" i="18"/>
  <c r="X167" i="18"/>
  <c r="R168" i="18"/>
  <c r="C168" i="18"/>
  <c r="X168" i="18"/>
  <c r="Z170" i="18"/>
  <c r="Y171" i="18"/>
  <c r="Y172" i="18"/>
  <c r="R173" i="18"/>
  <c r="C173" i="18"/>
  <c r="X173" i="18"/>
  <c r="S174" i="18"/>
  <c r="Z174" i="18"/>
  <c r="T175" i="18"/>
  <c r="Z175" i="18"/>
  <c r="S176" i="18"/>
  <c r="AA176" i="18"/>
  <c r="S177" i="18"/>
  <c r="Y177" i="18"/>
  <c r="S178" i="18"/>
  <c r="Z178" i="18"/>
  <c r="S179" i="18"/>
  <c r="AA179" i="18"/>
  <c r="Y180" i="18"/>
  <c r="AD95" i="18"/>
  <c r="AE99" i="18"/>
  <c r="AE103" i="18"/>
  <c r="AD109" i="18"/>
  <c r="AC112" i="18"/>
  <c r="AC129" i="18"/>
  <c r="AC131" i="18"/>
  <c r="AE143" i="18"/>
  <c r="AD158" i="18"/>
  <c r="AE160" i="18"/>
  <c r="AC179" i="18"/>
  <c r="AD176" i="18"/>
  <c r="AC10" i="18"/>
  <c r="T11" i="18"/>
  <c r="X12" i="18"/>
  <c r="T15" i="18"/>
  <c r="S18" i="18"/>
  <c r="U19" i="18"/>
  <c r="V20" i="18"/>
  <c r="AB21" i="18"/>
  <c r="W23" i="18"/>
  <c r="V24" i="18"/>
  <c r="V25" i="18"/>
  <c r="U26" i="18"/>
  <c r="U27" i="18"/>
  <c r="U28" i="18"/>
  <c r="T31" i="18"/>
  <c r="T32" i="18"/>
  <c r="S33" i="18"/>
  <c r="AE34" i="18"/>
  <c r="AB37" i="18"/>
  <c r="V38" i="18"/>
  <c r="W39" i="18"/>
  <c r="V40" i="18"/>
  <c r="S41" i="18"/>
  <c r="S42" i="18"/>
  <c r="AB43" i="18"/>
  <c r="AA44" i="18"/>
  <c r="AA45" i="18"/>
  <c r="Y46" i="18"/>
  <c r="U47" i="18"/>
  <c r="U48" i="18"/>
  <c r="U49" i="18"/>
  <c r="S50" i="18"/>
  <c r="C53" i="18"/>
  <c r="AB55" i="18"/>
  <c r="V56" i="18"/>
  <c r="AB57" i="18"/>
  <c r="Y58" i="18"/>
  <c r="T59" i="18"/>
  <c r="AB60" i="18"/>
  <c r="X61" i="18"/>
  <c r="Y63" i="18"/>
  <c r="V64" i="18"/>
  <c r="AB65" i="18"/>
  <c r="X66" i="18"/>
  <c r="U67" i="18"/>
  <c r="R68" i="18"/>
  <c r="C68" i="18"/>
  <c r="AB68" i="18"/>
  <c r="W69" i="18"/>
  <c r="Z71" i="18"/>
  <c r="U72" i="18"/>
  <c r="AB73" i="18"/>
  <c r="W74" i="18"/>
  <c r="AE75" i="18"/>
  <c r="AB75" i="18"/>
  <c r="W76" i="18"/>
  <c r="T77" i="18"/>
  <c r="R78" i="18"/>
  <c r="C78" i="18"/>
  <c r="X78" i="18"/>
  <c r="T79" i="18"/>
  <c r="R80" i="18"/>
  <c r="C80" i="18"/>
  <c r="AA80" i="18"/>
  <c r="W81" i="18"/>
  <c r="T83" i="18"/>
  <c r="Y84" i="18"/>
  <c r="Z85" i="18"/>
  <c r="AB86" i="18"/>
  <c r="X87" i="18"/>
  <c r="Z88" i="18"/>
  <c r="W89" i="18"/>
  <c r="T90" i="18"/>
  <c r="R91" i="18"/>
  <c r="C91" i="18"/>
  <c r="AA91" i="18"/>
  <c r="X92" i="18"/>
  <c r="T93" i="18"/>
  <c r="R94" i="18"/>
  <c r="C94" i="18"/>
  <c r="AB94" i="18"/>
  <c r="W95" i="18"/>
  <c r="AB96" i="18"/>
  <c r="S97" i="18"/>
  <c r="R98" i="18"/>
  <c r="C98" i="18"/>
  <c r="Z98" i="18"/>
  <c r="V99" i="18"/>
  <c r="AA100" i="18"/>
  <c r="W101" i="18"/>
  <c r="S102" i="18"/>
  <c r="R103" i="18"/>
  <c r="C103" i="18"/>
  <c r="AA103" i="18"/>
  <c r="W104" i="18"/>
  <c r="T105" i="18"/>
  <c r="R106" i="18"/>
  <c r="C106" i="18"/>
  <c r="AA106" i="18"/>
  <c r="X107" i="18"/>
  <c r="U108" i="18"/>
  <c r="R109" i="18"/>
  <c r="C109" i="18"/>
  <c r="AB109" i="18"/>
  <c r="Y110" i="18"/>
  <c r="T111" i="18"/>
  <c r="R112" i="18"/>
  <c r="C112" i="18"/>
  <c r="AB112" i="18"/>
  <c r="X113" i="18"/>
  <c r="T114" i="18"/>
  <c r="R115" i="18"/>
  <c r="C115" i="18"/>
  <c r="X115" i="18"/>
  <c r="S116" i="18"/>
  <c r="Z117" i="18"/>
  <c r="W118" i="18"/>
  <c r="R119" i="18"/>
  <c r="C119" i="18"/>
  <c r="W119" i="18"/>
  <c r="S124" i="18"/>
  <c r="AA124" i="18"/>
  <c r="B126" i="18"/>
  <c r="R130" i="18"/>
  <c r="C130" i="18"/>
  <c r="T132" i="18"/>
  <c r="AA132" i="18"/>
  <c r="R133" i="18"/>
  <c r="C133" i="18"/>
  <c r="R140" i="18"/>
  <c r="C140" i="18"/>
  <c r="X140" i="18"/>
  <c r="R141" i="18"/>
  <c r="C141" i="18"/>
  <c r="W141" i="18"/>
  <c r="X142" i="18"/>
  <c r="R143" i="18"/>
  <c r="C143" i="18"/>
  <c r="X143" i="18"/>
  <c r="W144" i="18"/>
  <c r="R145" i="18"/>
  <c r="C145" i="18"/>
  <c r="V145" i="18"/>
  <c r="AB145" i="18"/>
  <c r="U146" i="18"/>
  <c r="AB146" i="18"/>
  <c r="U147" i="18"/>
  <c r="B148" i="18"/>
  <c r="T148" i="18"/>
  <c r="AA148" i="18"/>
  <c r="T149" i="18"/>
  <c r="AA149" i="18"/>
  <c r="Z150" i="18"/>
  <c r="Y151" i="18"/>
  <c r="S152" i="18"/>
  <c r="Y152" i="18"/>
  <c r="Z153" i="18"/>
  <c r="S154" i="18"/>
  <c r="Y154" i="18"/>
  <c r="Z155" i="18"/>
  <c r="Z156" i="18"/>
  <c r="Y157" i="18"/>
  <c r="S158" i="18"/>
  <c r="Z158" i="18"/>
  <c r="Z159" i="18"/>
  <c r="S160" i="18"/>
  <c r="U161" i="18"/>
  <c r="V162" i="18"/>
  <c r="AB162" i="18"/>
  <c r="T163" i="18"/>
  <c r="AB163" i="18"/>
  <c r="T164" i="18"/>
  <c r="Z164" i="18"/>
  <c r="T165" i="18"/>
  <c r="AA165" i="18"/>
  <c r="S166" i="18"/>
  <c r="AA166" i="18"/>
  <c r="Y167" i="18"/>
  <c r="S168" i="18"/>
  <c r="Z168" i="18"/>
  <c r="T170" i="18"/>
  <c r="AA170" i="18"/>
  <c r="T171" i="18"/>
  <c r="AB171" i="18"/>
  <c r="S172" i="18"/>
  <c r="Z172" i="18"/>
  <c r="S173" i="18"/>
  <c r="Z173" i="18"/>
  <c r="T174" i="18"/>
  <c r="AB174" i="18"/>
  <c r="U175" i="18"/>
  <c r="AB175" i="18"/>
  <c r="V176" i="18"/>
  <c r="AB176" i="18"/>
  <c r="T177" i="18"/>
  <c r="AB177" i="18"/>
  <c r="U178" i="18"/>
  <c r="AA178" i="18"/>
  <c r="U179" i="18"/>
  <c r="AB179" i="18"/>
  <c r="T180" i="18"/>
  <c r="AB180" i="18"/>
  <c r="V11" i="18"/>
  <c r="AB12" i="18"/>
  <c r="U15" i="18"/>
  <c r="U16" i="18"/>
  <c r="AA18" i="18"/>
  <c r="Z20" i="18"/>
  <c r="AB24" i="18"/>
  <c r="AA25" i="18"/>
  <c r="Z27" i="18"/>
  <c r="Z28" i="18"/>
  <c r="W29" i="18"/>
  <c r="Z31" i="18"/>
  <c r="Y32" i="18"/>
  <c r="V34" i="18"/>
  <c r="V35" i="18"/>
  <c r="U36" i="18"/>
  <c r="AB39" i="18"/>
  <c r="U41" i="18"/>
  <c r="U42" i="18"/>
  <c r="S44" i="18"/>
  <c r="C47" i="18"/>
  <c r="AA48" i="18"/>
  <c r="Z49" i="18"/>
  <c r="W51" i="18"/>
  <c r="W52" i="18"/>
  <c r="V54" i="18"/>
  <c r="Z56" i="18"/>
  <c r="B59" i="18"/>
  <c r="X59" i="18"/>
  <c r="U60" i="18"/>
  <c r="AB61" i="18"/>
  <c r="V62" i="18"/>
  <c r="Z64" i="18"/>
  <c r="U68" i="18"/>
  <c r="AA69" i="18"/>
  <c r="V70" i="18"/>
  <c r="S71" i="18"/>
  <c r="U73" i="18"/>
  <c r="AA74" i="18"/>
  <c r="U75" i="18"/>
  <c r="X77" i="18"/>
  <c r="Y78" i="18"/>
  <c r="X81" i="18"/>
  <c r="Z84" i="18"/>
  <c r="S86" i="18"/>
  <c r="Y87" i="18"/>
  <c r="T88" i="18"/>
  <c r="R89" i="18"/>
  <c r="C89" i="18"/>
  <c r="X90" i="18"/>
  <c r="T91" i="18"/>
  <c r="R92" i="18"/>
  <c r="C92" i="18"/>
  <c r="X93" i="18"/>
  <c r="U94" i="18"/>
  <c r="AA95" i="18"/>
  <c r="V96" i="18"/>
  <c r="B97" i="18"/>
  <c r="W97" i="18"/>
  <c r="T100" i="18"/>
  <c r="R101" i="18"/>
  <c r="C101" i="18"/>
  <c r="W102" i="18"/>
  <c r="T103" i="18"/>
  <c r="AA104" i="18"/>
  <c r="X105" i="18"/>
  <c r="R107" i="18"/>
  <c r="C107" i="18"/>
  <c r="AB107" i="18"/>
  <c r="U109" i="18"/>
  <c r="B111" i="18"/>
  <c r="X111" i="18"/>
  <c r="AB113" i="18"/>
  <c r="Y115" i="18"/>
  <c r="Z118" i="18"/>
  <c r="B124" i="18"/>
  <c r="U124" i="18"/>
  <c r="S140" i="18"/>
  <c r="S142" i="18"/>
  <c r="Y142" i="18"/>
  <c r="Y143" i="18"/>
  <c r="Z144" i="18"/>
  <c r="R146" i="18"/>
  <c r="C146" i="18"/>
  <c r="R148" i="18"/>
  <c r="C148" i="18"/>
  <c r="R149" i="18"/>
  <c r="C149" i="18"/>
  <c r="U149" i="18"/>
  <c r="U150" i="18"/>
  <c r="AB150" i="18"/>
  <c r="AA151" i="18"/>
  <c r="AA152" i="18"/>
  <c r="U153" i="18"/>
  <c r="T154" i="18"/>
  <c r="AC26" i="18"/>
  <c r="AD28" i="18"/>
  <c r="AD45" i="18"/>
  <c r="AC60" i="18"/>
  <c r="AD73" i="18"/>
  <c r="AC106" i="18"/>
  <c r="AE109" i="18"/>
  <c r="AB128" i="18"/>
  <c r="AE127" i="18"/>
  <c r="AE158" i="18"/>
  <c r="AE179" i="18"/>
  <c r="AC175" i="18"/>
  <c r="C14" i="18"/>
  <c r="W17" i="18"/>
  <c r="W19" i="18"/>
  <c r="AB23" i="18"/>
  <c r="AA26" i="18"/>
  <c r="V30" i="18"/>
  <c r="Y33" i="18"/>
  <c r="AA38" i="18"/>
  <c r="AA40" i="18"/>
  <c r="Z47" i="18"/>
  <c r="Y50" i="18"/>
  <c r="V53" i="18"/>
  <c r="U57" i="18"/>
  <c r="S63" i="18"/>
  <c r="V65" i="18"/>
  <c r="AB66" i="18"/>
  <c r="Y67" i="18"/>
  <c r="Y72" i="18"/>
  <c r="AA76" i="18"/>
  <c r="U79" i="18"/>
  <c r="AB80" i="18"/>
  <c r="T82" i="18"/>
  <c r="X83" i="18"/>
  <c r="S85" i="18"/>
  <c r="AA89" i="18"/>
  <c r="AB92" i="18"/>
  <c r="T98" i="18"/>
  <c r="Z99" i="18"/>
  <c r="AA101" i="18"/>
  <c r="R104" i="18"/>
  <c r="C104" i="18"/>
  <c r="U106" i="18"/>
  <c r="Y108" i="18"/>
  <c r="U112" i="18"/>
  <c r="X114" i="18"/>
  <c r="W116" i="18"/>
  <c r="T117" i="18"/>
  <c r="X119" i="18"/>
  <c r="AB124" i="18"/>
  <c r="R128" i="18"/>
  <c r="C128" i="18"/>
  <c r="R132" i="18"/>
  <c r="C132" i="18"/>
  <c r="U132" i="18"/>
  <c r="AB132" i="18"/>
  <c r="Y140" i="18"/>
  <c r="Z141" i="18"/>
  <c r="W145" i="18"/>
  <c r="W146" i="18"/>
  <c r="W147" i="18"/>
  <c r="V148" i="18"/>
  <c r="AB149" i="18"/>
  <c r="S151" i="18"/>
  <c r="T152" i="18"/>
  <c r="AA153" i="18"/>
  <c r="AC41" i="18"/>
  <c r="AD36" i="18"/>
  <c r="AC68" i="18"/>
  <c r="AE78" i="18"/>
  <c r="AE84" i="18"/>
  <c r="AE107" i="18"/>
  <c r="AD141" i="18"/>
  <c r="AE155" i="18"/>
  <c r="AC156" i="18"/>
  <c r="AC162" i="18"/>
  <c r="AE166" i="18"/>
  <c r="AE170" i="18"/>
  <c r="AC171" i="18"/>
  <c r="AD174" i="18"/>
  <c r="Y10" i="18"/>
  <c r="AB15" i="18"/>
  <c r="Z17" i="18"/>
  <c r="AB27" i="18"/>
  <c r="AA31" i="18"/>
  <c r="W35" i="18"/>
  <c r="T43" i="18"/>
  <c r="AB48" i="18"/>
  <c r="X51" i="18"/>
  <c r="W54" i="18"/>
  <c r="AA56" i="18"/>
  <c r="AA64" i="18"/>
  <c r="AB69" i="18"/>
  <c r="AA72" i="18"/>
  <c r="B79" i="18"/>
  <c r="AB81" i="18"/>
  <c r="T85" i="18"/>
  <c r="S87" i="18"/>
  <c r="W96" i="18"/>
  <c r="S107" i="18"/>
  <c r="S110" i="18"/>
  <c r="S113" i="18"/>
  <c r="S115" i="18"/>
  <c r="AA118" i="18"/>
  <c r="AA140" i="18"/>
  <c r="AB142" i="18"/>
  <c r="AA144" i="18"/>
  <c r="X146" i="18"/>
  <c r="X148" i="18"/>
  <c r="AB154" i="18"/>
  <c r="AA155" i="18"/>
  <c r="AA156" i="18"/>
  <c r="AB157" i="18"/>
  <c r="AA158" i="18"/>
  <c r="AB159" i="18"/>
  <c r="R162" i="18"/>
  <c r="C162" i="18"/>
  <c r="B164" i="18"/>
  <c r="B165" i="18"/>
  <c r="AB165" i="18"/>
  <c r="AB166" i="18"/>
  <c r="AB167" i="18"/>
  <c r="AA168" i="18"/>
  <c r="V170" i="18"/>
  <c r="V171" i="18"/>
  <c r="U172" i="18"/>
  <c r="T173" i="18"/>
  <c r="W174" i="18"/>
  <c r="V175" i="18"/>
  <c r="W176" i="18"/>
  <c r="W177" i="18"/>
  <c r="V178" i="18"/>
  <c r="W179" i="18"/>
  <c r="V180" i="18"/>
  <c r="B25" i="18"/>
  <c r="W30" i="18"/>
  <c r="X36" i="18"/>
  <c r="Z41" i="18"/>
  <c r="W62" i="18"/>
  <c r="Y77" i="18"/>
  <c r="X82" i="18"/>
  <c r="R86" i="18"/>
  <c r="C86" i="18"/>
  <c r="AB89" i="18"/>
  <c r="AA99" i="18"/>
  <c r="S119" i="18"/>
  <c r="AB156" i="18"/>
  <c r="R164" i="18"/>
  <c r="C164" i="18"/>
  <c r="X171" i="18"/>
  <c r="V173" i="18"/>
  <c r="Y175" i="18"/>
  <c r="Y178" i="18"/>
  <c r="X180" i="18"/>
  <c r="AA28" i="18"/>
  <c r="AA32" i="18"/>
  <c r="T44" i="18"/>
  <c r="AB49" i="18"/>
  <c r="Z59" i="18"/>
  <c r="W65" i="18"/>
  <c r="Z67" i="18"/>
  <c r="Y79" i="18"/>
  <c r="S84" i="18"/>
  <c r="AB101" i="18"/>
  <c r="V151" i="18"/>
  <c r="R166" i="18"/>
  <c r="C166" i="18"/>
  <c r="W172" i="18"/>
  <c r="X177" i="18"/>
  <c r="S13" i="18"/>
  <c r="V16" i="18"/>
  <c r="V22" i="18"/>
  <c r="AA33" i="18"/>
  <c r="AA42" i="18"/>
  <c r="AA50" i="18"/>
  <c r="X52" i="18"/>
  <c r="U55" i="18"/>
  <c r="W57" i="18"/>
  <c r="V60" i="18"/>
  <c r="T63" i="18"/>
  <c r="W68" i="18"/>
  <c r="T71" i="18"/>
  <c r="V73" i="18"/>
  <c r="V75" i="18"/>
  <c r="V80" i="18"/>
  <c r="Y90" i="18"/>
  <c r="Z93" i="18"/>
  <c r="X97" i="18"/>
  <c r="Y102" i="18"/>
  <c r="Y105" i="18"/>
  <c r="Z108" i="18"/>
  <c r="Z111" i="18"/>
  <c r="Y114" i="18"/>
  <c r="U117" i="18"/>
  <c r="AA119" i="18"/>
  <c r="AA141" i="18"/>
  <c r="Z143" i="18"/>
  <c r="Z145" i="18"/>
  <c r="Y147" i="18"/>
  <c r="V150" i="18"/>
  <c r="B154" i="18"/>
  <c r="U155" i="18"/>
  <c r="T156" i="18"/>
  <c r="T157" i="18"/>
  <c r="T158" i="18"/>
  <c r="U159" i="18"/>
  <c r="X160" i="18"/>
  <c r="W162" i="18"/>
  <c r="W163" i="18"/>
  <c r="U164" i="18"/>
  <c r="V165" i="18"/>
  <c r="U166" i="18"/>
  <c r="T167" i="18"/>
  <c r="T168" i="18"/>
  <c r="AB170" i="18"/>
  <c r="B172" i="18"/>
  <c r="AA173" i="18"/>
  <c r="R175" i="18"/>
  <c r="C175" i="18"/>
  <c r="R177" i="18"/>
  <c r="C177" i="18"/>
  <c r="B178" i="18"/>
  <c r="B180" i="18"/>
  <c r="R170" i="18"/>
  <c r="C170" i="18"/>
  <c r="R171" i="18"/>
  <c r="C171" i="18"/>
  <c r="R179" i="18"/>
  <c r="C179" i="18"/>
  <c r="X70" i="18"/>
  <c r="R97" i="18"/>
  <c r="C97" i="18"/>
  <c r="AC115" i="18"/>
  <c r="X116" i="18"/>
  <c r="R127" i="18"/>
  <c r="C127" i="18"/>
  <c r="U141" i="18"/>
  <c r="T143" i="18"/>
  <c r="V153" i="18"/>
  <c r="R169" i="18"/>
  <c r="C169" i="18"/>
  <c r="W170" i="18"/>
  <c r="X174" i="18"/>
  <c r="X176" i="18"/>
  <c r="X179" i="18"/>
  <c r="X9" i="18"/>
  <c r="X14" i="18"/>
  <c r="Z29" i="18"/>
  <c r="X34" i="18"/>
  <c r="U37" i="18"/>
  <c r="T45" i="18"/>
  <c r="Y53" i="18"/>
  <c r="S58" i="18"/>
  <c r="S61" i="18"/>
  <c r="S66" i="18"/>
  <c r="R72" i="18"/>
  <c r="C72" i="18"/>
  <c r="S78" i="18"/>
  <c r="Y83" i="18"/>
  <c r="W86" i="18"/>
  <c r="U88" i="18"/>
  <c r="V91" i="18"/>
  <c r="V94" i="18"/>
  <c r="U98" i="18"/>
  <c r="V100" i="18"/>
  <c r="U103" i="18"/>
  <c r="V106" i="18"/>
  <c r="W109" i="18"/>
  <c r="V112" i="18"/>
  <c r="W124" i="18"/>
  <c r="R131" i="18"/>
  <c r="C131" i="18"/>
  <c r="W132" i="18"/>
  <c r="T140" i="18"/>
  <c r="T142" i="18"/>
  <c r="T144" i="18"/>
  <c r="W149" i="18"/>
  <c r="U152" i="18"/>
  <c r="W154" i="18"/>
  <c r="V155" i="18"/>
  <c r="V156" i="18"/>
  <c r="V157" i="18"/>
  <c r="V158" i="18"/>
  <c r="V159" i="18"/>
  <c r="X162" i="18"/>
  <c r="X163" i="18"/>
  <c r="X164" i="18"/>
  <c r="W165" i="18"/>
  <c r="W166" i="18"/>
  <c r="V167" i="18"/>
  <c r="V168" i="18"/>
  <c r="W161" i="18"/>
  <c r="AB169" i="18"/>
  <c r="U160" i="18"/>
  <c r="V160" i="18"/>
  <c r="W169" i="18"/>
  <c r="AB161" i="18"/>
  <c r="Z169" i="18"/>
  <c r="O38" i="6"/>
  <c r="L38" i="6"/>
  <c r="L54" i="6"/>
  <c r="O54" i="6"/>
  <c r="O75" i="6"/>
  <c r="L75" i="6"/>
  <c r="O82" i="6"/>
  <c r="L82" i="6"/>
  <c r="O89" i="6"/>
  <c r="L89" i="6"/>
  <c r="L64" i="6"/>
  <c r="O64" i="6"/>
  <c r="O80" i="6"/>
  <c r="L80" i="6"/>
  <c r="Y32" i="4"/>
  <c r="Y33" i="4"/>
  <c r="V167" i="5"/>
  <c r="K167" i="18"/>
  <c r="V179" i="5"/>
  <c r="K179" i="18"/>
  <c r="H117" i="20"/>
  <c r="L124" i="18"/>
  <c r="J120" i="6"/>
  <c r="D62" i="16"/>
  <c r="X31" i="4"/>
  <c r="X32" i="4"/>
  <c r="X33" i="4"/>
  <c r="R152" i="15"/>
  <c r="L98" i="20"/>
  <c r="R158" i="15"/>
  <c r="L104" i="20"/>
  <c r="R156" i="15"/>
  <c r="L102" i="20"/>
  <c r="R163" i="15"/>
  <c r="L109" i="20"/>
  <c r="W32" i="4"/>
  <c r="W33" i="4"/>
  <c r="W31" i="4"/>
  <c r="K176" i="18"/>
  <c r="V176" i="5"/>
  <c r="K154" i="18"/>
  <c r="V154" i="5"/>
  <c r="R154" i="15"/>
  <c r="L100" i="20"/>
  <c r="R160" i="15"/>
  <c r="L106" i="20"/>
  <c r="R161" i="15"/>
  <c r="L107" i="20"/>
  <c r="R157" i="15"/>
  <c r="L103" i="20"/>
  <c r="N18" i="15"/>
  <c r="J11" i="6"/>
  <c r="L48" i="15"/>
  <c r="H16" i="6"/>
  <c r="O48" i="15"/>
  <c r="R153" i="15"/>
  <c r="L99" i="20"/>
  <c r="R162" i="15"/>
  <c r="L108" i="20"/>
  <c r="R155" i="15"/>
  <c r="L101" i="20"/>
  <c r="R164" i="15"/>
  <c r="L110" i="20"/>
  <c r="R159" i="15"/>
  <c r="L105" i="20"/>
  <c r="R166" i="15"/>
  <c r="L112" i="20"/>
  <c r="R170" i="15"/>
  <c r="J125" i="6"/>
  <c r="R165" i="15"/>
  <c r="L111" i="20"/>
  <c r="H37" i="21"/>
  <c r="J35" i="20"/>
  <c r="V31" i="20"/>
  <c r="H35" i="20"/>
  <c r="N35" i="20"/>
  <c r="V35" i="20"/>
  <c r="K35" i="20"/>
  <c r="V32" i="20"/>
  <c r="W31" i="20"/>
  <c r="X31" i="20"/>
  <c r="L35" i="20"/>
  <c r="V33" i="20"/>
  <c r="M35" i="20"/>
  <c r="V34" i="20"/>
  <c r="H30" i="21"/>
  <c r="K114" i="18"/>
  <c r="L10" i="6"/>
  <c r="L36" i="15"/>
  <c r="H14" i="6"/>
  <c r="L14" i="6"/>
  <c r="L17" i="6"/>
  <c r="K16" i="6"/>
  <c r="K26" i="6"/>
  <c r="J42" i="15"/>
  <c r="K11" i="6"/>
  <c r="K27" i="6"/>
  <c r="Q30" i="15"/>
  <c r="K18" i="6"/>
  <c r="L18" i="6"/>
  <c r="P12" i="15"/>
  <c r="L18" i="15"/>
  <c r="H11" i="6"/>
  <c r="K13" i="6"/>
  <c r="P18" i="15"/>
  <c r="P24" i="15"/>
  <c r="O24" i="15"/>
  <c r="K12" i="6"/>
  <c r="L12" i="6"/>
  <c r="J48" i="15"/>
  <c r="L24" i="15"/>
  <c r="H12" i="6"/>
  <c r="L113" i="20"/>
  <c r="J118" i="6"/>
  <c r="D61" i="16"/>
  <c r="I14" i="21"/>
  <c r="J86" i="11"/>
  <c r="I48" i="21"/>
  <c r="I49" i="21"/>
  <c r="I16" i="21"/>
  <c r="I15" i="21"/>
  <c r="R33" i="6"/>
  <c r="O33" i="6"/>
  <c r="J47" i="11"/>
  <c r="L33" i="6"/>
  <c r="Z7" i="18"/>
  <c r="BD3" i="5"/>
  <c r="BA7" i="5"/>
  <c r="AJ7" i="5"/>
  <c r="X7" i="18"/>
  <c r="BB3" i="5"/>
  <c r="BE7" i="5"/>
  <c r="AN7" i="5"/>
  <c r="O64" i="2"/>
  <c r="F34" i="6"/>
  <c r="O34" i="6"/>
  <c r="U34" i="6"/>
  <c r="O57" i="2"/>
  <c r="F30" i="6"/>
  <c r="L30" i="6"/>
  <c r="R30" i="6"/>
  <c r="D6" i="17"/>
  <c r="E6" i="17"/>
  <c r="E78" i="17"/>
  <c r="T7" i="18"/>
  <c r="AX3" i="5"/>
  <c r="AX7" i="5"/>
  <c r="AG7" i="5"/>
  <c r="O61" i="2"/>
  <c r="F32" i="6"/>
  <c r="O60" i="2"/>
  <c r="F31" i="6"/>
  <c r="O54" i="2"/>
  <c r="F28" i="6"/>
  <c r="R28" i="6"/>
  <c r="U7" i="18"/>
  <c r="AY3" i="5"/>
  <c r="AY7" i="5"/>
  <c r="AH7" i="5"/>
  <c r="AB7" i="18"/>
  <c r="BF3" i="5"/>
  <c r="BC7" i="5"/>
  <c r="AL7" i="5"/>
  <c r="O56" i="2"/>
  <c r="F29" i="6"/>
  <c r="L29" i="6"/>
  <c r="Y7" i="18"/>
  <c r="BC3" i="5"/>
  <c r="BF7" i="5"/>
  <c r="AO7" i="5"/>
  <c r="V7" i="18"/>
  <c r="AZ3" i="5"/>
  <c r="AZ7" i="5"/>
  <c r="AI7" i="5"/>
  <c r="S7" i="18"/>
  <c r="AW3" i="5"/>
  <c r="AW7" i="5"/>
  <c r="D6" i="16"/>
  <c r="E6" i="16"/>
  <c r="AA7" i="18"/>
  <c r="BE3" i="5"/>
  <c r="BB7" i="5"/>
  <c r="AK7" i="5"/>
  <c r="M113" i="5"/>
  <c r="K113" i="18"/>
  <c r="L26" i="6"/>
  <c r="R26" i="6"/>
  <c r="M18" i="15"/>
  <c r="I11" i="6"/>
  <c r="I48" i="15"/>
  <c r="N48" i="15"/>
  <c r="J16" i="6"/>
  <c r="N42" i="15"/>
  <c r="J15" i="6"/>
  <c r="P42" i="15"/>
  <c r="J30" i="15"/>
  <c r="I24" i="15"/>
  <c r="N24" i="15"/>
  <c r="J12" i="6"/>
  <c r="V95" i="5"/>
  <c r="H26" i="21"/>
  <c r="W7" i="18"/>
  <c r="BA3" i="5"/>
  <c r="BD7" i="5"/>
  <c r="AM7" i="5"/>
  <c r="L13" i="6"/>
  <c r="Q18" i="15"/>
  <c r="M48" i="15"/>
  <c r="I16" i="6"/>
  <c r="K48" i="15"/>
  <c r="K42" i="15"/>
  <c r="I42" i="15"/>
  <c r="N30" i="15"/>
  <c r="J13" i="6"/>
  <c r="P30" i="15"/>
  <c r="J54" i="15"/>
  <c r="M24" i="15"/>
  <c r="I12" i="6"/>
  <c r="K24" i="15"/>
  <c r="P36" i="15"/>
  <c r="I18" i="15"/>
  <c r="Q42" i="15"/>
  <c r="O30" i="15"/>
  <c r="M30" i="15"/>
  <c r="I13" i="6"/>
  <c r="J24" i="15"/>
  <c r="M36" i="15"/>
  <c r="I14" i="6"/>
  <c r="Q110" i="5"/>
  <c r="Y48" i="4"/>
  <c r="Z48" i="4"/>
  <c r="Q111" i="5"/>
  <c r="Y49" i="4"/>
  <c r="Z49" i="4"/>
  <c r="Q12" i="15"/>
  <c r="J12" i="15"/>
  <c r="M12" i="15"/>
  <c r="I10" i="6"/>
  <c r="K12" i="15"/>
  <c r="N12" i="15"/>
  <c r="J10" i="6"/>
  <c r="O12" i="15"/>
  <c r="K66" i="2"/>
  <c r="O49" i="2"/>
  <c r="O26" i="6"/>
  <c r="U26" i="6"/>
  <c r="K56" i="2"/>
  <c r="F106" i="6"/>
  <c r="K47" i="2"/>
  <c r="F103" i="6"/>
  <c r="G259" i="9"/>
  <c r="O47" i="2"/>
  <c r="F290" i="9"/>
  <c r="S93" i="5"/>
  <c r="M93" i="5"/>
  <c r="M115" i="9"/>
  <c r="K61" i="2"/>
  <c r="F109" i="6"/>
  <c r="K60" i="2"/>
  <c r="F68" i="6"/>
  <c r="M71" i="9"/>
  <c r="K65" i="11"/>
  <c r="F105" i="6"/>
  <c r="F50" i="6"/>
  <c r="F51" i="6"/>
  <c r="M168" i="9"/>
  <c r="E16" i="4"/>
  <c r="K57" i="2"/>
  <c r="F107" i="6"/>
  <c r="K62" i="2"/>
  <c r="F110" i="6"/>
  <c r="K49" i="2"/>
  <c r="F104" i="6"/>
  <c r="K64" i="2"/>
  <c r="F111" i="6"/>
  <c r="K259" i="9"/>
  <c r="I259" i="9"/>
  <c r="O16" i="11"/>
  <c r="K29" i="6"/>
  <c r="O66" i="2"/>
  <c r="O62" i="2"/>
  <c r="G75" i="11"/>
  <c r="V113" i="5"/>
  <c r="K28" i="6"/>
  <c r="K34" i="6"/>
  <c r="L15" i="6"/>
  <c r="L11" i="6"/>
  <c r="K33" i="6"/>
  <c r="K32" i="6"/>
  <c r="G19" i="11"/>
  <c r="F272" i="9"/>
  <c r="F273" i="9"/>
  <c r="F270" i="9"/>
  <c r="L124" i="5"/>
  <c r="F271" i="9"/>
  <c r="S92" i="5"/>
  <c r="L27" i="6"/>
  <c r="U27" i="6"/>
  <c r="R27" i="6"/>
  <c r="O27" i="6"/>
  <c r="J126" i="6"/>
  <c r="O37" i="11"/>
  <c r="L16" i="6"/>
  <c r="W33" i="20"/>
  <c r="X33" i="20"/>
  <c r="W32" i="20"/>
  <c r="X32" i="20"/>
  <c r="W34" i="20"/>
  <c r="X34" i="20"/>
  <c r="U29" i="20"/>
  <c r="AA12" i="6"/>
  <c r="AD7" i="18"/>
  <c r="M97" i="18"/>
  <c r="AB97" i="5"/>
  <c r="M17" i="18"/>
  <c r="J100" i="8"/>
  <c r="M146" i="18"/>
  <c r="AB146" i="5"/>
  <c r="M161" i="18"/>
  <c r="AB161" i="5"/>
  <c r="M72" i="18"/>
  <c r="J71" i="9"/>
  <c r="F72" i="9"/>
  <c r="M140" i="18"/>
  <c r="AB140" i="5"/>
  <c r="M175" i="18"/>
  <c r="J176" i="14"/>
  <c r="M56" i="18"/>
  <c r="J416" i="8"/>
  <c r="M134" i="18"/>
  <c r="AB134" i="5"/>
  <c r="M67" i="18"/>
  <c r="AB67" i="5"/>
  <c r="M23" i="18"/>
  <c r="AB23" i="5"/>
  <c r="E80" i="17"/>
  <c r="E57" i="17"/>
  <c r="AE7" i="18"/>
  <c r="M123" i="18"/>
  <c r="AB123" i="5"/>
  <c r="M37" i="18"/>
  <c r="AB37" i="5"/>
  <c r="M48" i="18"/>
  <c r="AB48" i="5"/>
  <c r="M98" i="18"/>
  <c r="AB98" i="5"/>
  <c r="M136" i="18"/>
  <c r="G136" i="18"/>
  <c r="M126" i="18"/>
  <c r="AB126" i="5"/>
  <c r="U28" i="6"/>
  <c r="M130" i="18"/>
  <c r="AB130" i="5"/>
  <c r="M101" i="18"/>
  <c r="AB101" i="5"/>
  <c r="M32" i="18"/>
  <c r="G32" i="18"/>
  <c r="M24" i="18"/>
  <c r="AB24" i="5"/>
  <c r="M16" i="18"/>
  <c r="AB16" i="5"/>
  <c r="M88" i="18"/>
  <c r="O230" i="9"/>
  <c r="O229" i="9"/>
  <c r="M135" i="18"/>
  <c r="G135" i="18"/>
  <c r="M174" i="18"/>
  <c r="AB174" i="5"/>
  <c r="M77" i="18"/>
  <c r="G77" i="18"/>
  <c r="M19" i="18"/>
  <c r="AB19" i="5"/>
  <c r="M29" i="18"/>
  <c r="G29" i="18"/>
  <c r="M156" i="18"/>
  <c r="G156" i="18"/>
  <c r="M58" i="18"/>
  <c r="AB58" i="5"/>
  <c r="M85" i="18"/>
  <c r="G85" i="18"/>
  <c r="M170" i="18"/>
  <c r="AB170" i="5"/>
  <c r="M83" i="18"/>
  <c r="G83" i="18"/>
  <c r="M96" i="18"/>
  <c r="G96" i="18"/>
  <c r="M141" i="18"/>
  <c r="AB141" i="5"/>
  <c r="M160" i="18"/>
  <c r="AB160" i="5"/>
  <c r="M157" i="18"/>
  <c r="G157" i="18"/>
  <c r="M173" i="18"/>
  <c r="G173" i="18"/>
  <c r="M125" i="18"/>
  <c r="AB125" i="5"/>
  <c r="M132" i="18"/>
  <c r="AB132" i="5"/>
  <c r="M43" i="18"/>
  <c r="G43" i="18"/>
  <c r="M155" i="18"/>
  <c r="AB155" i="5"/>
  <c r="M164" i="18"/>
  <c r="AB164" i="5"/>
  <c r="M120" i="18"/>
  <c r="AB120" i="5"/>
  <c r="M95" i="18"/>
  <c r="J317" i="9"/>
  <c r="M163" i="18"/>
  <c r="G163" i="18"/>
  <c r="M73" i="18"/>
  <c r="AB73" i="5"/>
  <c r="M105" i="18"/>
  <c r="G105" i="18"/>
  <c r="M42" i="18"/>
  <c r="G42" i="18"/>
  <c r="M154" i="18"/>
  <c r="AB154" i="5"/>
  <c r="M30" i="18"/>
  <c r="AB30" i="5"/>
  <c r="M45" i="18"/>
  <c r="G45" i="18"/>
  <c r="M41" i="18"/>
  <c r="AB41" i="5"/>
  <c r="M74" i="18"/>
  <c r="J168" i="9"/>
  <c r="F169" i="9"/>
  <c r="S74" i="5"/>
  <c r="M74" i="5"/>
  <c r="M57" i="18"/>
  <c r="G57" i="18"/>
  <c r="M52" i="18"/>
  <c r="AB52" i="5"/>
  <c r="M53" i="18"/>
  <c r="AB53" i="5"/>
  <c r="M110" i="18"/>
  <c r="AB110" i="5"/>
  <c r="M142" i="18"/>
  <c r="J7" i="13"/>
  <c r="M40" i="18"/>
  <c r="G40" i="18"/>
  <c r="M49" i="18"/>
  <c r="G49" i="18"/>
  <c r="M82" i="18"/>
  <c r="G82" i="18"/>
  <c r="M117" i="18"/>
  <c r="AB117" i="5"/>
  <c r="M25" i="18"/>
  <c r="G25" i="18"/>
  <c r="M114" i="18"/>
  <c r="O86" i="10"/>
  <c r="M127" i="18"/>
  <c r="AB127" i="5"/>
  <c r="M47" i="18"/>
  <c r="AB47" i="5"/>
  <c r="M169" i="18"/>
  <c r="AB169" i="5"/>
  <c r="M124" i="18"/>
  <c r="AB124" i="5"/>
  <c r="M92" i="18"/>
  <c r="AB92" i="5"/>
  <c r="M63" i="18"/>
  <c r="AB63" i="5"/>
  <c r="M112" i="18"/>
  <c r="AB112" i="5"/>
  <c r="M38" i="18"/>
  <c r="AB38" i="5"/>
  <c r="M13" i="18"/>
  <c r="AB13" i="5"/>
  <c r="M22" i="18"/>
  <c r="G22" i="18"/>
  <c r="M177" i="18"/>
  <c r="J203" i="14"/>
  <c r="M172" i="18"/>
  <c r="G172" i="18"/>
  <c r="M90" i="18"/>
  <c r="AB90" i="5"/>
  <c r="M106" i="18"/>
  <c r="AB106" i="5"/>
  <c r="M158" i="18"/>
  <c r="G158" i="18"/>
  <c r="M109" i="18"/>
  <c r="AB109" i="5"/>
  <c r="M89" i="18"/>
  <c r="G89" i="18"/>
  <c r="M143" i="18"/>
  <c r="AB143" i="5"/>
  <c r="M166" i="18"/>
  <c r="G166" i="18"/>
  <c r="M39" i="18"/>
  <c r="AB39" i="5"/>
  <c r="M51" i="18"/>
  <c r="AB51" i="5"/>
  <c r="M28" i="18"/>
  <c r="G28" i="18"/>
  <c r="M14" i="18"/>
  <c r="AB14" i="5"/>
  <c r="M11" i="18"/>
  <c r="AB11" i="5"/>
  <c r="M137" i="18"/>
  <c r="AB137" i="5"/>
  <c r="H121" i="6"/>
  <c r="I121" i="6"/>
  <c r="I127" i="6"/>
  <c r="M121" i="18"/>
  <c r="J46" i="11"/>
  <c r="M84" i="18"/>
  <c r="G84" i="18"/>
  <c r="M81" i="18"/>
  <c r="G81" i="18"/>
  <c r="E7" i="18"/>
  <c r="D7" i="18"/>
  <c r="AB6" i="5"/>
  <c r="M26" i="18"/>
  <c r="G26" i="18"/>
  <c r="M180" i="18"/>
  <c r="M65" i="18"/>
  <c r="J17" i="9"/>
  <c r="M119" i="18"/>
  <c r="AB119" i="5"/>
  <c r="M167" i="18"/>
  <c r="G167" i="18"/>
  <c r="M62" i="18"/>
  <c r="AB62" i="5"/>
  <c r="M54" i="18"/>
  <c r="AB54" i="5"/>
  <c r="M162" i="18"/>
  <c r="AB162" i="5"/>
  <c r="M116" i="18"/>
  <c r="AB116" i="5"/>
  <c r="M144" i="18"/>
  <c r="M91" i="18"/>
  <c r="AB91" i="5"/>
  <c r="M69" i="18"/>
  <c r="G69" i="18"/>
  <c r="M50" i="18"/>
  <c r="G50" i="18"/>
  <c r="M165" i="18"/>
  <c r="M33" i="18"/>
  <c r="O254" i="8"/>
  <c r="O253" i="8"/>
  <c r="M111" i="18"/>
  <c r="AB111" i="5"/>
  <c r="M138" i="18"/>
  <c r="G138" i="18"/>
  <c r="M93" i="18"/>
  <c r="M64" i="18"/>
  <c r="G64" i="18"/>
  <c r="M122" i="18"/>
  <c r="AB122" i="5"/>
  <c r="M78" i="18"/>
  <c r="AB78" i="5"/>
  <c r="M108" i="18"/>
  <c r="M44" i="18"/>
  <c r="AB44" i="5"/>
  <c r="M128" i="18"/>
  <c r="AB128" i="5"/>
  <c r="AC7" i="18"/>
  <c r="AV20" i="5"/>
  <c r="AT20" i="5"/>
  <c r="AP20" i="5"/>
  <c r="H44" i="21"/>
  <c r="L44" i="21"/>
  <c r="I50" i="21"/>
  <c r="M44" i="21"/>
  <c r="L50" i="21"/>
  <c r="M87" i="18"/>
  <c r="J230" i="9"/>
  <c r="J229" i="9"/>
  <c r="M55" i="18"/>
  <c r="AB55" i="5"/>
  <c r="M113" i="18"/>
  <c r="G113" i="18"/>
  <c r="M102" i="18"/>
  <c r="AB102" i="5"/>
  <c r="M131" i="18"/>
  <c r="AB131" i="5"/>
  <c r="M9" i="18"/>
  <c r="AB9" i="5"/>
  <c r="M12" i="18"/>
  <c r="G12" i="18"/>
  <c r="M104" i="18"/>
  <c r="M15" i="18"/>
  <c r="G15" i="18"/>
  <c r="M66" i="18"/>
  <c r="AB66" i="5"/>
  <c r="M61" i="18"/>
  <c r="AB61" i="5"/>
  <c r="M94" i="18"/>
  <c r="M147" i="18"/>
  <c r="G147" i="18"/>
  <c r="M80" i="18"/>
  <c r="G80" i="18"/>
  <c r="M31" i="18"/>
  <c r="AB31" i="5"/>
  <c r="M145" i="18"/>
  <c r="M18" i="18"/>
  <c r="G18" i="18"/>
  <c r="M71" i="18"/>
  <c r="AB71" i="5"/>
  <c r="M153" i="18"/>
  <c r="AB153" i="5"/>
  <c r="M34" i="18"/>
  <c r="AB34" i="5"/>
  <c r="M36" i="18"/>
  <c r="J265" i="8"/>
  <c r="M151" i="18"/>
  <c r="G151" i="18"/>
  <c r="M27" i="18"/>
  <c r="G27" i="18"/>
  <c r="M176" i="18"/>
  <c r="M60" i="18"/>
  <c r="G60" i="18"/>
  <c r="M46" i="18"/>
  <c r="AB46" i="5"/>
  <c r="M107" i="18"/>
  <c r="G107" i="18"/>
  <c r="M21" i="18"/>
  <c r="AB21" i="5"/>
  <c r="M99" i="18"/>
  <c r="J337" i="9"/>
  <c r="M20" i="18"/>
  <c r="AB20" i="5"/>
  <c r="M68" i="18"/>
  <c r="J36" i="9"/>
  <c r="M150" i="18"/>
  <c r="M76" i="18"/>
  <c r="AB76" i="5"/>
  <c r="M10" i="18"/>
  <c r="AB10" i="5"/>
  <c r="M79" i="18"/>
  <c r="AB79" i="5"/>
  <c r="M86" i="18"/>
  <c r="AB86" i="5"/>
  <c r="M75" i="18"/>
  <c r="AB75" i="5"/>
  <c r="M103" i="18"/>
  <c r="AB103" i="5"/>
  <c r="M178" i="18"/>
  <c r="AB178" i="5"/>
  <c r="M171" i="18"/>
  <c r="M115" i="18"/>
  <c r="G115" i="18"/>
  <c r="M149" i="18"/>
  <c r="J59" i="13"/>
  <c r="M118" i="18"/>
  <c r="AB118" i="5"/>
  <c r="M35" i="18"/>
  <c r="AB35" i="5"/>
  <c r="M159" i="18"/>
  <c r="AB159" i="5"/>
  <c r="M168" i="18"/>
  <c r="AB168" i="5"/>
  <c r="M152" i="18"/>
  <c r="AB152" i="5"/>
  <c r="M100" i="18"/>
  <c r="M139" i="18"/>
  <c r="O156" i="11"/>
  <c r="M70" i="18"/>
  <c r="J54" i="9"/>
  <c r="F55" i="9"/>
  <c r="F56" i="9"/>
  <c r="M133" i="18"/>
  <c r="AB133" i="5"/>
  <c r="M59" i="18"/>
  <c r="AB59" i="5"/>
  <c r="M148" i="18"/>
  <c r="AB148" i="5"/>
  <c r="M179" i="18"/>
  <c r="J214" i="14"/>
  <c r="M129" i="18"/>
  <c r="G129" i="18"/>
  <c r="F86" i="6"/>
  <c r="F295" i="9"/>
  <c r="M92" i="5"/>
  <c r="L24" i="6"/>
  <c r="L133" i="6"/>
  <c r="E9" i="16"/>
  <c r="J74" i="11"/>
  <c r="F38" i="6"/>
  <c r="F40" i="6"/>
  <c r="F80" i="6"/>
  <c r="F83" i="6"/>
  <c r="F294" i="9"/>
  <c r="U30" i="6"/>
  <c r="F56" i="6"/>
  <c r="F61" i="6"/>
  <c r="O30" i="6"/>
  <c r="L34" i="6"/>
  <c r="R34" i="6"/>
  <c r="L31" i="6"/>
  <c r="R31" i="6"/>
  <c r="R29" i="6"/>
  <c r="O31" i="6"/>
  <c r="U31" i="6"/>
  <c r="U29" i="6"/>
  <c r="F292" i="9"/>
  <c r="F291" i="9"/>
  <c r="F53" i="6"/>
  <c r="F293" i="9"/>
  <c r="O28" i="6"/>
  <c r="L28" i="6"/>
  <c r="O24" i="6"/>
  <c r="O133" i="6"/>
  <c r="H15" i="14"/>
  <c r="F74" i="6"/>
  <c r="F75" i="6"/>
  <c r="O29" i="6"/>
  <c r="O67" i="2"/>
  <c r="C21" i="2"/>
  <c r="D12" i="4"/>
  <c r="F250" i="9"/>
  <c r="F251" i="9"/>
  <c r="F44" i="6"/>
  <c r="F45" i="6"/>
  <c r="F62" i="6"/>
  <c r="F63" i="6"/>
  <c r="F108" i="6"/>
  <c r="O113" i="6"/>
  <c r="O134" i="6"/>
  <c r="F54" i="6"/>
  <c r="F55" i="6"/>
  <c r="F52" i="6"/>
  <c r="U35" i="6"/>
  <c r="R35" i="6"/>
  <c r="F125" i="6"/>
  <c r="L125" i="6"/>
  <c r="L119" i="6"/>
  <c r="O32" i="6"/>
  <c r="U32" i="6"/>
  <c r="L32" i="6"/>
  <c r="R32" i="6"/>
  <c r="G79" i="11"/>
  <c r="G77" i="11"/>
  <c r="G78" i="11"/>
  <c r="G76" i="11"/>
  <c r="AV110" i="5"/>
  <c r="AT110" i="5"/>
  <c r="AP110" i="5"/>
  <c r="AV34" i="5"/>
  <c r="AT34" i="5"/>
  <c r="AP34" i="5"/>
  <c r="AV62" i="5"/>
  <c r="AT62" i="5"/>
  <c r="AP62" i="5"/>
  <c r="AV124" i="5"/>
  <c r="AV119" i="5"/>
  <c r="AT119" i="5"/>
  <c r="AP119" i="5"/>
  <c r="AV112" i="5"/>
  <c r="AT112" i="5"/>
  <c r="AP112" i="5"/>
  <c r="AV75" i="5"/>
  <c r="AT75" i="5"/>
  <c r="AP75" i="5"/>
  <c r="AV97" i="5"/>
  <c r="AT97" i="5"/>
  <c r="AP97" i="5"/>
  <c r="AV146" i="5"/>
  <c r="AT146" i="5"/>
  <c r="AP146" i="5"/>
  <c r="AV153" i="5"/>
  <c r="AT153" i="5"/>
  <c r="AP153" i="5"/>
  <c r="AV141" i="5"/>
  <c r="AT141" i="5"/>
  <c r="AP141" i="5"/>
  <c r="AV47" i="5"/>
  <c r="AT47" i="5"/>
  <c r="AP47" i="5"/>
  <c r="AV61" i="5"/>
  <c r="AV118" i="5"/>
  <c r="AF7" i="5"/>
  <c r="AV111" i="5"/>
  <c r="AT111" i="5"/>
  <c r="AP111" i="5"/>
  <c r="AV133" i="5"/>
  <c r="AT133" i="5"/>
  <c r="AP133" i="5"/>
  <c r="AV160" i="5"/>
  <c r="AV169" i="5"/>
  <c r="AT169" i="5"/>
  <c r="AP169" i="5"/>
  <c r="AV10" i="5"/>
  <c r="AT10" i="5"/>
  <c r="AP10" i="5"/>
  <c r="AV161" i="5"/>
  <c r="AT161" i="5"/>
  <c r="AP161" i="5"/>
  <c r="G23" i="11"/>
  <c r="G21" i="11"/>
  <c r="G22" i="11"/>
  <c r="G20" i="11"/>
  <c r="AB64" i="5"/>
  <c r="F72" i="6"/>
  <c r="F69" i="6"/>
  <c r="F73" i="6"/>
  <c r="F70" i="6"/>
  <c r="F71" i="6"/>
  <c r="V93" i="5"/>
  <c r="K93" i="18"/>
  <c r="J126" i="11"/>
  <c r="L121" i="6"/>
  <c r="X29" i="20"/>
  <c r="W29" i="20"/>
  <c r="AB136" i="5"/>
  <c r="G95" i="18"/>
  <c r="J357" i="9"/>
  <c r="I51" i="21"/>
  <c r="AB151" i="5"/>
  <c r="G123" i="18"/>
  <c r="J202" i="13"/>
  <c r="J211" i="13"/>
  <c r="AB45" i="5"/>
  <c r="J71" i="14"/>
  <c r="F59" i="9"/>
  <c r="J132" i="8"/>
  <c r="J202" i="9"/>
  <c r="J201" i="9"/>
  <c r="J8" i="9"/>
  <c r="G24" i="18"/>
  <c r="J376" i="9"/>
  <c r="AB40" i="5"/>
  <c r="J45" i="9"/>
  <c r="J44" i="9"/>
  <c r="F172" i="9"/>
  <c r="O28" i="13"/>
  <c r="J168" i="13"/>
  <c r="J168" i="8"/>
  <c r="J100" i="14"/>
  <c r="J211" i="8"/>
  <c r="J210" i="8"/>
  <c r="J249" i="9"/>
  <c r="G88" i="18"/>
  <c r="J302" i="8"/>
  <c r="E79" i="17"/>
  <c r="N140" i="18"/>
  <c r="AD140" i="5"/>
  <c r="O202" i="9"/>
  <c r="O201" i="9"/>
  <c r="G38" i="18"/>
  <c r="AB28" i="5"/>
  <c r="J325" i="8"/>
  <c r="G41" i="18"/>
  <c r="I39" i="18"/>
  <c r="D42" i="18"/>
  <c r="W42" i="5"/>
  <c r="G44" i="18"/>
  <c r="I43" i="18"/>
  <c r="D45" i="18"/>
  <c r="W45" i="5"/>
  <c r="N45" i="5"/>
  <c r="G101" i="18"/>
  <c r="C72" i="9"/>
  <c r="J239" i="9"/>
  <c r="J238" i="9"/>
  <c r="G111" i="18"/>
  <c r="N114" i="18"/>
  <c r="H114" i="18"/>
  <c r="S70" i="5"/>
  <c r="M70" i="5"/>
  <c r="V70" i="5"/>
  <c r="AB80" i="5"/>
  <c r="J115" i="9"/>
  <c r="F116" i="9"/>
  <c r="F117" i="9"/>
  <c r="AB81" i="5"/>
  <c r="G168" i="18"/>
  <c r="G17" i="18"/>
  <c r="G106" i="18"/>
  <c r="J156" i="11"/>
  <c r="J155" i="11"/>
  <c r="I134" i="18"/>
  <c r="D135" i="18"/>
  <c r="W135" i="5"/>
  <c r="N135" i="5"/>
  <c r="F58" i="9"/>
  <c r="AB17" i="5"/>
  <c r="G56" i="18"/>
  <c r="G46" i="18"/>
  <c r="G33" i="18"/>
  <c r="G54" i="18"/>
  <c r="J143" i="8"/>
  <c r="AB56" i="5"/>
  <c r="AB22" i="5"/>
  <c r="AB70" i="5"/>
  <c r="J425" i="8"/>
  <c r="AB88" i="5"/>
  <c r="E50" i="16"/>
  <c r="I79" i="18"/>
  <c r="D89" i="18"/>
  <c r="W89" i="5"/>
  <c r="N89" i="5"/>
  <c r="N47" i="18"/>
  <c r="J116" i="8"/>
  <c r="AB177" i="5"/>
  <c r="J33" i="8"/>
  <c r="F34" i="8"/>
  <c r="F38" i="8"/>
  <c r="AB175" i="5"/>
  <c r="AB72" i="5"/>
  <c r="G177" i="18"/>
  <c r="AB69" i="5"/>
  <c r="N171" i="18"/>
  <c r="H171" i="18"/>
  <c r="O6" i="10"/>
  <c r="J159" i="8"/>
  <c r="J158" i="8"/>
  <c r="AB27" i="5"/>
  <c r="AB147" i="5"/>
  <c r="AB25" i="5"/>
  <c r="J6" i="14"/>
  <c r="J151" i="13"/>
  <c r="F152" i="13"/>
  <c r="G120" i="18"/>
  <c r="G130" i="18"/>
  <c r="J36" i="11"/>
  <c r="J35" i="11"/>
  <c r="G175" i="18"/>
  <c r="J254" i="8"/>
  <c r="J253" i="8"/>
  <c r="AB32" i="5"/>
  <c r="J211" i="9"/>
  <c r="J210" i="9"/>
  <c r="AB107" i="5"/>
  <c r="J293" i="8"/>
  <c r="AB29" i="5"/>
  <c r="G36" i="18"/>
  <c r="G23" i="18"/>
  <c r="AB135" i="5"/>
  <c r="N48" i="18"/>
  <c r="AD48" i="5"/>
  <c r="N147" i="18"/>
  <c r="AD147" i="5"/>
  <c r="I155" i="18"/>
  <c r="D156" i="18"/>
  <c r="W156" i="5"/>
  <c r="N156" i="5"/>
  <c r="J167" i="9"/>
  <c r="AB113" i="5"/>
  <c r="G37" i="18"/>
  <c r="O211" i="8"/>
  <c r="O210" i="8"/>
  <c r="G131" i="18"/>
  <c r="AB166" i="5"/>
  <c r="I31" i="18"/>
  <c r="D32" i="18"/>
  <c r="W32" i="5"/>
  <c r="N32" i="5"/>
  <c r="AB139" i="5"/>
  <c r="AB105" i="5"/>
  <c r="J333" i="8"/>
  <c r="G128" i="18"/>
  <c r="AB129" i="5"/>
  <c r="N92" i="18"/>
  <c r="AD92" i="5"/>
  <c r="F170" i="9"/>
  <c r="F173" i="9"/>
  <c r="J192" i="9"/>
  <c r="J191" i="9"/>
  <c r="J84" i="8"/>
  <c r="AB82" i="5"/>
  <c r="G110" i="18"/>
  <c r="J267" i="9"/>
  <c r="O435" i="8"/>
  <c r="O434" i="8"/>
  <c r="J379" i="8"/>
  <c r="G127" i="18"/>
  <c r="AB173" i="5"/>
  <c r="G16" i="18"/>
  <c r="G154" i="18"/>
  <c r="G148" i="18"/>
  <c r="J50" i="13"/>
  <c r="J7" i="11"/>
  <c r="F174" i="9"/>
  <c r="J29" i="14"/>
  <c r="J311" i="8"/>
  <c r="J310" i="8"/>
  <c r="AB15" i="5"/>
  <c r="AB18" i="5"/>
  <c r="AB77" i="5"/>
  <c r="J361" i="8"/>
  <c r="AB43" i="5"/>
  <c r="AB87" i="5"/>
  <c r="G87" i="18"/>
  <c r="AB115" i="5"/>
  <c r="AB74" i="5"/>
  <c r="AB157" i="5"/>
  <c r="AB179" i="5"/>
  <c r="G179" i="18"/>
  <c r="N54" i="18"/>
  <c r="AD54" i="5"/>
  <c r="N174" i="18"/>
  <c r="AD174" i="5"/>
  <c r="AB163" i="5"/>
  <c r="AB60" i="5"/>
  <c r="G51" i="18"/>
  <c r="AB96" i="5"/>
  <c r="F171" i="9"/>
  <c r="J283" i="8"/>
  <c r="AB89" i="5"/>
  <c r="G99" i="18"/>
  <c r="AB99" i="5"/>
  <c r="J68" i="8"/>
  <c r="G139" i="18"/>
  <c r="I137" i="18"/>
  <c r="D138" i="18"/>
  <c r="W138" i="5"/>
  <c r="N138" i="5"/>
  <c r="AB42" i="5"/>
  <c r="J166" i="14"/>
  <c r="F49" i="6"/>
  <c r="AB36" i="5"/>
  <c r="N134" i="18"/>
  <c r="AD134" i="5"/>
  <c r="N118" i="18"/>
  <c r="H118" i="18"/>
  <c r="N77" i="18"/>
  <c r="H77" i="18"/>
  <c r="F60" i="9"/>
  <c r="F57" i="9"/>
  <c r="G55" i="18"/>
  <c r="AB85" i="5"/>
  <c r="AB142" i="5"/>
  <c r="AB65" i="5"/>
  <c r="G142" i="18"/>
  <c r="G114" i="18"/>
  <c r="I112" i="18"/>
  <c r="D113" i="18"/>
  <c r="W113" i="5"/>
  <c r="N113" i="5"/>
  <c r="J26" i="9"/>
  <c r="J25" i="9"/>
  <c r="G66" i="18"/>
  <c r="J343" i="8"/>
  <c r="AB49" i="5"/>
  <c r="AB83" i="5"/>
  <c r="O202" i="13"/>
  <c r="AB57" i="5"/>
  <c r="G19" i="18"/>
  <c r="N74" i="18"/>
  <c r="H74" i="18"/>
  <c r="N57" i="18"/>
  <c r="O425" i="8"/>
  <c r="N139" i="18"/>
  <c r="H139" i="18"/>
  <c r="N170" i="18"/>
  <c r="AD170" i="5"/>
  <c r="N173" i="18"/>
  <c r="AD173" i="5"/>
  <c r="N72" i="18"/>
  <c r="AD72" i="5"/>
  <c r="AB95" i="5"/>
  <c r="G103" i="18"/>
  <c r="G149" i="18"/>
  <c r="O211" i="9"/>
  <c r="O210" i="9"/>
  <c r="G30" i="18"/>
  <c r="AB156" i="5"/>
  <c r="AB33" i="5"/>
  <c r="J398" i="8"/>
  <c r="J142" i="13"/>
  <c r="O220" i="9"/>
  <c r="O219" i="9"/>
  <c r="AB149" i="5"/>
  <c r="J367" i="9"/>
  <c r="G78" i="18"/>
  <c r="I76" i="18"/>
  <c r="D77" i="18"/>
  <c r="W77" i="5"/>
  <c r="N77" i="5"/>
  <c r="J407" i="8"/>
  <c r="G396" i="8"/>
  <c r="O376" i="9"/>
  <c r="J220" i="8"/>
  <c r="G65" i="18"/>
  <c r="N136" i="18"/>
  <c r="H136" i="18"/>
  <c r="N159" i="18"/>
  <c r="AD159" i="5"/>
  <c r="N70" i="18"/>
  <c r="AD70" i="5"/>
  <c r="N116" i="18"/>
  <c r="AD116" i="5"/>
  <c r="N35" i="18"/>
  <c r="AD35" i="5"/>
  <c r="AB114" i="5"/>
  <c r="N150" i="18"/>
  <c r="H150" i="18"/>
  <c r="N19" i="18"/>
  <c r="AD19" i="5"/>
  <c r="N81" i="18"/>
  <c r="AD81" i="5"/>
  <c r="N76" i="18"/>
  <c r="AD76" i="5"/>
  <c r="N67" i="18"/>
  <c r="AD67" i="5"/>
  <c r="N165" i="18"/>
  <c r="H165" i="18"/>
  <c r="N39" i="18"/>
  <c r="AD39" i="5"/>
  <c r="N79" i="18"/>
  <c r="AD79" i="5"/>
  <c r="N120" i="18"/>
  <c r="H120" i="18"/>
  <c r="N18" i="18"/>
  <c r="H18" i="18"/>
  <c r="N176" i="18"/>
  <c r="AD176" i="5"/>
  <c r="J64" i="11"/>
  <c r="AB121" i="5"/>
  <c r="J15" i="11"/>
  <c r="AB172" i="5"/>
  <c r="J193" i="8"/>
  <c r="O31" i="10"/>
  <c r="J237" i="8"/>
  <c r="G122" i="18"/>
  <c r="J385" i="9"/>
  <c r="J184" i="8"/>
  <c r="J183" i="8"/>
  <c r="J147" i="14"/>
  <c r="N21" i="18"/>
  <c r="AD21" i="5"/>
  <c r="N87" i="18"/>
  <c r="H87" i="18"/>
  <c r="N71" i="18"/>
  <c r="AD71" i="5"/>
  <c r="N103" i="18"/>
  <c r="H103" i="18"/>
  <c r="N20" i="18"/>
  <c r="N9" i="18"/>
  <c r="H9" i="18"/>
  <c r="N63" i="18"/>
  <c r="AD63" i="5"/>
  <c r="N137" i="18"/>
  <c r="AD137" i="5"/>
  <c r="N172" i="18"/>
  <c r="AD172" i="5"/>
  <c r="N151" i="18"/>
  <c r="AD151" i="5"/>
  <c r="N89" i="18"/>
  <c r="AD89" i="5"/>
  <c r="N90" i="18"/>
  <c r="AD90" i="5"/>
  <c r="N112" i="18"/>
  <c r="AD112" i="5"/>
  <c r="N11" i="18"/>
  <c r="AD11" i="5"/>
  <c r="N130" i="18"/>
  <c r="AD130" i="5"/>
  <c r="N29" i="18"/>
  <c r="H29" i="18"/>
  <c r="N100" i="18"/>
  <c r="H100" i="18"/>
  <c r="N142" i="18"/>
  <c r="H142" i="18"/>
  <c r="N51" i="18"/>
  <c r="H51" i="18"/>
  <c r="N106" i="18"/>
  <c r="AD106" i="5"/>
  <c r="N123" i="18"/>
  <c r="H123" i="18"/>
  <c r="AB138" i="5"/>
  <c r="N36" i="18"/>
  <c r="O265" i="8"/>
  <c r="J264" i="8"/>
  <c r="N126" i="18"/>
  <c r="H126" i="18"/>
  <c r="N119" i="18"/>
  <c r="AD119" i="5"/>
  <c r="N180" i="18"/>
  <c r="AD180" i="5"/>
  <c r="N28" i="18"/>
  <c r="AD28" i="5"/>
  <c r="N162" i="18"/>
  <c r="AD162" i="5"/>
  <c r="N78" i="18"/>
  <c r="AD78" i="5"/>
  <c r="N65" i="18"/>
  <c r="O17" i="9"/>
  <c r="J16" i="9"/>
  <c r="N121" i="18"/>
  <c r="AD121" i="5"/>
  <c r="N88" i="18"/>
  <c r="AD88" i="5"/>
  <c r="J388" i="8"/>
  <c r="AB12" i="5"/>
  <c r="J8" i="8"/>
  <c r="J370" i="8"/>
  <c r="O126" i="11"/>
  <c r="J125" i="11"/>
  <c r="AB158" i="5"/>
  <c r="AB50" i="5"/>
  <c r="G52" i="18"/>
  <c r="G162" i="18"/>
  <c r="J20" i="14"/>
  <c r="AD6" i="5"/>
  <c r="N149" i="18"/>
  <c r="AD149" i="5"/>
  <c r="N93" i="18"/>
  <c r="AD93" i="5"/>
  <c r="N127" i="18"/>
  <c r="AD127" i="5"/>
  <c r="N125" i="18"/>
  <c r="H125" i="18"/>
  <c r="N128" i="18"/>
  <c r="AD128" i="5"/>
  <c r="N27" i="18"/>
  <c r="J202" i="8"/>
  <c r="J201" i="8"/>
  <c r="N111" i="18"/>
  <c r="AD111" i="5"/>
  <c r="N41" i="18"/>
  <c r="AD41" i="5"/>
  <c r="N129" i="18"/>
  <c r="H129" i="18"/>
  <c r="N113" i="18"/>
  <c r="H113" i="18"/>
  <c r="J112" i="18"/>
  <c r="E114" i="18"/>
  <c r="Y114" i="5"/>
  <c r="P114" i="5"/>
  <c r="N145" i="18"/>
  <c r="AD145" i="5"/>
  <c r="N104" i="18"/>
  <c r="H104" i="18"/>
  <c r="N108" i="18"/>
  <c r="AD108" i="5"/>
  <c r="N53" i="18"/>
  <c r="AD53" i="5"/>
  <c r="N144" i="18"/>
  <c r="H144" i="18"/>
  <c r="N37" i="18"/>
  <c r="H37" i="18"/>
  <c r="N62" i="18"/>
  <c r="N94" i="18"/>
  <c r="H94" i="18"/>
  <c r="N82" i="18"/>
  <c r="H82" i="18"/>
  <c r="N161" i="18"/>
  <c r="AD161" i="5"/>
  <c r="N61" i="18"/>
  <c r="H61" i="18"/>
  <c r="AB93" i="5"/>
  <c r="J289" i="9"/>
  <c r="G144" i="18"/>
  <c r="AB144" i="5"/>
  <c r="J17" i="13"/>
  <c r="AB84" i="5"/>
  <c r="J220" i="9"/>
  <c r="J219" i="9"/>
  <c r="F90" i="6"/>
  <c r="F88" i="6"/>
  <c r="F87" i="6"/>
  <c r="F89" i="6"/>
  <c r="AB100" i="5"/>
  <c r="G100" i="18"/>
  <c r="J346" i="9"/>
  <c r="J185" i="14"/>
  <c r="AB176" i="5"/>
  <c r="G176" i="18"/>
  <c r="G145" i="18"/>
  <c r="AB145" i="5"/>
  <c r="O367" i="9"/>
  <c r="G104" i="18"/>
  <c r="AB104" i="5"/>
  <c r="F85" i="6"/>
  <c r="F82" i="6"/>
  <c r="F84" i="6"/>
  <c r="K92" i="18"/>
  <c r="G92" i="18"/>
  <c r="V92" i="5"/>
  <c r="G108" i="18"/>
  <c r="AB108" i="5"/>
  <c r="O385" i="9"/>
  <c r="J62" i="14"/>
  <c r="AB165" i="5"/>
  <c r="AB180" i="5"/>
  <c r="J232" i="14"/>
  <c r="G180" i="18"/>
  <c r="J435" i="8"/>
  <c r="J434" i="8"/>
  <c r="G59" i="18"/>
  <c r="I58" i="18"/>
  <c r="D60" i="18"/>
  <c r="W60" i="5"/>
  <c r="N60" i="5"/>
  <c r="G171" i="18"/>
  <c r="I170" i="18"/>
  <c r="D171" i="18"/>
  <c r="W171" i="5"/>
  <c r="N171" i="5"/>
  <c r="J121" i="14"/>
  <c r="AB171" i="5"/>
  <c r="AB150" i="5"/>
  <c r="G150" i="18"/>
  <c r="J84" i="13"/>
  <c r="G94" i="18"/>
  <c r="AB94" i="5"/>
  <c r="O17" i="13"/>
  <c r="F91" i="6"/>
  <c r="G165" i="18"/>
  <c r="J308" i="9"/>
  <c r="J307" i="9"/>
  <c r="N15" i="18"/>
  <c r="AD15" i="5"/>
  <c r="N31" i="18"/>
  <c r="O237" i="8"/>
  <c r="N56" i="18"/>
  <c r="AD56" i="5"/>
  <c r="N22" i="18"/>
  <c r="AD22" i="5"/>
  <c r="N52" i="18"/>
  <c r="O388" i="8"/>
  <c r="N167" i="18"/>
  <c r="H167" i="18"/>
  <c r="N179" i="18"/>
  <c r="AD166" i="5"/>
  <c r="N133" i="18"/>
  <c r="AD133" i="5"/>
  <c r="N50" i="18"/>
  <c r="O370" i="8"/>
  <c r="N148" i="18"/>
  <c r="H148" i="18"/>
  <c r="N23" i="18"/>
  <c r="AD23" i="5"/>
  <c r="N91" i="18"/>
  <c r="AD91" i="5"/>
  <c r="N109" i="18"/>
  <c r="AD109" i="5"/>
  <c r="N157" i="18"/>
  <c r="AD157" i="5"/>
  <c r="N59" i="18"/>
  <c r="H59" i="18"/>
  <c r="N131" i="18"/>
  <c r="AD131" i="5"/>
  <c r="N143" i="18"/>
  <c r="AD143" i="5"/>
  <c r="N122" i="18"/>
  <c r="AD122" i="5"/>
  <c r="N26" i="18"/>
  <c r="AD26" i="5"/>
  <c r="N55" i="18"/>
  <c r="H55" i="18"/>
  <c r="N64" i="18"/>
  <c r="O8" i="9"/>
  <c r="N83" i="18"/>
  <c r="AD83" i="5"/>
  <c r="N164" i="18"/>
  <c r="AD164" i="5"/>
  <c r="N105" i="18"/>
  <c r="AD105" i="5"/>
  <c r="N75" i="18"/>
  <c r="N46" i="18"/>
  <c r="O343" i="8"/>
  <c r="N158" i="18"/>
  <c r="AD158" i="5"/>
  <c r="N169" i="18"/>
  <c r="AD169" i="5"/>
  <c r="N99" i="18"/>
  <c r="AD99" i="5"/>
  <c r="N152" i="18"/>
  <c r="H152" i="18"/>
  <c r="N86" i="18"/>
  <c r="AD86" i="5"/>
  <c r="N45" i="18"/>
  <c r="H45" i="18"/>
  <c r="N101" i="18"/>
  <c r="H101" i="18"/>
  <c r="N154" i="18"/>
  <c r="AD154" i="5"/>
  <c r="N141" i="18"/>
  <c r="AD141" i="5"/>
  <c r="N25" i="18"/>
  <c r="AD25" i="5"/>
  <c r="N160" i="18"/>
  <c r="AD160" i="5"/>
  <c r="N177" i="18"/>
  <c r="H177" i="18"/>
  <c r="N132" i="18"/>
  <c r="H132" i="18"/>
  <c r="G93" i="18"/>
  <c r="AB26" i="5"/>
  <c r="AB167" i="5"/>
  <c r="N156" i="18"/>
  <c r="AD156" i="5"/>
  <c r="O55" i="10"/>
  <c r="G68" i="18"/>
  <c r="AB68" i="5"/>
  <c r="J80" i="14"/>
  <c r="O192" i="9"/>
  <c r="O191" i="9"/>
  <c r="N42" i="18"/>
  <c r="H42" i="18"/>
  <c r="N43" i="18"/>
  <c r="AD43" i="5"/>
  <c r="N66" i="18"/>
  <c r="AD66" i="5"/>
  <c r="N60" i="18"/>
  <c r="H60" i="18"/>
  <c r="N33" i="18"/>
  <c r="H33" i="18"/>
  <c r="N73" i="18"/>
  <c r="H73" i="18"/>
  <c r="N178" i="18"/>
  <c r="AD178" i="5"/>
  <c r="N98" i="18"/>
  <c r="AD98" i="5"/>
  <c r="N97" i="18"/>
  <c r="N168" i="18"/>
  <c r="H168" i="18"/>
  <c r="N16" i="18"/>
  <c r="AD16" i="5"/>
  <c r="N135" i="18"/>
  <c r="H135" i="18"/>
  <c r="J134" i="18"/>
  <c r="E135" i="18"/>
  <c r="Y135" i="5"/>
  <c r="P135" i="5"/>
  <c r="N69" i="18"/>
  <c r="AD69" i="5"/>
  <c r="N117" i="18"/>
  <c r="H117" i="18"/>
  <c r="N17" i="18"/>
  <c r="O100" i="8"/>
  <c r="J99" i="8"/>
  <c r="N95" i="18"/>
  <c r="AD95" i="5"/>
  <c r="N85" i="18"/>
  <c r="H85" i="18"/>
  <c r="N153" i="18"/>
  <c r="AD153" i="5"/>
  <c r="N138" i="18"/>
  <c r="H138" i="18"/>
  <c r="N30" i="18"/>
  <c r="H30" i="18"/>
  <c r="N68" i="18"/>
  <c r="AD68" i="5"/>
  <c r="N40" i="18"/>
  <c r="AD40" i="5"/>
  <c r="N146" i="18"/>
  <c r="AD146" i="5"/>
  <c r="N58" i="18"/>
  <c r="AD58" i="5"/>
  <c r="N175" i="18"/>
  <c r="AD175" i="5"/>
  <c r="N14" i="18"/>
  <c r="AD14" i="5"/>
  <c r="N24" i="18"/>
  <c r="O168" i="8"/>
  <c r="N84" i="18"/>
  <c r="AD84" i="5"/>
  <c r="N107" i="18"/>
  <c r="H107" i="18"/>
  <c r="N163" i="18"/>
  <c r="AD163" i="5"/>
  <c r="N13" i="18"/>
  <c r="O33" i="8"/>
  <c r="K34" i="8"/>
  <c r="K39" i="8"/>
  <c r="N49" i="18"/>
  <c r="O361" i="8"/>
  <c r="N155" i="18"/>
  <c r="AD155" i="5"/>
  <c r="N10" i="18"/>
  <c r="N102" i="18"/>
  <c r="AD102" i="5"/>
  <c r="N34" i="18"/>
  <c r="N38" i="18"/>
  <c r="AD38" i="5"/>
  <c r="N80" i="18"/>
  <c r="AD80" i="5"/>
  <c r="N44" i="18"/>
  <c r="AD44" i="5"/>
  <c r="N124" i="18"/>
  <c r="AD124" i="5"/>
  <c r="N12" i="18"/>
  <c r="H12" i="18"/>
  <c r="N166" i="18"/>
  <c r="H166" i="18"/>
  <c r="N32" i="18"/>
  <c r="AD32" i="5"/>
  <c r="N110" i="18"/>
  <c r="AD110" i="5"/>
  <c r="O121" i="6"/>
  <c r="F127" i="6"/>
  <c r="L127" i="6"/>
  <c r="F43" i="6"/>
  <c r="F41" i="6"/>
  <c r="F42" i="6"/>
  <c r="F39" i="6"/>
  <c r="F81" i="6"/>
  <c r="F60" i="6"/>
  <c r="D9" i="16"/>
  <c r="S39" i="4"/>
  <c r="F252" i="9"/>
  <c r="F254" i="9"/>
  <c r="F57" i="6"/>
  <c r="F58" i="6"/>
  <c r="F59" i="6"/>
  <c r="F65" i="6"/>
  <c r="F64" i="6"/>
  <c r="F78" i="6"/>
  <c r="O93" i="6"/>
  <c r="D14" i="16"/>
  <c r="F66" i="6"/>
  <c r="F77" i="6"/>
  <c r="F67" i="6"/>
  <c r="F46" i="6"/>
  <c r="F255" i="9"/>
  <c r="S91" i="5"/>
  <c r="F253" i="9"/>
  <c r="F79" i="6"/>
  <c r="F76" i="6"/>
  <c r="F47" i="6"/>
  <c r="L93" i="6"/>
  <c r="E14" i="16"/>
  <c r="D5" i="17"/>
  <c r="E5" i="17"/>
  <c r="F48" i="6"/>
  <c r="L35" i="6"/>
  <c r="E8" i="16"/>
  <c r="O35" i="6"/>
  <c r="D8" i="16"/>
  <c r="L113" i="6"/>
  <c r="L134" i="6"/>
  <c r="E34" i="16"/>
  <c r="T40" i="4"/>
  <c r="D5" i="16"/>
  <c r="E5" i="16"/>
  <c r="H16" i="14"/>
  <c r="F75" i="9"/>
  <c r="J70" i="9"/>
  <c r="S72" i="5"/>
  <c r="M72" i="5"/>
  <c r="F76" i="9"/>
  <c r="F74" i="9"/>
  <c r="F77" i="9"/>
  <c r="F73" i="9"/>
  <c r="I15" i="14"/>
  <c r="D34" i="16"/>
  <c r="T39" i="4"/>
  <c r="V74" i="5"/>
  <c r="K74" i="18"/>
  <c r="G74" i="18"/>
  <c r="S40" i="4"/>
  <c r="J23" i="20"/>
  <c r="H37" i="20"/>
  <c r="F74" i="11"/>
  <c r="H127" i="18"/>
  <c r="I21" i="18"/>
  <c r="D23" i="18"/>
  <c r="W23" i="5"/>
  <c r="N23" i="5"/>
  <c r="L37" i="20"/>
  <c r="G93" i="20"/>
  <c r="H93" i="20"/>
  <c r="I48" i="18"/>
  <c r="D49" i="18"/>
  <c r="W49" i="5"/>
  <c r="N49" i="5"/>
  <c r="AD45" i="5"/>
  <c r="F155" i="13"/>
  <c r="F153" i="13"/>
  <c r="F156" i="13"/>
  <c r="S152" i="5"/>
  <c r="M152" i="5"/>
  <c r="F154" i="13"/>
  <c r="F157" i="13"/>
  <c r="S73" i="5"/>
  <c r="M73" i="5"/>
  <c r="K73" i="18"/>
  <c r="G73" i="18"/>
  <c r="F119" i="9"/>
  <c r="I98" i="18"/>
  <c r="D100" i="18"/>
  <c r="W100" i="5"/>
  <c r="N100" i="5"/>
  <c r="D80" i="18"/>
  <c r="W80" i="5"/>
  <c r="N80" i="5"/>
  <c r="J51" i="21"/>
  <c r="H111" i="18"/>
  <c r="I14" i="18"/>
  <c r="D15" i="18"/>
  <c r="W15" i="5"/>
  <c r="N15" i="5"/>
  <c r="I121" i="18"/>
  <c r="D122" i="18"/>
  <c r="W122" i="5"/>
  <c r="N122" i="5"/>
  <c r="J167" i="8"/>
  <c r="AD114" i="5"/>
  <c r="AD31" i="5"/>
  <c r="AD12" i="5"/>
  <c r="H110" i="18"/>
  <c r="K70" i="18"/>
  <c r="G70" i="18"/>
  <c r="I67" i="18"/>
  <c r="D68" i="18"/>
  <c r="W68" i="5"/>
  <c r="N68" i="5"/>
  <c r="D136" i="18"/>
  <c r="W136" i="5"/>
  <c r="N136" i="5"/>
  <c r="H122" i="18"/>
  <c r="J121" i="18"/>
  <c r="E123" i="18"/>
  <c r="Y123" i="5"/>
  <c r="P123" i="5"/>
  <c r="AD42" i="5"/>
  <c r="H92" i="18"/>
  <c r="J360" i="8"/>
  <c r="J7" i="9"/>
  <c r="D82" i="18"/>
  <c r="W82" i="5"/>
  <c r="N82" i="5"/>
  <c r="S13" i="5"/>
  <c r="M13" i="5"/>
  <c r="V13" i="5"/>
  <c r="H173" i="18"/>
  <c r="H140" i="18"/>
  <c r="AD82" i="5"/>
  <c r="I174" i="18"/>
  <c r="D177" i="18"/>
  <c r="W177" i="5"/>
  <c r="N177" i="5"/>
  <c r="I63" i="18"/>
  <c r="D66" i="18"/>
  <c r="W66" i="5"/>
  <c r="N66" i="5"/>
  <c r="D83" i="18"/>
  <c r="W83" i="5"/>
  <c r="N83" i="5"/>
  <c r="D78" i="18"/>
  <c r="W78" i="5"/>
  <c r="N78" i="5"/>
  <c r="AD77" i="5"/>
  <c r="H89" i="18"/>
  <c r="I164" i="18"/>
  <c r="D166" i="18"/>
  <c r="W166" i="5"/>
  <c r="N166" i="5"/>
  <c r="I53" i="18"/>
  <c r="D54" i="18"/>
  <c r="W54" i="5"/>
  <c r="N54" i="5"/>
  <c r="D87" i="18"/>
  <c r="W87" i="5"/>
  <c r="N87" i="5"/>
  <c r="I126" i="18"/>
  <c r="D128" i="18"/>
  <c r="W128" i="5"/>
  <c r="N128" i="5"/>
  <c r="F121" i="9"/>
  <c r="J114" i="9"/>
  <c r="H19" i="18"/>
  <c r="H116" i="18"/>
  <c r="D88" i="18"/>
  <c r="W88" i="5"/>
  <c r="N88" i="5"/>
  <c r="F36" i="8"/>
  <c r="H154" i="18"/>
  <c r="H108" i="18"/>
  <c r="I178" i="18"/>
  <c r="D180" i="18"/>
  <c r="W180" i="5"/>
  <c r="N180" i="5"/>
  <c r="O68" i="8"/>
  <c r="J67" i="8"/>
  <c r="J424" i="8"/>
  <c r="D157" i="18"/>
  <c r="W157" i="5"/>
  <c r="N157" i="5"/>
  <c r="D81" i="18"/>
  <c r="W81" i="5"/>
  <c r="N81" i="5"/>
  <c r="D84" i="18"/>
  <c r="W84" i="5"/>
  <c r="N84" i="5"/>
  <c r="F120" i="9"/>
  <c r="F35" i="8"/>
  <c r="H156" i="18"/>
  <c r="I35" i="18"/>
  <c r="D37" i="18"/>
  <c r="W37" i="5"/>
  <c r="N37" i="5"/>
  <c r="J387" i="8"/>
  <c r="AD27" i="5"/>
  <c r="D44" i="18"/>
  <c r="W44" i="5"/>
  <c r="N44" i="5"/>
  <c r="D158" i="18"/>
  <c r="W158" i="5"/>
  <c r="N158" i="5"/>
  <c r="D85" i="18"/>
  <c r="W85" i="5"/>
  <c r="N85" i="5"/>
  <c r="F37" i="8"/>
  <c r="F39" i="8"/>
  <c r="H128" i="18"/>
  <c r="H172" i="18"/>
  <c r="H93" i="18"/>
  <c r="D33" i="18"/>
  <c r="W33" i="5"/>
  <c r="N33" i="5"/>
  <c r="D59" i="18"/>
  <c r="W59" i="5"/>
  <c r="N59" i="5"/>
  <c r="AD37" i="5"/>
  <c r="H52" i="18"/>
  <c r="H54" i="18"/>
  <c r="O398" i="8"/>
  <c r="J397" i="8"/>
  <c r="H95" i="18"/>
  <c r="O302" i="8"/>
  <c r="J301" i="8"/>
  <c r="AD171" i="5"/>
  <c r="H147" i="18"/>
  <c r="I86" i="18"/>
  <c r="D40" i="18"/>
  <c r="W40" i="5"/>
  <c r="N40" i="5"/>
  <c r="D172" i="18"/>
  <c r="W172" i="5"/>
  <c r="N172" i="5"/>
  <c r="O132" i="8"/>
  <c r="J131" i="8"/>
  <c r="AD65" i="5"/>
  <c r="AD167" i="5"/>
  <c r="H83" i="18"/>
  <c r="O346" i="9"/>
  <c r="J345" i="9"/>
  <c r="AD57" i="5"/>
  <c r="H130" i="18"/>
  <c r="AD177" i="5"/>
  <c r="AD123" i="5"/>
  <c r="I102" i="18"/>
  <c r="D108" i="18"/>
  <c r="W108" i="5"/>
  <c r="N108" i="5"/>
  <c r="AD47" i="5"/>
  <c r="AD62" i="5"/>
  <c r="D41" i="18"/>
  <c r="W41" i="5"/>
  <c r="N41" i="5"/>
  <c r="D173" i="18"/>
  <c r="W173" i="5"/>
  <c r="N173" i="5"/>
  <c r="H145" i="18"/>
  <c r="J143" i="18"/>
  <c r="E144" i="18"/>
  <c r="Y144" i="5"/>
  <c r="P144" i="5"/>
  <c r="H46" i="18"/>
  <c r="H105" i="18"/>
  <c r="H65" i="18"/>
  <c r="H69" i="18"/>
  <c r="AD118" i="5"/>
  <c r="H68" i="18"/>
  <c r="O8" i="8"/>
  <c r="J7" i="8"/>
  <c r="J164" i="18"/>
  <c r="E168" i="18"/>
  <c r="Y165" i="5"/>
  <c r="P165" i="5"/>
  <c r="H109" i="18"/>
  <c r="J8" i="18"/>
  <c r="E109" i="18"/>
  <c r="H78" i="18"/>
  <c r="J76" i="18"/>
  <c r="E77" i="18"/>
  <c r="Y77" i="5"/>
  <c r="P77" i="5"/>
  <c r="H36" i="18"/>
  <c r="H80" i="18"/>
  <c r="H151" i="18"/>
  <c r="H124" i="18"/>
  <c r="J369" i="8"/>
  <c r="AD120" i="5"/>
  <c r="AD60" i="5"/>
  <c r="AD74" i="5"/>
  <c r="H15" i="18"/>
  <c r="AD50" i="5"/>
  <c r="AD52" i="5"/>
  <c r="AD129" i="5"/>
  <c r="H99" i="18"/>
  <c r="J98" i="18"/>
  <c r="E100" i="18"/>
  <c r="Y100" i="5"/>
  <c r="P100" i="5"/>
  <c r="AD64" i="5"/>
  <c r="AD142" i="5"/>
  <c r="O357" i="9"/>
  <c r="J356" i="9"/>
  <c r="AD100" i="5"/>
  <c r="H159" i="18"/>
  <c r="AD87" i="5"/>
  <c r="AD30" i="5"/>
  <c r="AD49" i="5"/>
  <c r="AD113" i="5"/>
  <c r="AD10" i="5"/>
  <c r="J58" i="18"/>
  <c r="E59" i="18"/>
  <c r="Y59" i="5"/>
  <c r="P59" i="5"/>
  <c r="I143" i="18"/>
  <c r="D144" i="18"/>
  <c r="W144" i="5"/>
  <c r="N144" i="5"/>
  <c r="J124" i="18"/>
  <c r="E132" i="18"/>
  <c r="Y132" i="5"/>
  <c r="P132" i="5"/>
  <c r="AD75" i="5"/>
  <c r="J236" i="8"/>
  <c r="AD101" i="5"/>
  <c r="AD97" i="5"/>
  <c r="AD9" i="5"/>
  <c r="H84" i="18"/>
  <c r="H160" i="18"/>
  <c r="O220" i="8"/>
  <c r="J219" i="8"/>
  <c r="J137" i="18"/>
  <c r="E138" i="18"/>
  <c r="Y138" i="5"/>
  <c r="P138" i="5"/>
  <c r="K37" i="8"/>
  <c r="H149" i="18"/>
  <c r="AD126" i="5"/>
  <c r="H27" i="18"/>
  <c r="H162" i="18"/>
  <c r="H50" i="18"/>
  <c r="O337" i="9"/>
  <c r="J336" i="9"/>
  <c r="H64" i="18"/>
  <c r="H57" i="18"/>
  <c r="AD150" i="5"/>
  <c r="AD61" i="5"/>
  <c r="O54" i="9"/>
  <c r="K55" i="9"/>
  <c r="K60" i="9"/>
  <c r="H49" i="18"/>
  <c r="AD94" i="5"/>
  <c r="H88" i="18"/>
  <c r="AD24" i="5"/>
  <c r="J342" i="8"/>
  <c r="H28" i="18"/>
  <c r="H158" i="18"/>
  <c r="D139" i="18"/>
  <c r="W139" i="5"/>
  <c r="N139" i="5"/>
  <c r="H81" i="18"/>
  <c r="AD144" i="5"/>
  <c r="H180" i="18"/>
  <c r="AD125" i="5"/>
  <c r="AD104" i="5"/>
  <c r="J274" i="8"/>
  <c r="J273" i="8"/>
  <c r="H163" i="18"/>
  <c r="O283" i="8"/>
  <c r="J282" i="8"/>
  <c r="AD103" i="5"/>
  <c r="H38" i="18"/>
  <c r="AD29" i="5"/>
  <c r="O116" i="8"/>
  <c r="J115" i="8"/>
  <c r="AD85" i="5"/>
  <c r="AD132" i="5"/>
  <c r="H43" i="18"/>
  <c r="AD36" i="5"/>
  <c r="H26" i="18"/>
  <c r="H176" i="18"/>
  <c r="H41" i="18"/>
  <c r="AD179" i="5"/>
  <c r="AD46" i="5"/>
  <c r="AD34" i="5"/>
  <c r="H179" i="18"/>
  <c r="AD59" i="5"/>
  <c r="AD33" i="5"/>
  <c r="AD152" i="5"/>
  <c r="AD148" i="5"/>
  <c r="H175" i="18"/>
  <c r="O379" i="8"/>
  <c r="J378" i="8"/>
  <c r="AD51" i="5"/>
  <c r="H40" i="18"/>
  <c r="O36" i="9"/>
  <c r="J35" i="9"/>
  <c r="AD107" i="5"/>
  <c r="AD18" i="5"/>
  <c r="H157" i="18"/>
  <c r="H106" i="18"/>
  <c r="D114" i="18"/>
  <c r="W114" i="5"/>
  <c r="N114" i="5"/>
  <c r="O193" i="8"/>
  <c r="J192" i="8"/>
  <c r="H25" i="18"/>
  <c r="H66" i="18"/>
  <c r="O416" i="8"/>
  <c r="J415" i="8"/>
  <c r="O333" i="8"/>
  <c r="H16" i="18"/>
  <c r="AD165" i="5"/>
  <c r="O84" i="8"/>
  <c r="J83" i="8"/>
  <c r="AD55" i="5"/>
  <c r="K36" i="8"/>
  <c r="K38" i="8"/>
  <c r="H22" i="18"/>
  <c r="AD17" i="5"/>
  <c r="H91" i="18"/>
  <c r="H44" i="18"/>
  <c r="J43" i="18"/>
  <c r="E45" i="18"/>
  <c r="Y45" i="5"/>
  <c r="P45" i="5"/>
  <c r="J32" i="8"/>
  <c r="K35" i="8"/>
  <c r="T13" i="5"/>
  <c r="O13" i="5"/>
  <c r="X13" i="5"/>
  <c r="O143" i="8"/>
  <c r="J142" i="8"/>
  <c r="O407" i="8"/>
  <c r="J406" i="8"/>
  <c r="H131" i="18"/>
  <c r="H56" i="18"/>
  <c r="H23" i="18"/>
  <c r="O325" i="8"/>
  <c r="J324" i="8"/>
  <c r="AD73" i="5"/>
  <c r="H17" i="18"/>
  <c r="AD117" i="5"/>
  <c r="AD13" i="5"/>
  <c r="H24" i="18"/>
  <c r="O293" i="8"/>
  <c r="J292" i="8"/>
  <c r="H32" i="18"/>
  <c r="J31" i="18"/>
  <c r="E33" i="18"/>
  <c r="M91" i="5"/>
  <c r="V91" i="5"/>
  <c r="L96" i="6"/>
  <c r="E17" i="16"/>
  <c r="O94" i="6"/>
  <c r="D15" i="16"/>
  <c r="O98" i="6"/>
  <c r="D19" i="16"/>
  <c r="O96" i="6"/>
  <c r="D17" i="16"/>
  <c r="O95" i="6"/>
  <c r="D16" i="16"/>
  <c r="L94" i="6"/>
  <c r="E15" i="16"/>
  <c r="L97" i="6"/>
  <c r="E18" i="16"/>
  <c r="L95" i="6"/>
  <c r="E16" i="16"/>
  <c r="O97" i="6"/>
  <c r="D18" i="16"/>
  <c r="I16" i="14"/>
  <c r="L98" i="6"/>
  <c r="E19" i="16"/>
  <c r="K76" i="11"/>
  <c r="E136" i="18"/>
  <c r="Y136" i="5"/>
  <c r="P136" i="5"/>
  <c r="F118" i="9"/>
  <c r="J93" i="20"/>
  <c r="D24" i="18"/>
  <c r="W24" i="5"/>
  <c r="N24" i="5"/>
  <c r="D22" i="18"/>
  <c r="W22" i="5"/>
  <c r="N22" i="5"/>
  <c r="D26" i="18"/>
  <c r="W26" i="5"/>
  <c r="N26" i="5"/>
  <c r="D28" i="18"/>
  <c r="W28" i="5"/>
  <c r="N28" i="5"/>
  <c r="D27" i="18"/>
  <c r="W27" i="5"/>
  <c r="N27" i="5"/>
  <c r="D29" i="18"/>
  <c r="W29" i="5"/>
  <c r="N29" i="5"/>
  <c r="D25" i="18"/>
  <c r="W25" i="5"/>
  <c r="N25" i="5"/>
  <c r="E113" i="18"/>
  <c r="Y113" i="5"/>
  <c r="P113" i="5"/>
  <c r="V72" i="5"/>
  <c r="K72" i="18"/>
  <c r="G72" i="18"/>
  <c r="E166" i="18"/>
  <c r="D50" i="18"/>
  <c r="W50" i="5"/>
  <c r="N50" i="5"/>
  <c r="J37" i="20"/>
  <c r="G65" i="11"/>
  <c r="S125" i="5"/>
  <c r="M125" i="5"/>
  <c r="D51" i="18"/>
  <c r="W51" i="5"/>
  <c r="N51" i="5"/>
  <c r="P37" i="20"/>
  <c r="F92" i="11"/>
  <c r="F65" i="11"/>
  <c r="F88" i="11"/>
  <c r="D167" i="18"/>
  <c r="W167" i="5"/>
  <c r="N167" i="5"/>
  <c r="D52" i="18"/>
  <c r="W52" i="5"/>
  <c r="N52" i="5"/>
  <c r="I91" i="11"/>
  <c r="M37" i="20"/>
  <c r="J91" i="11"/>
  <c r="J116" i="18"/>
  <c r="E140" i="18"/>
  <c r="D99" i="18"/>
  <c r="W99" i="5"/>
  <c r="V76" i="5"/>
  <c r="V152" i="5"/>
  <c r="K152" i="18"/>
  <c r="G152" i="18"/>
  <c r="I146" i="18"/>
  <c r="D148" i="18"/>
  <c r="W148" i="5"/>
  <c r="N148" i="5"/>
  <c r="D123" i="18"/>
  <c r="W123" i="5"/>
  <c r="N123" i="5"/>
  <c r="D16" i="18"/>
  <c r="W16" i="5"/>
  <c r="N16" i="5"/>
  <c r="D168" i="18"/>
  <c r="W168" i="5"/>
  <c r="N168" i="5"/>
  <c r="D18" i="18"/>
  <c r="W18" i="5"/>
  <c r="N18" i="5"/>
  <c r="D17" i="18"/>
  <c r="W17" i="5"/>
  <c r="N17" i="5"/>
  <c r="AD20" i="5"/>
  <c r="V134" i="5"/>
  <c r="M134" i="5"/>
  <c r="K134" i="18"/>
  <c r="G134" i="18"/>
  <c r="D165" i="18"/>
  <c r="W165" i="5"/>
  <c r="N165" i="5"/>
  <c r="D106" i="18"/>
  <c r="W106" i="5"/>
  <c r="N106" i="5"/>
  <c r="D65" i="18"/>
  <c r="W65" i="5"/>
  <c r="N65" i="5"/>
  <c r="E61" i="18"/>
  <c r="D175" i="18"/>
  <c r="W175" i="5"/>
  <c r="N175" i="5"/>
  <c r="D103" i="18"/>
  <c r="W103" i="5"/>
  <c r="N103" i="5"/>
  <c r="D57" i="18"/>
  <c r="W57" i="5"/>
  <c r="N57" i="5"/>
  <c r="D129" i="18"/>
  <c r="W129" i="5"/>
  <c r="N129" i="5"/>
  <c r="D64" i="18"/>
  <c r="W64" i="5"/>
  <c r="N64" i="5"/>
  <c r="D131" i="18"/>
  <c r="W131" i="5"/>
  <c r="N131" i="5"/>
  <c r="J170" i="18"/>
  <c r="E172" i="18"/>
  <c r="Y172" i="5"/>
  <c r="P172" i="5"/>
  <c r="E9" i="18"/>
  <c r="D107" i="18"/>
  <c r="W107" i="5"/>
  <c r="N107" i="5"/>
  <c r="V86" i="5"/>
  <c r="M86" i="5"/>
  <c r="K86" i="18"/>
  <c r="G86" i="18"/>
  <c r="E122" i="18"/>
  <c r="Y122" i="5"/>
  <c r="X121" i="5"/>
  <c r="D176" i="18"/>
  <c r="W176" i="5"/>
  <c r="N176" i="5"/>
  <c r="J102" i="18"/>
  <c r="E103" i="18"/>
  <c r="Y103" i="5"/>
  <c r="P103" i="5"/>
  <c r="D145" i="18"/>
  <c r="W145" i="5"/>
  <c r="N145" i="5"/>
  <c r="D69" i="18"/>
  <c r="W69" i="5"/>
  <c r="N69" i="5"/>
  <c r="D55" i="18"/>
  <c r="W55" i="5"/>
  <c r="N55" i="5"/>
  <c r="D36" i="18"/>
  <c r="W36" i="5"/>
  <c r="N36" i="5"/>
  <c r="D38" i="18"/>
  <c r="W38" i="5"/>
  <c r="N38" i="5"/>
  <c r="V58" i="5"/>
  <c r="M58" i="5"/>
  <c r="K58" i="18"/>
  <c r="G58" i="18"/>
  <c r="J86" i="18"/>
  <c r="D56" i="18"/>
  <c r="W56" i="5"/>
  <c r="N56" i="5"/>
  <c r="D130" i="18"/>
  <c r="W130" i="5"/>
  <c r="N130" i="5"/>
  <c r="D127" i="18"/>
  <c r="W127" i="5"/>
  <c r="N127" i="5"/>
  <c r="V155" i="5"/>
  <c r="M155" i="5"/>
  <c r="K155" i="18"/>
  <c r="G155" i="18"/>
  <c r="I153" i="18"/>
  <c r="D104" i="18"/>
  <c r="W104" i="5"/>
  <c r="N104" i="5"/>
  <c r="D105" i="18"/>
  <c r="W105" i="5"/>
  <c r="N105" i="5"/>
  <c r="D179" i="18"/>
  <c r="W179" i="5"/>
  <c r="V178" i="5"/>
  <c r="J146" i="18"/>
  <c r="E148" i="18"/>
  <c r="Y148" i="5"/>
  <c r="P148" i="5"/>
  <c r="J35" i="18"/>
  <c r="E38" i="18"/>
  <c r="Y38" i="5"/>
  <c r="P38" i="5"/>
  <c r="V137" i="5"/>
  <c r="M137" i="5"/>
  <c r="K137" i="18"/>
  <c r="G137" i="18"/>
  <c r="E165" i="18"/>
  <c r="J53" i="18"/>
  <c r="E55" i="18"/>
  <c r="Y55" i="5"/>
  <c r="P55" i="5"/>
  <c r="J90" i="18"/>
  <c r="E95" i="18"/>
  <c r="Y95" i="5"/>
  <c r="P95" i="5"/>
  <c r="J39" i="18"/>
  <c r="E42" i="18"/>
  <c r="Y42" i="5"/>
  <c r="J178" i="18"/>
  <c r="E180" i="18"/>
  <c r="Y167" i="5"/>
  <c r="P167" i="5"/>
  <c r="E145" i="18"/>
  <c r="Y145" i="5"/>
  <c r="P145" i="5"/>
  <c r="V170" i="5"/>
  <c r="M170" i="5"/>
  <c r="K170" i="18"/>
  <c r="G170" i="18"/>
  <c r="V79" i="5"/>
  <c r="M79" i="5"/>
  <c r="K79" i="18"/>
  <c r="G79" i="18"/>
  <c r="E167" i="18"/>
  <c r="K56" i="9"/>
  <c r="J79" i="18"/>
  <c r="E82" i="18"/>
  <c r="Y82" i="5"/>
  <c r="P82" i="5"/>
  <c r="J48" i="18"/>
  <c r="E50" i="18"/>
  <c r="Y50" i="5"/>
  <c r="P50" i="5"/>
  <c r="E32" i="18"/>
  <c r="Y32" i="5"/>
  <c r="P32" i="5"/>
  <c r="E44" i="18"/>
  <c r="Y44" i="5"/>
  <c r="P44" i="5"/>
  <c r="D70" i="18"/>
  <c r="W70" i="5"/>
  <c r="N70" i="5"/>
  <c r="V39" i="5"/>
  <c r="M39" i="5"/>
  <c r="K39" i="18"/>
  <c r="G39" i="18"/>
  <c r="J126" i="18"/>
  <c r="E129" i="18"/>
  <c r="Y129" i="5"/>
  <c r="P129" i="5"/>
  <c r="K59" i="9"/>
  <c r="E99" i="18"/>
  <c r="Y99" i="5"/>
  <c r="P99" i="5"/>
  <c r="K57" i="9"/>
  <c r="E125" i="18"/>
  <c r="E78" i="18"/>
  <c r="Y78" i="5"/>
  <c r="P78" i="5"/>
  <c r="K58" i="9"/>
  <c r="E126" i="18"/>
  <c r="E139" i="18"/>
  <c r="Y139" i="5"/>
  <c r="P139" i="5"/>
  <c r="J155" i="18"/>
  <c r="E157" i="18"/>
  <c r="Y157" i="5"/>
  <c r="P157" i="5"/>
  <c r="E60" i="18"/>
  <c r="Y60" i="5"/>
  <c r="P60" i="5"/>
  <c r="J53" i="9"/>
  <c r="T70" i="5"/>
  <c r="O70" i="5"/>
  <c r="X70" i="5"/>
  <c r="J63" i="18"/>
  <c r="E66" i="18"/>
  <c r="Y66" i="5"/>
  <c r="P66" i="5"/>
  <c r="J174" i="18"/>
  <c r="K91" i="18"/>
  <c r="G91" i="18"/>
  <c r="I90" i="18"/>
  <c r="D91" i="18"/>
  <c r="W91" i="5"/>
  <c r="N91" i="5"/>
  <c r="V112" i="5"/>
  <c r="M112" i="5"/>
  <c r="K112" i="18"/>
  <c r="G112" i="18"/>
  <c r="I109" i="18"/>
  <c r="J21" i="18"/>
  <c r="E23" i="18"/>
  <c r="Y23" i="5"/>
  <c r="P23" i="5"/>
  <c r="J14" i="18"/>
  <c r="E18" i="18"/>
  <c r="Y18" i="5"/>
  <c r="P18" i="5"/>
  <c r="L13" i="18"/>
  <c r="H13" i="18"/>
  <c r="J11" i="18"/>
  <c r="E12" i="18"/>
  <c r="Y12" i="5"/>
  <c r="P12" i="5"/>
  <c r="V73" i="5"/>
  <c r="I120" i="6"/>
  <c r="I126" i="6"/>
  <c r="E85" i="17"/>
  <c r="E88" i="17"/>
  <c r="H120" i="6"/>
  <c r="K13" i="18"/>
  <c r="G13" i="18"/>
  <c r="I11" i="18"/>
  <c r="D13" i="18"/>
  <c r="W13" i="5"/>
  <c r="N13" i="5"/>
  <c r="F126" i="6"/>
  <c r="I71" i="18"/>
  <c r="D72" i="18"/>
  <c r="W72" i="5"/>
  <c r="N72" i="5"/>
  <c r="V98" i="5"/>
  <c r="M98" i="5"/>
  <c r="K98" i="18"/>
  <c r="G98" i="18"/>
  <c r="N99" i="5"/>
  <c r="M76" i="5"/>
  <c r="K76" i="18"/>
  <c r="G76" i="18"/>
  <c r="Y33" i="5"/>
  <c r="P33" i="5"/>
  <c r="V31" i="5"/>
  <c r="O74" i="11"/>
  <c r="X134" i="5"/>
  <c r="E159" i="18"/>
  <c r="K78" i="11"/>
  <c r="K75" i="11"/>
  <c r="K77" i="11"/>
  <c r="K79" i="11"/>
  <c r="F19" i="11"/>
  <c r="O47" i="11"/>
  <c r="F47" i="11"/>
  <c r="V21" i="5"/>
  <c r="M21" i="5"/>
  <c r="X112" i="5"/>
  <c r="S132" i="5"/>
  <c r="M132" i="5"/>
  <c r="V132" i="5"/>
  <c r="K132" i="18"/>
  <c r="G132" i="18"/>
  <c r="G71" i="11"/>
  <c r="G69" i="11"/>
  <c r="G68" i="11"/>
  <c r="G70" i="11"/>
  <c r="G67" i="11"/>
  <c r="V48" i="5"/>
  <c r="M48" i="5"/>
  <c r="K48" i="18"/>
  <c r="G48" i="18"/>
  <c r="E117" i="18"/>
  <c r="K125" i="18"/>
  <c r="G125" i="18"/>
  <c r="V125" i="5"/>
  <c r="E173" i="18"/>
  <c r="Y173" i="5"/>
  <c r="P173" i="5"/>
  <c r="M123" i="20"/>
  <c r="V164" i="5"/>
  <c r="M164" i="5"/>
  <c r="K164" i="18"/>
  <c r="G164" i="18"/>
  <c r="I161" i="18"/>
  <c r="E40" i="18"/>
  <c r="Y40" i="5"/>
  <c r="P40" i="5"/>
  <c r="V143" i="5"/>
  <c r="M143" i="5"/>
  <c r="K143" i="18"/>
  <c r="G143" i="18"/>
  <c r="I141" i="18"/>
  <c r="D143" i="18"/>
  <c r="W143" i="5"/>
  <c r="N143" i="5"/>
  <c r="D147" i="18"/>
  <c r="W147" i="5"/>
  <c r="N147" i="5"/>
  <c r="D150" i="18"/>
  <c r="W150" i="5"/>
  <c r="N150" i="5"/>
  <c r="D151" i="18"/>
  <c r="W151" i="5"/>
  <c r="N151" i="5"/>
  <c r="D149" i="18"/>
  <c r="W149" i="5"/>
  <c r="N149" i="5"/>
  <c r="D152" i="18"/>
  <c r="W152" i="5"/>
  <c r="N152" i="5"/>
  <c r="V174" i="5"/>
  <c r="M174" i="5"/>
  <c r="K174" i="18"/>
  <c r="G174" i="18"/>
  <c r="E171" i="18"/>
  <c r="Y171" i="5"/>
  <c r="P171" i="5"/>
  <c r="V14" i="5"/>
  <c r="M14" i="5"/>
  <c r="K14" i="18"/>
  <c r="G14" i="18"/>
  <c r="E105" i="18"/>
  <c r="Y105" i="5"/>
  <c r="P105" i="5"/>
  <c r="X76" i="5"/>
  <c r="O76" i="5"/>
  <c r="L72" i="18"/>
  <c r="H72" i="18"/>
  <c r="J71" i="18"/>
  <c r="V63" i="5"/>
  <c r="M63" i="5"/>
  <c r="K63" i="18"/>
  <c r="G63" i="18"/>
  <c r="E107" i="18"/>
  <c r="Y107" i="5"/>
  <c r="P107" i="5"/>
  <c r="E24" i="18"/>
  <c r="Y24" i="5"/>
  <c r="P24" i="5"/>
  <c r="E29" i="18"/>
  <c r="Y29" i="5"/>
  <c r="P29" i="5"/>
  <c r="E149" i="18"/>
  <c r="Y149" i="5"/>
  <c r="P149" i="5"/>
  <c r="E87" i="18"/>
  <c r="Y87" i="5"/>
  <c r="P87" i="5"/>
  <c r="E80" i="18"/>
  <c r="Y80" i="5"/>
  <c r="P80" i="5"/>
  <c r="E15" i="18"/>
  <c r="Y15" i="5"/>
  <c r="P15" i="5"/>
  <c r="E179" i="18"/>
  <c r="Y166" i="5"/>
  <c r="P166" i="5"/>
  <c r="P122" i="5"/>
  <c r="X143" i="5"/>
  <c r="O143" i="5"/>
  <c r="L143" i="18"/>
  <c r="H143" i="18"/>
  <c r="J141" i="18"/>
  <c r="V35" i="5"/>
  <c r="M35" i="5"/>
  <c r="K35" i="18"/>
  <c r="G35" i="18"/>
  <c r="I34" i="18"/>
  <c r="E51" i="18"/>
  <c r="Y51" i="5"/>
  <c r="P51" i="5"/>
  <c r="E152" i="18"/>
  <c r="Y152" i="5"/>
  <c r="P152" i="5"/>
  <c r="E36" i="18"/>
  <c r="Y36" i="5"/>
  <c r="P36" i="5"/>
  <c r="E106" i="18"/>
  <c r="Y106" i="5"/>
  <c r="P106" i="5"/>
  <c r="E92" i="18"/>
  <c r="Y92" i="5"/>
  <c r="P92" i="5"/>
  <c r="E37" i="18"/>
  <c r="Y37" i="5"/>
  <c r="P37" i="5"/>
  <c r="E108" i="18"/>
  <c r="Y108" i="5"/>
  <c r="P108" i="5"/>
  <c r="E104" i="18"/>
  <c r="Y104" i="5"/>
  <c r="P104" i="5"/>
  <c r="E151" i="18"/>
  <c r="Y151" i="5"/>
  <c r="P151" i="5"/>
  <c r="E147" i="18"/>
  <c r="Y147" i="5"/>
  <c r="P147" i="5"/>
  <c r="V53" i="5"/>
  <c r="M53" i="5"/>
  <c r="K53" i="18"/>
  <c r="G53" i="18"/>
  <c r="E52" i="18"/>
  <c r="Y52" i="5"/>
  <c r="P52" i="5"/>
  <c r="E41" i="18"/>
  <c r="Y41" i="5"/>
  <c r="P41" i="5"/>
  <c r="E150" i="18"/>
  <c r="Y150" i="5"/>
  <c r="P150" i="5"/>
  <c r="Y180" i="5"/>
  <c r="P180" i="5"/>
  <c r="V102" i="5"/>
  <c r="M102" i="5"/>
  <c r="K102" i="18"/>
  <c r="G102" i="18"/>
  <c r="I97" i="18"/>
  <c r="D102" i="18"/>
  <c r="W102" i="5"/>
  <c r="N102" i="5"/>
  <c r="N179" i="5"/>
  <c r="E49" i="18"/>
  <c r="Y49" i="5"/>
  <c r="P49" i="5"/>
  <c r="X58" i="5"/>
  <c r="O58" i="5"/>
  <c r="L58" i="18"/>
  <c r="H58" i="18"/>
  <c r="E85" i="18"/>
  <c r="Y85" i="5"/>
  <c r="P85" i="5"/>
  <c r="E81" i="18"/>
  <c r="Y81" i="5"/>
  <c r="P81" i="5"/>
  <c r="X98" i="5"/>
  <c r="O98" i="5"/>
  <c r="L98" i="18"/>
  <c r="H98" i="18"/>
  <c r="E83" i="18"/>
  <c r="Y83" i="5"/>
  <c r="P83" i="5"/>
  <c r="E57" i="18"/>
  <c r="Y57" i="5"/>
  <c r="P57" i="5"/>
  <c r="E84" i="18"/>
  <c r="Y84" i="5"/>
  <c r="P84" i="5"/>
  <c r="E91" i="18"/>
  <c r="Y91" i="5"/>
  <c r="P91" i="5"/>
  <c r="E54" i="18"/>
  <c r="Y54" i="5"/>
  <c r="P54" i="5"/>
  <c r="V67" i="5"/>
  <c r="M67" i="5"/>
  <c r="K67" i="18"/>
  <c r="G67" i="18"/>
  <c r="E88" i="18"/>
  <c r="Y88" i="5"/>
  <c r="P88" i="5"/>
  <c r="E89" i="18"/>
  <c r="Y89" i="5"/>
  <c r="P89" i="5"/>
  <c r="E56" i="18"/>
  <c r="Y56" i="5"/>
  <c r="P56" i="5"/>
  <c r="E94" i="18"/>
  <c r="Y94" i="5"/>
  <c r="P94" i="5"/>
  <c r="E93" i="18"/>
  <c r="Y93" i="5"/>
  <c r="P93" i="5"/>
  <c r="E131" i="18"/>
  <c r="Y131" i="5"/>
  <c r="P131" i="5"/>
  <c r="E13" i="18"/>
  <c r="Y13" i="5"/>
  <c r="P13" i="5"/>
  <c r="D74" i="18"/>
  <c r="W74" i="5"/>
  <c r="N74" i="5"/>
  <c r="E28" i="18"/>
  <c r="Y28" i="5"/>
  <c r="P28" i="5"/>
  <c r="E22" i="18"/>
  <c r="Y22" i="5"/>
  <c r="P22" i="5"/>
  <c r="E127" i="18"/>
  <c r="Y127" i="5"/>
  <c r="P127" i="5"/>
  <c r="E128" i="18"/>
  <c r="Y128" i="5"/>
  <c r="P128" i="5"/>
  <c r="L126" i="6"/>
  <c r="L123" i="6"/>
  <c r="L135" i="6"/>
  <c r="E64" i="18"/>
  <c r="Y64" i="5"/>
  <c r="P64" i="5"/>
  <c r="E130" i="18"/>
  <c r="Y130" i="5"/>
  <c r="P130" i="5"/>
  <c r="E17" i="18"/>
  <c r="Y17" i="5"/>
  <c r="P17" i="5"/>
  <c r="E158" i="18"/>
  <c r="Y158" i="5"/>
  <c r="P158" i="5"/>
  <c r="E156" i="18"/>
  <c r="Y156" i="5"/>
  <c r="P156" i="5"/>
  <c r="D94" i="18"/>
  <c r="W94" i="5"/>
  <c r="N94" i="5"/>
  <c r="D92" i="18"/>
  <c r="W92" i="5"/>
  <c r="N92" i="5"/>
  <c r="D73" i="18"/>
  <c r="W73" i="5"/>
  <c r="N73" i="5"/>
  <c r="E26" i="18"/>
  <c r="Y26" i="5"/>
  <c r="P26" i="5"/>
  <c r="E25" i="18"/>
  <c r="Y25" i="5"/>
  <c r="P25" i="5"/>
  <c r="E65" i="18"/>
  <c r="Y65" i="5"/>
  <c r="P65" i="5"/>
  <c r="D95" i="18"/>
  <c r="W95" i="5"/>
  <c r="N95" i="5"/>
  <c r="E27" i="18"/>
  <c r="Y27" i="5"/>
  <c r="P27" i="5"/>
  <c r="X137" i="5"/>
  <c r="O137" i="5"/>
  <c r="L137" i="18"/>
  <c r="H137" i="18"/>
  <c r="E177" i="18"/>
  <c r="Y177" i="5"/>
  <c r="P177" i="5"/>
  <c r="E176" i="18"/>
  <c r="E175" i="18"/>
  <c r="Y175" i="5"/>
  <c r="D12" i="18"/>
  <c r="W12" i="5"/>
  <c r="N12" i="5"/>
  <c r="E16" i="18"/>
  <c r="Y16" i="5"/>
  <c r="P16" i="5"/>
  <c r="D93" i="18"/>
  <c r="W93" i="5"/>
  <c r="N93" i="5"/>
  <c r="L70" i="18"/>
  <c r="H70" i="18"/>
  <c r="J67" i="18"/>
  <c r="E70" i="18"/>
  <c r="Y70" i="5"/>
  <c r="P70" i="5"/>
  <c r="L120" i="6"/>
  <c r="L116" i="6"/>
  <c r="E46" i="16"/>
  <c r="O120" i="6"/>
  <c r="J62" i="11"/>
  <c r="D154" i="18"/>
  <c r="W154" i="5"/>
  <c r="N154" i="5"/>
  <c r="D155" i="18"/>
  <c r="W155" i="5"/>
  <c r="N155" i="5"/>
  <c r="D110" i="18"/>
  <c r="W110" i="5"/>
  <c r="N110" i="5"/>
  <c r="AQ110" i="5"/>
  <c r="D112" i="18"/>
  <c r="W112" i="5"/>
  <c r="D111" i="18"/>
  <c r="W111" i="5"/>
  <c r="I133" i="18"/>
  <c r="D137" i="18"/>
  <c r="W137" i="5"/>
  <c r="N137" i="5"/>
  <c r="M178" i="5"/>
  <c r="K178" i="18"/>
  <c r="G178" i="18"/>
  <c r="Z112" i="5"/>
  <c r="O112" i="5"/>
  <c r="L112" i="18"/>
  <c r="H112" i="18"/>
  <c r="J109" i="18"/>
  <c r="E110" i="18"/>
  <c r="Y110" i="5"/>
  <c r="P110" i="5"/>
  <c r="O134" i="5"/>
  <c r="L134" i="18"/>
  <c r="H134" i="18"/>
  <c r="M31" i="5"/>
  <c r="K31" i="18"/>
  <c r="G31" i="18"/>
  <c r="O121" i="5"/>
  <c r="L121" i="18"/>
  <c r="H121" i="18"/>
  <c r="J119" i="18"/>
  <c r="X31" i="5"/>
  <c r="K21" i="18"/>
  <c r="G21" i="18"/>
  <c r="F22" i="11"/>
  <c r="F23" i="11"/>
  <c r="F20" i="11"/>
  <c r="S118" i="5"/>
  <c r="M118" i="5"/>
  <c r="F21" i="11"/>
  <c r="F78" i="11"/>
  <c r="F79" i="11"/>
  <c r="F77" i="11"/>
  <c r="F76" i="11"/>
  <c r="F75" i="11"/>
  <c r="S126" i="5"/>
  <c r="M126" i="5"/>
  <c r="F50" i="11"/>
  <c r="J45" i="11"/>
  <c r="F48" i="11"/>
  <c r="S121" i="5"/>
  <c r="M121" i="5"/>
  <c r="F51" i="11"/>
  <c r="F49" i="11"/>
  <c r="F52" i="11"/>
  <c r="L76" i="18"/>
  <c r="H76" i="18"/>
  <c r="D142" i="18"/>
  <c r="W142" i="5"/>
  <c r="N142" i="5"/>
  <c r="X170" i="5"/>
  <c r="O170" i="5"/>
  <c r="L170" i="18"/>
  <c r="H170" i="18"/>
  <c r="V146" i="5"/>
  <c r="M146" i="5"/>
  <c r="K146" i="18"/>
  <c r="G146" i="18"/>
  <c r="Y179" i="5"/>
  <c r="P179" i="5"/>
  <c r="X164" i="5"/>
  <c r="O164" i="5"/>
  <c r="L164" i="18"/>
  <c r="H164" i="18"/>
  <c r="J161" i="18"/>
  <c r="X102" i="5"/>
  <c r="O102" i="5"/>
  <c r="L102" i="18"/>
  <c r="H102" i="18"/>
  <c r="J97" i="18"/>
  <c r="E102" i="18"/>
  <c r="Y102" i="5"/>
  <c r="P102" i="5"/>
  <c r="V71" i="5"/>
  <c r="M71" i="5"/>
  <c r="K71" i="18"/>
  <c r="G71" i="18"/>
  <c r="I62" i="18"/>
  <c r="X11" i="5"/>
  <c r="O11" i="5"/>
  <c r="L11" i="18"/>
  <c r="H11" i="18"/>
  <c r="X53" i="5"/>
  <c r="O53" i="5"/>
  <c r="L53" i="18"/>
  <c r="H53" i="18"/>
  <c r="V11" i="5"/>
  <c r="M11" i="5"/>
  <c r="K11" i="18"/>
  <c r="G11" i="18"/>
  <c r="I10" i="18"/>
  <c r="D19" i="18"/>
  <c r="W19" i="5"/>
  <c r="N19" i="5"/>
  <c r="X35" i="5"/>
  <c r="O35" i="5"/>
  <c r="L35" i="18"/>
  <c r="H35" i="18"/>
  <c r="X146" i="5"/>
  <c r="X48" i="5"/>
  <c r="O48" i="5"/>
  <c r="L48" i="18"/>
  <c r="H48" i="18"/>
  <c r="X39" i="5"/>
  <c r="O39" i="5"/>
  <c r="L39" i="18"/>
  <c r="H39" i="18"/>
  <c r="X86" i="5"/>
  <c r="O86" i="5"/>
  <c r="X21" i="5"/>
  <c r="O21" i="5"/>
  <c r="L21" i="18"/>
  <c r="H21" i="18"/>
  <c r="X79" i="5"/>
  <c r="O79" i="5"/>
  <c r="L79" i="18"/>
  <c r="H79" i="18"/>
  <c r="X90" i="5"/>
  <c r="O90" i="5"/>
  <c r="L86" i="18"/>
  <c r="H86" i="18"/>
  <c r="X63" i="5"/>
  <c r="O63" i="5"/>
  <c r="L63" i="18"/>
  <c r="H63" i="18"/>
  <c r="X155" i="5"/>
  <c r="O155" i="5"/>
  <c r="L155" i="18"/>
  <c r="H155" i="18"/>
  <c r="J153" i="18"/>
  <c r="E155" i="18"/>
  <c r="Y155" i="5"/>
  <c r="P155" i="5"/>
  <c r="V90" i="5"/>
  <c r="M90" i="5"/>
  <c r="K90" i="18"/>
  <c r="G90" i="18"/>
  <c r="I75" i="18"/>
  <c r="P175" i="5"/>
  <c r="X174" i="5"/>
  <c r="O174" i="5"/>
  <c r="L174" i="18"/>
  <c r="H174" i="18"/>
  <c r="X14" i="5"/>
  <c r="O14" i="5"/>
  <c r="L14" i="18"/>
  <c r="H14" i="18"/>
  <c r="E68" i="18"/>
  <c r="Y68" i="5"/>
  <c r="P68" i="5"/>
  <c r="E69" i="18"/>
  <c r="Y69" i="5"/>
  <c r="P69" i="5"/>
  <c r="V141" i="5"/>
  <c r="M141" i="5"/>
  <c r="K141" i="18"/>
  <c r="G141" i="18"/>
  <c r="F69" i="11"/>
  <c r="D162" i="18"/>
  <c r="W162" i="5"/>
  <c r="N162" i="5"/>
  <c r="D163" i="18"/>
  <c r="W163" i="5"/>
  <c r="N163" i="5"/>
  <c r="D134" i="18"/>
  <c r="W134" i="5"/>
  <c r="N134" i="5"/>
  <c r="F70" i="11"/>
  <c r="F71" i="11"/>
  <c r="F67" i="11"/>
  <c r="D39" i="18"/>
  <c r="W39" i="5"/>
  <c r="N39" i="5"/>
  <c r="D46" i="18"/>
  <c r="W46" i="5"/>
  <c r="N46" i="5"/>
  <c r="D43" i="18"/>
  <c r="W43" i="5"/>
  <c r="N43" i="5"/>
  <c r="D35" i="18"/>
  <c r="W35" i="5"/>
  <c r="N35" i="5"/>
  <c r="E142" i="18"/>
  <c r="Y142" i="5"/>
  <c r="P142" i="5"/>
  <c r="E143" i="18"/>
  <c r="Y143" i="5"/>
  <c r="P143" i="5"/>
  <c r="J133" i="18"/>
  <c r="E121" i="18"/>
  <c r="Y121" i="5"/>
  <c r="P121" i="5"/>
  <c r="E120" i="18"/>
  <c r="Y120" i="5"/>
  <c r="I169" i="18"/>
  <c r="I20" i="18"/>
  <c r="D21" i="18"/>
  <c r="W21" i="5"/>
  <c r="N21" i="5"/>
  <c r="I47" i="18"/>
  <c r="D53" i="18"/>
  <c r="W53" i="5"/>
  <c r="N53" i="5"/>
  <c r="Q112" i="5"/>
  <c r="Y50" i="4"/>
  <c r="Z50" i="4"/>
  <c r="N111" i="5"/>
  <c r="AQ111" i="5"/>
  <c r="N112" i="5"/>
  <c r="AQ112" i="5"/>
  <c r="Z109" i="5"/>
  <c r="Q109" i="5"/>
  <c r="V153" i="5"/>
  <c r="D164" i="18"/>
  <c r="W164" i="5"/>
  <c r="N164" i="5"/>
  <c r="O31" i="5"/>
  <c r="L31" i="18"/>
  <c r="H31" i="18"/>
  <c r="S124" i="5"/>
  <c r="M124" i="5"/>
  <c r="V124" i="5"/>
  <c r="F68" i="11"/>
  <c r="D98" i="18"/>
  <c r="W98" i="5"/>
  <c r="N98" i="5"/>
  <c r="V118" i="5"/>
  <c r="Z118" i="5"/>
  <c r="AT118" i="5"/>
  <c r="AP118" i="5"/>
  <c r="D101" i="18"/>
  <c r="W101" i="5"/>
  <c r="N101" i="5"/>
  <c r="E111" i="18"/>
  <c r="Y111" i="5"/>
  <c r="P111" i="5"/>
  <c r="E112" i="18"/>
  <c r="Y112" i="5"/>
  <c r="P112" i="5"/>
  <c r="K121" i="18"/>
  <c r="G121" i="18"/>
  <c r="I119" i="18"/>
  <c r="V121" i="5"/>
  <c r="V126" i="5"/>
  <c r="K126" i="18"/>
  <c r="G126" i="18"/>
  <c r="I124" i="18"/>
  <c r="E73" i="18"/>
  <c r="Y73" i="5"/>
  <c r="P73" i="5"/>
  <c r="E74" i="18"/>
  <c r="Y74" i="5"/>
  <c r="P74" i="5"/>
  <c r="E72" i="18"/>
  <c r="Y72" i="5"/>
  <c r="P72" i="5"/>
  <c r="X178" i="5"/>
  <c r="Z146" i="5"/>
  <c r="Q146" i="5"/>
  <c r="V60" i="4"/>
  <c r="W60" i="4"/>
  <c r="O146" i="5"/>
  <c r="L146" i="18"/>
  <c r="H146" i="18"/>
  <c r="Z45" i="4"/>
  <c r="D48" i="18"/>
  <c r="W48" i="5"/>
  <c r="N48" i="5"/>
  <c r="E154" i="18"/>
  <c r="Y154" i="5"/>
  <c r="P154" i="5"/>
  <c r="D30" i="18"/>
  <c r="W30" i="5"/>
  <c r="N30" i="5"/>
  <c r="V133" i="5"/>
  <c r="M133" i="5"/>
  <c r="K133" i="18"/>
  <c r="G133" i="18"/>
  <c r="X67" i="5"/>
  <c r="O67" i="5"/>
  <c r="L67" i="18"/>
  <c r="H67" i="18"/>
  <c r="D31" i="18"/>
  <c r="W31" i="5"/>
  <c r="N31" i="5"/>
  <c r="AT109" i="5"/>
  <c r="AR109" i="5"/>
  <c r="AT124" i="5"/>
  <c r="AP124" i="5"/>
  <c r="J20" i="18"/>
  <c r="E21" i="18"/>
  <c r="Y21" i="5"/>
  <c r="P21" i="5"/>
  <c r="E163" i="18"/>
  <c r="Y163" i="5"/>
  <c r="P163" i="5"/>
  <c r="E162" i="18"/>
  <c r="Y162" i="5"/>
  <c r="P162" i="5"/>
  <c r="E164" i="18"/>
  <c r="Y164" i="5"/>
  <c r="P164" i="5"/>
  <c r="J47" i="18"/>
  <c r="E53" i="18"/>
  <c r="Y53" i="5"/>
  <c r="P53" i="5"/>
  <c r="V34" i="5"/>
  <c r="M34" i="5"/>
  <c r="V161" i="5"/>
  <c r="M161" i="5"/>
  <c r="K161" i="18"/>
  <c r="G161" i="18"/>
  <c r="D76" i="18"/>
  <c r="W76" i="5"/>
  <c r="D86" i="18"/>
  <c r="W86" i="5"/>
  <c r="N86" i="5"/>
  <c r="D79" i="18"/>
  <c r="W79" i="5"/>
  <c r="N79" i="5"/>
  <c r="D90" i="18"/>
  <c r="W90" i="5"/>
  <c r="N90" i="5"/>
  <c r="D63" i="18"/>
  <c r="W63" i="5"/>
  <c r="N63" i="5"/>
  <c r="D67" i="18"/>
  <c r="W67" i="5"/>
  <c r="N67" i="5"/>
  <c r="D71" i="18"/>
  <c r="W71" i="5"/>
  <c r="N71" i="5"/>
  <c r="J34" i="18"/>
  <c r="E35" i="18"/>
  <c r="Y35" i="5"/>
  <c r="P35" i="5"/>
  <c r="Q118" i="5"/>
  <c r="S59" i="4"/>
  <c r="T59" i="4"/>
  <c r="O178" i="5"/>
  <c r="L178" i="18"/>
  <c r="H178" i="18"/>
  <c r="J169" i="18"/>
  <c r="M153" i="5"/>
  <c r="K153" i="18"/>
  <c r="G153" i="18"/>
  <c r="I140" i="18"/>
  <c r="D58" i="18"/>
  <c r="W58" i="5"/>
  <c r="N58" i="5"/>
  <c r="X141" i="5"/>
  <c r="Z141" i="5"/>
  <c r="L90" i="18"/>
  <c r="H90" i="18"/>
  <c r="J75" i="18"/>
  <c r="E76" i="18"/>
  <c r="Y76" i="5"/>
  <c r="P76" i="5"/>
  <c r="E134" i="18"/>
  <c r="Y134" i="5"/>
  <c r="E137" i="18"/>
  <c r="Y137" i="5"/>
  <c r="P137" i="5"/>
  <c r="D174" i="18"/>
  <c r="W174" i="5"/>
  <c r="N174" i="5"/>
  <c r="D170" i="18"/>
  <c r="W170" i="5"/>
  <c r="D178" i="18"/>
  <c r="W178" i="5"/>
  <c r="N178" i="5"/>
  <c r="J10" i="18"/>
  <c r="E19" i="18"/>
  <c r="Y19" i="5"/>
  <c r="P19" i="5"/>
  <c r="P120" i="5"/>
  <c r="X119" i="5"/>
  <c r="O119" i="5"/>
  <c r="L119" i="18"/>
  <c r="H119" i="18"/>
  <c r="E101" i="18"/>
  <c r="Y101" i="5"/>
  <c r="P101" i="5"/>
  <c r="E98" i="18"/>
  <c r="Y98" i="5"/>
  <c r="D126" i="18"/>
  <c r="W126" i="5"/>
  <c r="N126" i="5"/>
  <c r="D11" i="18"/>
  <c r="W11" i="5"/>
  <c r="N11" i="5"/>
  <c r="D14" i="18"/>
  <c r="W14" i="5"/>
  <c r="N14" i="5"/>
  <c r="K118" i="18"/>
  <c r="G118" i="18"/>
  <c r="V97" i="5"/>
  <c r="D121" i="18"/>
  <c r="W121" i="5"/>
  <c r="N121" i="5"/>
  <c r="D120" i="18"/>
  <c r="W120" i="5"/>
  <c r="N120" i="5"/>
  <c r="D125" i="18"/>
  <c r="N123" i="20"/>
  <c r="L93" i="20"/>
  <c r="K109" i="18"/>
  <c r="G109" i="18"/>
  <c r="Y45" i="4"/>
  <c r="X71" i="5"/>
  <c r="O71" i="5"/>
  <c r="Q93" i="20"/>
  <c r="T93" i="20"/>
  <c r="E31" i="18"/>
  <c r="Y31" i="5"/>
  <c r="P31" i="5"/>
  <c r="X153" i="5"/>
  <c r="O153" i="5"/>
  <c r="L153" i="18"/>
  <c r="H153" i="18"/>
  <c r="V20" i="5"/>
  <c r="M20" i="5"/>
  <c r="E30" i="18"/>
  <c r="Y30" i="5"/>
  <c r="P30" i="5"/>
  <c r="E39" i="18"/>
  <c r="Y39" i="5"/>
  <c r="P39" i="5"/>
  <c r="V47" i="5"/>
  <c r="M47" i="5"/>
  <c r="V62" i="5"/>
  <c r="M62" i="5"/>
  <c r="E43" i="18"/>
  <c r="Y43" i="5"/>
  <c r="P43" i="5"/>
  <c r="E14" i="18"/>
  <c r="Y14" i="5"/>
  <c r="P14" i="5"/>
  <c r="E79" i="18"/>
  <c r="Y79" i="5"/>
  <c r="P79" i="5"/>
  <c r="E11" i="18"/>
  <c r="Y11" i="5"/>
  <c r="P11" i="5"/>
  <c r="E58" i="18"/>
  <c r="Y58" i="5"/>
  <c r="P58" i="5"/>
  <c r="E48" i="18"/>
  <c r="Y48" i="5"/>
  <c r="P48" i="5"/>
  <c r="E46" i="18"/>
  <c r="Y46" i="5"/>
  <c r="P46" i="5"/>
  <c r="X161" i="5"/>
  <c r="O161" i="5"/>
  <c r="L161" i="18"/>
  <c r="H161" i="18"/>
  <c r="E170" i="18"/>
  <c r="Y170" i="5"/>
  <c r="P170" i="5"/>
  <c r="E178" i="18"/>
  <c r="Y178" i="5"/>
  <c r="P178" i="5"/>
  <c r="E174" i="18"/>
  <c r="Y174" i="5"/>
  <c r="P174" i="5"/>
  <c r="D153" i="18"/>
  <c r="W153" i="5"/>
  <c r="D141" i="18"/>
  <c r="W141" i="5"/>
  <c r="D146" i="18"/>
  <c r="W146" i="5"/>
  <c r="N170" i="5"/>
  <c r="V169" i="5"/>
  <c r="Y97" i="5"/>
  <c r="P97" i="5"/>
  <c r="P98" i="5"/>
  <c r="O141" i="5"/>
  <c r="L141" i="18"/>
  <c r="H141" i="18"/>
  <c r="E86" i="18"/>
  <c r="Y86" i="5"/>
  <c r="P86" i="5"/>
  <c r="M97" i="5"/>
  <c r="K97" i="18"/>
  <c r="G97" i="18"/>
  <c r="N76" i="5"/>
  <c r="V75" i="5"/>
  <c r="E90" i="18"/>
  <c r="Y90" i="5"/>
  <c r="P90" i="5"/>
  <c r="Q141" i="5"/>
  <c r="V59" i="4"/>
  <c r="W59" i="4"/>
  <c r="P134" i="5"/>
  <c r="X133" i="5"/>
  <c r="Z153" i="5"/>
  <c r="W125" i="5"/>
  <c r="N132" i="5"/>
  <c r="D132" i="18"/>
  <c r="W132" i="5"/>
  <c r="X97" i="5"/>
  <c r="V10" i="5"/>
  <c r="V119" i="5"/>
  <c r="M119" i="5"/>
  <c r="O42" i="4"/>
  <c r="Z10" i="4"/>
  <c r="X20" i="5"/>
  <c r="O20" i="5"/>
  <c r="L20" i="18"/>
  <c r="H20" i="18"/>
  <c r="Y20" i="5"/>
  <c r="P20" i="5"/>
  <c r="X34" i="5"/>
  <c r="O34" i="5"/>
  <c r="L34" i="18"/>
  <c r="X47" i="5"/>
  <c r="Z47" i="5"/>
  <c r="Y10" i="5"/>
  <c r="P10" i="5"/>
  <c r="H118" i="6"/>
  <c r="Y47" i="5"/>
  <c r="P47" i="5"/>
  <c r="X75" i="5"/>
  <c r="O75" i="5"/>
  <c r="L71" i="18"/>
  <c r="H71" i="18"/>
  <c r="J62" i="18"/>
  <c r="Z161" i="5"/>
  <c r="Q161" i="5"/>
  <c r="Y60" i="4"/>
  <c r="Z60" i="4"/>
  <c r="X10" i="5"/>
  <c r="O10" i="5"/>
  <c r="L10" i="18"/>
  <c r="Y34" i="5"/>
  <c r="P34" i="5"/>
  <c r="J140" i="18"/>
  <c r="E146" i="18"/>
  <c r="Y146" i="5"/>
  <c r="P146" i="5"/>
  <c r="M169" i="5"/>
  <c r="K169" i="18"/>
  <c r="G169" i="18"/>
  <c r="Y75" i="5"/>
  <c r="P75" i="5"/>
  <c r="Z97" i="5"/>
  <c r="O97" i="5"/>
  <c r="L97" i="18"/>
  <c r="H97" i="18"/>
  <c r="M75" i="5"/>
  <c r="K75" i="18"/>
  <c r="G75" i="18"/>
  <c r="N141" i="5"/>
  <c r="AQ141" i="5"/>
  <c r="O133" i="5"/>
  <c r="L133" i="18"/>
  <c r="H133" i="18"/>
  <c r="J117" i="18"/>
  <c r="Z133" i="5"/>
  <c r="N146" i="5"/>
  <c r="AQ146" i="5"/>
  <c r="X169" i="5"/>
  <c r="O169" i="5"/>
  <c r="L169" i="18"/>
  <c r="H169" i="18"/>
  <c r="J159" i="18"/>
  <c r="M10" i="5"/>
  <c r="Q153" i="5"/>
  <c r="V61" i="4"/>
  <c r="W61" i="4"/>
  <c r="N153" i="5"/>
  <c r="AQ153" i="5"/>
  <c r="Z140" i="5"/>
  <c r="W56" i="4"/>
  <c r="U40" i="4"/>
  <c r="Y40" i="4"/>
  <c r="E59" i="16"/>
  <c r="K119" i="18"/>
  <c r="G119" i="18"/>
  <c r="Z119" i="5"/>
  <c r="Z20" i="5"/>
  <c r="Q20" i="5"/>
  <c r="S49" i="4"/>
  <c r="T49" i="4"/>
  <c r="O118" i="6"/>
  <c r="O116" i="6"/>
  <c r="O135" i="6"/>
  <c r="K20" i="18"/>
  <c r="G20" i="18"/>
  <c r="Z34" i="5"/>
  <c r="Z169" i="5"/>
  <c r="H10" i="18"/>
  <c r="K10" i="18"/>
  <c r="G10" i="18"/>
  <c r="H34" i="18"/>
  <c r="K34" i="18"/>
  <c r="G34" i="18"/>
  <c r="L75" i="18"/>
  <c r="H75" i="18"/>
  <c r="E153" i="18"/>
  <c r="Y153" i="5"/>
  <c r="P153" i="5"/>
  <c r="O47" i="5"/>
  <c r="L47" i="18"/>
  <c r="Z75" i="5"/>
  <c r="Q75" i="5"/>
  <c r="V49" i="4"/>
  <c r="W49" i="4"/>
  <c r="D59" i="16"/>
  <c r="E141" i="18"/>
  <c r="Y141" i="5"/>
  <c r="P141" i="5"/>
  <c r="Z10" i="5"/>
  <c r="Q10" i="5"/>
  <c r="S48" i="4"/>
  <c r="AT140" i="5"/>
  <c r="AR140" i="5"/>
  <c r="E124" i="18"/>
  <c r="E133" i="18"/>
  <c r="Y133" i="5"/>
  <c r="P133" i="5"/>
  <c r="E118" i="18"/>
  <c r="Y118" i="5"/>
  <c r="P118" i="5"/>
  <c r="E119" i="18"/>
  <c r="Y119" i="5"/>
  <c r="P119" i="5"/>
  <c r="Q140" i="5"/>
  <c r="K140" i="18"/>
  <c r="G140" i="18"/>
  <c r="Q47" i="5"/>
  <c r="S51" i="4"/>
  <c r="T51" i="4"/>
  <c r="Q97" i="5"/>
  <c r="V50" i="4"/>
  <c r="W50" i="4"/>
  <c r="Q169" i="5"/>
  <c r="Y61" i="4"/>
  <c r="Z61" i="4"/>
  <c r="Q133" i="5"/>
  <c r="S62" i="4"/>
  <c r="T62" i="4"/>
  <c r="Q119" i="5"/>
  <c r="S60" i="4"/>
  <c r="T60" i="4"/>
  <c r="Q34" i="5"/>
  <c r="S50" i="4"/>
  <c r="T50" i="4"/>
  <c r="E89" i="17"/>
  <c r="E160" i="18"/>
  <c r="Y160" i="5"/>
  <c r="P160" i="5"/>
  <c r="E169" i="18"/>
  <c r="Y169" i="5"/>
  <c r="P169" i="5"/>
  <c r="E161" i="18"/>
  <c r="Y161" i="5"/>
  <c r="P161" i="5"/>
  <c r="E67" i="18"/>
  <c r="Y67" i="5"/>
  <c r="P67" i="5"/>
  <c r="E71" i="18"/>
  <c r="Y71" i="5"/>
  <c r="P71" i="5"/>
  <c r="E63" i="18"/>
  <c r="Y63" i="5"/>
  <c r="P63" i="5"/>
  <c r="J15" i="14"/>
  <c r="O136" i="6"/>
  <c r="K15" i="14"/>
  <c r="D46" i="16"/>
  <c r="U39" i="4"/>
  <c r="Y39" i="4"/>
  <c r="X40" i="4"/>
  <c r="H47" i="18"/>
  <c r="J9" i="18"/>
  <c r="E47" i="18"/>
  <c r="K47" i="18"/>
  <c r="G47" i="18"/>
  <c r="I9" i="18"/>
  <c r="V56" i="4"/>
  <c r="Z12" i="4"/>
  <c r="E47" i="16"/>
  <c r="E52" i="16"/>
  <c r="W42" i="4"/>
  <c r="Y42" i="4"/>
  <c r="T48" i="4"/>
  <c r="R53" i="4"/>
  <c r="Y62" i="5"/>
  <c r="P62" i="5"/>
  <c r="X62" i="5"/>
  <c r="O62" i="5"/>
  <c r="J16" i="14"/>
  <c r="L136" i="6"/>
  <c r="K16" i="14"/>
  <c r="X42" i="4"/>
  <c r="L16" i="14"/>
  <c r="O15" i="14"/>
  <c r="F7" i="14"/>
  <c r="E10" i="18"/>
  <c r="D20" i="18"/>
  <c r="W20" i="5"/>
  <c r="N20" i="5"/>
  <c r="AQ20" i="5"/>
  <c r="D47" i="18"/>
  <c r="W47" i="5"/>
  <c r="N47" i="5"/>
  <c r="AQ47" i="5"/>
  <c r="D10" i="18"/>
  <c r="W10" i="5"/>
  <c r="D34" i="18"/>
  <c r="W34" i="5"/>
  <c r="N34" i="5"/>
  <c r="AQ34" i="5"/>
  <c r="E34" i="18"/>
  <c r="E20" i="18"/>
  <c r="K53" i="4"/>
  <c r="V41" i="4"/>
  <c r="Y41" i="4"/>
  <c r="X41" i="4"/>
  <c r="T35" i="4"/>
  <c r="S35" i="4"/>
  <c r="S36" i="4"/>
  <c r="Z62" i="5"/>
  <c r="Q62" i="5"/>
  <c r="L62" i="18"/>
  <c r="F9" i="14"/>
  <c r="F12" i="14"/>
  <c r="S160" i="5"/>
  <c r="M160" i="5"/>
  <c r="V160" i="5"/>
  <c r="Z160" i="5"/>
  <c r="F8" i="14"/>
  <c r="F11" i="14"/>
  <c r="F10" i="14"/>
  <c r="H62" i="18"/>
  <c r="J61" i="18"/>
  <c r="E97" i="18"/>
  <c r="K62" i="18"/>
  <c r="G62" i="18"/>
  <c r="I61" i="18"/>
  <c r="Z9" i="5"/>
  <c r="N10" i="5"/>
  <c r="AQ10" i="5"/>
  <c r="AT9" i="5"/>
  <c r="AR9" i="5"/>
  <c r="V48" i="4"/>
  <c r="W48" i="4"/>
  <c r="E75" i="18"/>
  <c r="AT160" i="5"/>
  <c r="AP160" i="5"/>
  <c r="E62" i="18"/>
  <c r="Q9" i="5"/>
  <c r="T45" i="4"/>
  <c r="D62" i="18"/>
  <c r="W62" i="5"/>
  <c r="D97" i="18"/>
  <c r="W97" i="5"/>
  <c r="N97" i="5"/>
  <c r="AQ97" i="5"/>
  <c r="D75" i="18"/>
  <c r="W75" i="5"/>
  <c r="N75" i="5"/>
  <c r="AQ75" i="5"/>
  <c r="Q160" i="5"/>
  <c r="Y59" i="4"/>
  <c r="Z59" i="4"/>
  <c r="K160" i="18"/>
  <c r="G160" i="18"/>
  <c r="I159" i="18"/>
  <c r="D160" i="18"/>
  <c r="W160" i="5"/>
  <c r="N160" i="5"/>
  <c r="N62" i="5"/>
  <c r="AQ62" i="5"/>
  <c r="AT61" i="5"/>
  <c r="AR61" i="5"/>
  <c r="Z61" i="5"/>
  <c r="K9" i="18"/>
  <c r="G9" i="18"/>
  <c r="S45" i="4"/>
  <c r="D169" i="18"/>
  <c r="W169" i="5"/>
  <c r="D161" i="18"/>
  <c r="W161" i="5"/>
  <c r="AQ160" i="5"/>
  <c r="Q61" i="5"/>
  <c r="W45" i="4"/>
  <c r="Z14" i="4"/>
  <c r="G42" i="4"/>
  <c r="N161" i="5"/>
  <c r="AQ161" i="5"/>
  <c r="N169" i="5"/>
  <c r="AQ169" i="5"/>
  <c r="Z159" i="5"/>
  <c r="Q159" i="5"/>
  <c r="K61" i="18"/>
  <c r="G61" i="18"/>
  <c r="I8" i="18"/>
  <c r="V45" i="4"/>
  <c r="AT159" i="5"/>
  <c r="AR159" i="5"/>
  <c r="Z56" i="4"/>
  <c r="Y56" i="4"/>
  <c r="K159" i="18"/>
  <c r="G159" i="18"/>
  <c r="Z9" i="4"/>
  <c r="K42" i="4"/>
  <c r="D9" i="18"/>
  <c r="W9" i="5"/>
  <c r="D109" i="18"/>
  <c r="W109" i="5"/>
  <c r="N109" i="5"/>
  <c r="AQ109" i="5"/>
  <c r="D61" i="18"/>
  <c r="W61" i="5"/>
  <c r="N61" i="5"/>
  <c r="AQ61" i="5"/>
  <c r="Z11" i="4"/>
  <c r="O53" i="4"/>
  <c r="N9" i="5"/>
  <c r="AQ9" i="5"/>
  <c r="AT8" i="5"/>
  <c r="AR8" i="5"/>
  <c r="Z8" i="5"/>
  <c r="Q8" i="5"/>
  <c r="N40" i="4"/>
  <c r="S8" i="4"/>
  <c r="S10" i="4"/>
  <c r="T24" i="4"/>
  <c r="T26" i="4"/>
  <c r="Z124" i="5"/>
  <c r="K124" i="18"/>
  <c r="G124" i="18"/>
  <c r="I117" i="18"/>
  <c r="U26" i="4"/>
  <c r="Q124" i="5"/>
  <c r="S61" i="4"/>
  <c r="T61" i="4"/>
  <c r="D133" i="18"/>
  <c r="W133" i="5"/>
  <c r="D119" i="18"/>
  <c r="W119" i="5"/>
  <c r="D118" i="18"/>
  <c r="W118" i="5"/>
  <c r="N118" i="5"/>
  <c r="D124" i="18"/>
  <c r="N119" i="5"/>
  <c r="AQ119" i="5"/>
  <c r="N133" i="5"/>
  <c r="AQ133" i="5"/>
  <c r="W124" i="5"/>
  <c r="AQ118" i="5"/>
  <c r="N124" i="5"/>
  <c r="AQ124" i="5"/>
  <c r="AT117" i="5"/>
  <c r="AR117" i="5"/>
  <c r="Z117" i="5"/>
  <c r="Q117" i="5"/>
  <c r="T56" i="4"/>
  <c r="K117" i="18"/>
  <c r="G117" i="18"/>
  <c r="I116" i="18"/>
  <c r="S56" i="4"/>
  <c r="Z13" i="4"/>
  <c r="G53" i="4"/>
  <c r="D140" i="18"/>
  <c r="W140" i="5"/>
  <c r="D159" i="18"/>
  <c r="W159" i="5"/>
  <c r="D117" i="18"/>
  <c r="W117" i="5"/>
  <c r="N117" i="5"/>
  <c r="N159" i="5"/>
  <c r="AQ159" i="5"/>
  <c r="N140" i="5"/>
  <c r="AQ140" i="5"/>
  <c r="AQ117" i="5"/>
  <c r="Z116" i="5"/>
  <c r="Q116" i="5"/>
  <c r="AT116" i="5"/>
  <c r="AR116" i="5"/>
  <c r="S9" i="4"/>
  <c r="S11" i="4"/>
  <c r="K116" i="18"/>
  <c r="G116" i="18"/>
  <c r="N51" i="4"/>
  <c r="T23" i="4"/>
  <c r="S12" i="4"/>
  <c r="S13" i="4"/>
  <c r="C24" i="4"/>
  <c r="S25" i="4"/>
  <c r="T25" i="4"/>
  <c r="S15" i="4"/>
  <c r="S16"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日建設計 </author>
    <author>Junko ENDO</author>
  </authors>
  <commentList>
    <comment ref="C15" authorId="0" shapeId="0" xr:uid="{00000000-0006-0000-0100-000001000000}">
      <text>
        <r>
          <rPr>
            <sz val="9"/>
            <color indexed="81"/>
            <rFont val="ＭＳ Ｐゴシック"/>
            <family val="3"/>
            <charset val="128"/>
          </rPr>
          <t>2003/6等と入力して下さい。
2003年6月と表示されます。</t>
        </r>
      </text>
    </comment>
    <comment ref="C39" authorId="0" shapeId="0" xr:uid="{00000000-0006-0000-0100-000002000000}">
      <text>
        <r>
          <rPr>
            <sz val="9"/>
            <color indexed="81"/>
            <rFont val="ＭＳ Ｐゴシック"/>
            <family val="3"/>
            <charset val="128"/>
          </rPr>
          <t>2003/6等と入力して下さい。
2003年6月と表示されます。</t>
        </r>
      </text>
    </comment>
    <comment ref="B41" authorId="1" shapeId="0" xr:uid="{00000000-0006-0000-0100-000003000000}">
      <text>
        <r>
          <rPr>
            <sz val="9"/>
            <color indexed="81"/>
            <rFont val="ＭＳ Ｐゴシック"/>
            <family val="3"/>
            <charset val="128"/>
          </rPr>
          <t>第３者による評価結果の確認などを行っている場合は記述する。</t>
        </r>
      </text>
    </comment>
    <comment ref="C41" authorId="0" shapeId="0" xr:uid="{00000000-0006-0000-0100-000004000000}">
      <text>
        <r>
          <rPr>
            <sz val="9"/>
            <color indexed="81"/>
            <rFont val="ＭＳ Ｐゴシック"/>
            <family val="3"/>
            <charset val="128"/>
          </rPr>
          <t>2003/6等と入力して下さい。
2003年6月と表示されます。</t>
        </r>
      </text>
    </comment>
    <comment ref="F68" authorId="0" shapeId="0" xr:uid="{00000000-0006-0000-0100-000005000000}">
      <text>
        <r>
          <rPr>
            <sz val="9"/>
            <color indexed="81"/>
            <rFont val="ＭＳ Ｐゴシック"/>
            <family val="3"/>
            <charset val="128"/>
          </rPr>
          <t>小数値(「0.9」など)で
比率を入力して下さい。</t>
        </r>
      </text>
    </comment>
    <comment ref="F69" authorId="0" shapeId="0" xr:uid="{00000000-0006-0000-0100-000006000000}">
      <text>
        <r>
          <rPr>
            <sz val="9"/>
            <color indexed="81"/>
            <rFont val="ＭＳ Ｐゴシック"/>
            <family val="3"/>
            <charset val="128"/>
          </rPr>
          <t>小数値(「0.9」など)で
比率を入力して下さい。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M126" authorId="0" shapeId="0" xr:uid="{00000000-0006-0000-0300-000001000000}">
      <text>
        <r>
          <rPr>
            <b/>
            <sz val="9"/>
            <color indexed="81"/>
            <rFont val="ＭＳ Ｐゴシック"/>
            <family val="3"/>
            <charset val="128"/>
          </rPr>
          <t>専有部と共用部(3aによる評価)の床面積による加重平均</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E3" authorId="0" shapeId="0" xr:uid="{00000000-0006-0000-0400-000001000000}">
      <text>
        <r>
          <rPr>
            <b/>
            <sz val="9"/>
            <color indexed="81"/>
            <rFont val="ＭＳ Ｐゴシック"/>
            <family val="3"/>
            <charset val="128"/>
          </rPr>
          <t xml:space="preserve"> 計画上の配慮事項：100字以内で記述してください。</t>
        </r>
        <r>
          <rPr>
            <sz val="9"/>
            <color indexed="81"/>
            <rFont val="ＭＳ Ｐゴシック"/>
            <family val="3"/>
            <charset val="128"/>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日建設計</author>
  </authors>
  <commentList>
    <comment ref="H123" authorId="0" shapeId="0" xr:uid="{00000000-0006-0000-0700-000001000000}">
      <text>
        <r>
          <rPr>
            <b/>
            <sz val="10"/>
            <color indexed="81"/>
            <rFont val="ＭＳ Ｐゴシック"/>
            <family val="3"/>
            <charset val="128"/>
          </rPr>
          <t>500㎡未満の建物は直接入力により、レベル３を選択してください。</t>
        </r>
      </text>
    </comment>
    <comment ref="H176" authorId="0" shapeId="0" xr:uid="{00000000-0006-0000-0700-000002000000}">
      <text>
        <r>
          <rPr>
            <b/>
            <sz val="10"/>
            <color indexed="81"/>
            <rFont val="ＭＳ Ｐゴシック"/>
            <family val="3"/>
            <charset val="128"/>
          </rPr>
          <t>レベル３は、直接入力より選択。
500㎡未満の建物は直接入力により、レベル３を選択してください。</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hor>
  </authors>
  <commentList>
    <comment ref="F16" authorId="0" shapeId="0" xr:uid="{00000000-0006-0000-0900-000001000000}">
      <text>
        <r>
          <rPr>
            <b/>
            <sz val="9"/>
            <color indexed="81"/>
            <rFont val="ＭＳ Ｐゴシック"/>
            <family val="3"/>
            <charset val="128"/>
          </rPr>
          <t>住宅部分と非住宅部分の床面積による加重平均（小数第2位で切捨）</t>
        </r>
      </text>
    </comment>
    <comment ref="F65" authorId="0" shapeId="0" xr:uid="{00000000-0006-0000-0900-000002000000}">
      <text>
        <r>
          <rPr>
            <b/>
            <sz val="9"/>
            <color indexed="81"/>
            <rFont val="ＭＳ Ｐゴシック"/>
            <family val="3"/>
            <charset val="128"/>
          </rPr>
          <t>住宅部分と非住宅部分【実績値を用いた総合評価】の床面積による加重平均（小数第2位で切捨）</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junko_000</author>
    <author>-</author>
    <author>Junko ENDO</author>
  </authors>
  <commentList>
    <comment ref="H23" authorId="0" shapeId="0" xr:uid="{63D38D31-42FA-4CB6-97C6-A0A1C36EBCE8}">
      <text>
        <r>
          <rPr>
            <b/>
            <sz val="9"/>
            <color indexed="81"/>
            <rFont val="ＭＳ Ｐゴシック"/>
            <family val="3"/>
            <charset val="128"/>
          </rPr>
          <t>下記（１）（２）（３）で評価する場合は空欄</t>
        </r>
      </text>
    </comment>
    <comment ref="G46" authorId="0" shapeId="0" xr:uid="{9B200F99-04E0-4B8A-9223-5E417E4BD130}">
      <text>
        <r>
          <rPr>
            <b/>
            <sz val="9"/>
            <color indexed="81"/>
            <rFont val="ＭＳ Ｐゴシック"/>
            <family val="3"/>
            <charset val="128"/>
          </rPr>
          <t>住宅面積のうち、算定プログラムで評価した住戸の面積と共用部の面積の合計</t>
        </r>
      </text>
    </comment>
    <comment ref="K82" authorId="0" shapeId="0" xr:uid="{7C7A72BA-A2D5-48C8-9B55-DF4BC01F58A7}">
      <text>
        <r>
          <rPr>
            <b/>
            <sz val="9"/>
            <color indexed="81"/>
            <rFont val="ＭＳ Ｐゴシック"/>
            <family val="3"/>
            <charset val="128"/>
          </rPr>
          <t>算定プログラムを使わない場合は空欄</t>
        </r>
      </text>
    </comment>
    <comment ref="L82" authorId="1" shapeId="0" xr:uid="{9E361B94-8CBE-4072-B086-86D19A95C8B8}">
      <text>
        <r>
          <rPr>
            <b/>
            <sz val="8"/>
            <color indexed="10"/>
            <rFont val="ＭＳ Ｐゴシック"/>
            <family val="3"/>
            <charset val="128"/>
          </rPr>
          <t>住戸部分のみで評価した場合は、
専有面積（住戸面積合計㎡）×0.1（GJ/㎡）※を入力
※0.1GJ/㎡=820ｋWh/戸÷80㎡/戸×9.76MJ/ｋWh÷1000）</t>
        </r>
      </text>
    </comment>
    <comment ref="K83" authorId="0" shapeId="0" xr:uid="{90BFD06B-3297-42EC-A8F2-5C2A5000E7CD}">
      <text>
        <r>
          <rPr>
            <b/>
            <sz val="9"/>
            <color indexed="81"/>
            <rFont val="ＭＳ Ｐゴシック"/>
            <family val="3"/>
            <charset val="128"/>
          </rPr>
          <t>算定プログラムを使わない場合は空欄</t>
        </r>
      </text>
    </comment>
    <comment ref="L83" authorId="1" shapeId="0" xr:uid="{A89ADA3D-29CD-4B96-83ED-560AF0F9B312}">
      <text>
        <r>
          <rPr>
            <b/>
            <sz val="8"/>
            <color indexed="10"/>
            <rFont val="ＭＳ Ｐゴシック"/>
            <family val="3"/>
            <charset val="128"/>
          </rPr>
          <t>住戸部分のみで評価した場合は、
基準一次エネルギー消費量×BEI</t>
        </r>
      </text>
    </comment>
    <comment ref="F93" authorId="2" shapeId="0" xr:uid="{40C933AC-041A-45C0-9F5F-F6D0FD1773DD}">
      <text>
        <r>
          <rPr>
            <b/>
            <sz val="9"/>
            <color indexed="81"/>
            <rFont val="MS P ゴシック"/>
            <family val="3"/>
            <charset val="128"/>
          </rPr>
          <t>オンサイト分（BEI評価に含まれる量、自家消費分相当）を含まないBEI/BEImを入力してください</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uthor>
    <author>Junko ENDO</author>
    <author>柳井　崇</author>
  </authors>
  <commentList>
    <comment ref="J8" authorId="0" shapeId="0" xr:uid="{00000000-0006-0000-0B00-000001000000}">
      <text>
        <r>
          <rPr>
            <b/>
            <sz val="9"/>
            <color indexed="81"/>
            <rFont val="ＭＳ Ｐゴシック"/>
            <family val="3"/>
            <charset val="128"/>
          </rPr>
          <t>以下のいずれかで算定
ア）330MJ/年×省エネ計算対象の工場部分の床面積
イ）評価者による計算
ウ）省エネ計算対象の実測値</t>
        </r>
      </text>
    </comment>
    <comment ref="I14" authorId="0" shapeId="0" xr:uid="{00000000-0006-0000-0B00-000002000000}">
      <text>
        <r>
          <rPr>
            <b/>
            <sz val="9"/>
            <color indexed="81"/>
            <rFont val="ＭＳ Ｐゴシック"/>
            <family val="3"/>
            <charset val="128"/>
          </rPr>
          <t>80％以上の場合、実績評価は対象外とする。</t>
        </r>
      </text>
    </comment>
    <comment ref="I15" authorId="0" shapeId="0" xr:uid="{00000000-0006-0000-0B00-000003000000}">
      <text>
        <r>
          <rPr>
            <b/>
            <sz val="9"/>
            <color indexed="81"/>
            <rFont val="ＭＳ Ｐゴシック"/>
            <family val="3"/>
            <charset val="128"/>
          </rPr>
          <t>各々20%以下であれば除外してよい。</t>
        </r>
      </text>
    </comment>
    <comment ref="H24" authorId="1" shapeId="0" xr:uid="{00000000-0006-0000-0B00-000004000000}">
      <text>
        <r>
          <rPr>
            <b/>
            <sz val="10"/>
            <color indexed="81"/>
            <rFont val="ＭＳ Ｐゴシック"/>
            <family val="3"/>
            <charset val="128"/>
          </rPr>
          <t>小数値（「0.9」など）で</t>
        </r>
        <r>
          <rPr>
            <b/>
            <sz val="10"/>
            <color indexed="10"/>
            <rFont val="ＭＳ Ｐゴシック"/>
            <family val="3"/>
            <charset val="128"/>
          </rPr>
          <t>比率を入力</t>
        </r>
        <r>
          <rPr>
            <b/>
            <sz val="10"/>
            <color indexed="81"/>
            <rFont val="ＭＳ Ｐゴシック"/>
            <family val="3"/>
            <charset val="128"/>
          </rPr>
          <t>します。メインシートの用途別面積を参考に、使用実態に合わせて入力してください。
（省エネ法の区分とはリンクしない）</t>
        </r>
      </text>
    </comment>
    <comment ref="H44" authorId="0" shapeId="0" xr:uid="{00000000-0006-0000-0B00-000005000000}">
      <text>
        <r>
          <rPr>
            <b/>
            <sz val="9"/>
            <color indexed="81"/>
            <rFont val="ＭＳ Ｐゴシック"/>
            <family val="3"/>
            <charset val="128"/>
          </rPr>
          <t>合計が1.0になるように比率を入力</t>
        </r>
      </text>
    </comment>
    <comment ref="I48" authorId="2" shapeId="0" xr:uid="{00000000-0006-0000-0B00-000006000000}">
      <text>
        <r>
          <rPr>
            <b/>
            <sz val="9"/>
            <color indexed="81"/>
            <rFont val="ＭＳ Ｐゴシック"/>
            <family val="3"/>
            <charset val="128"/>
          </rPr>
          <t>工場、集合住宅ほか除外部分は除く</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D48" authorId="0" shapeId="0" xr:uid="{00000000-0006-0000-1100-000001000000}">
      <text>
        <r>
          <rPr>
            <sz val="9"/>
            <color indexed="81"/>
            <rFont val="ＭＳ Ｐゴシック"/>
            <family val="3"/>
            <charset val="128"/>
          </rPr>
          <t>下表＜参考＞　[1]の数値を利用できる。</t>
        </r>
      </text>
    </comment>
    <comment ref="D56" authorId="0" shapeId="0" xr:uid="{00000000-0006-0000-1100-000002000000}">
      <text>
        <r>
          <rPr>
            <sz val="9"/>
            <color indexed="81"/>
            <rFont val="ＭＳ Ｐゴシック"/>
            <family val="3"/>
            <charset val="128"/>
          </rPr>
          <t>下表＜参考＞　[2]の数値を利用できる。</t>
        </r>
      </text>
    </comment>
  </commentList>
</comments>
</file>

<file path=xl/sharedStrings.xml><?xml version="1.0" encoding="utf-8"?>
<sst xmlns="http://schemas.openxmlformats.org/spreadsheetml/2006/main" count="6890" uniqueCount="3486">
  <si>
    <t>内装計画</t>
    <rPh sb="0" eb="2">
      <t>ナイソウ</t>
    </rPh>
    <rPh sb="2" eb="4">
      <t>ケイカク</t>
    </rPh>
    <phoneticPr fontId="21"/>
  </si>
  <si>
    <t>維持管理</t>
    <rPh sb="0" eb="2">
      <t>イジ</t>
    </rPh>
    <rPh sb="2" eb="4">
      <t>カンリ</t>
    </rPh>
    <phoneticPr fontId="21"/>
  </si>
  <si>
    <t>維持管理に配慮した設計</t>
  </si>
  <si>
    <t>維持管理用機能の確保</t>
  </si>
  <si>
    <t>衛生管理業務</t>
    <rPh sb="0" eb="2">
      <t>エイセイ</t>
    </rPh>
    <rPh sb="2" eb="4">
      <t>カンリ</t>
    </rPh>
    <rPh sb="4" eb="6">
      <t>ギョウム</t>
    </rPh>
    <phoneticPr fontId="21"/>
  </si>
  <si>
    <t>耐用性・信頼性</t>
    <rPh sb="0" eb="3">
      <t>ﾀｲﾖｳｾｲ</t>
    </rPh>
    <rPh sb="4" eb="6">
      <t>ｼﾝﾗｲ</t>
    </rPh>
    <rPh sb="6" eb="7">
      <t>ｾｲ</t>
    </rPh>
    <phoneticPr fontId="34" type="noConversion"/>
  </si>
  <si>
    <t>尚、認定されたリサイクル資材は随時更新されているので、下記のHPを確認し評価を行うこと。</t>
    <rPh sb="0" eb="1">
      <t>ナオ</t>
    </rPh>
    <rPh sb="2" eb="4">
      <t>ニンテイ</t>
    </rPh>
    <rPh sb="12" eb="14">
      <t>シザイ</t>
    </rPh>
    <rPh sb="15" eb="17">
      <t>ズイジ</t>
    </rPh>
    <rPh sb="17" eb="19">
      <t>コウシン</t>
    </rPh>
    <rPh sb="27" eb="29">
      <t>カキ</t>
    </rPh>
    <rPh sb="33" eb="35">
      <t>カクニン</t>
    </rPh>
    <rPh sb="36" eb="38">
      <t>ヒョウカ</t>
    </rPh>
    <rPh sb="39" eb="40">
      <t>オコナ</t>
    </rPh>
    <phoneticPr fontId="21"/>
  </si>
  <si>
    <t>リサイクル資材を用いていない。</t>
    <rPh sb="8" eb="9">
      <t>モチ</t>
    </rPh>
    <phoneticPr fontId="21"/>
  </si>
  <si>
    <t>レベル３以上は、スコアシートに採用したリサイクル資材名を記述</t>
    <rPh sb="4" eb="6">
      <t>イジョウ</t>
    </rPh>
    <rPh sb="15" eb="17">
      <t>サイヨウ</t>
    </rPh>
    <rPh sb="24" eb="26">
      <t>シザイ</t>
    </rPh>
    <rPh sb="26" eb="27">
      <t>メイ</t>
    </rPh>
    <rPh sb="28" eb="30">
      <t>キジュツ</t>
    </rPh>
    <phoneticPr fontId="21"/>
  </si>
  <si>
    <t>リサイクル資材を１品目用いている。</t>
    <rPh sb="9" eb="11">
      <t>ヒンモク</t>
    </rPh>
    <rPh sb="11" eb="12">
      <t>モチ</t>
    </rPh>
    <phoneticPr fontId="21"/>
  </si>
  <si>
    <t>リサイクル資材を２品目用いている。</t>
    <rPh sb="9" eb="11">
      <t>ヒンモク</t>
    </rPh>
    <rPh sb="11" eb="12">
      <t>モチ</t>
    </rPh>
    <phoneticPr fontId="21"/>
  </si>
  <si>
    <t>リサイクル資材を３品目以上用いている。</t>
    <rPh sb="9" eb="11">
      <t>ヒンモク</t>
    </rPh>
    <rPh sb="11" eb="13">
      <t>イジョウ</t>
    </rPh>
    <rPh sb="13" eb="14">
      <t>モチ</t>
    </rPh>
    <phoneticPr fontId="21"/>
  </si>
  <si>
    <t>グリーン調達品目</t>
    <rPh sb="4" eb="6">
      <t>チョウタツ</t>
    </rPh>
    <rPh sb="6" eb="8">
      <t>ヒンモク</t>
    </rPh>
    <phoneticPr fontId="21"/>
  </si>
  <si>
    <t>建設汚泥再生処理土</t>
    <rPh sb="0" eb="2">
      <t>ケンセツ</t>
    </rPh>
    <rPh sb="2" eb="4">
      <t>オデイ</t>
    </rPh>
    <rPh sb="4" eb="6">
      <t>サイセイ</t>
    </rPh>
    <rPh sb="6" eb="8">
      <t>ショリ</t>
    </rPh>
    <rPh sb="8" eb="9">
      <t>ツチ</t>
    </rPh>
    <phoneticPr fontId="21"/>
  </si>
  <si>
    <t>土工用高炉水砕フラグ</t>
    <rPh sb="0" eb="2">
      <t>ドコウ</t>
    </rPh>
    <rPh sb="2" eb="3">
      <t>ヨウ</t>
    </rPh>
    <rPh sb="3" eb="5">
      <t>コウロ</t>
    </rPh>
    <rPh sb="5" eb="6">
      <t>ミズ</t>
    </rPh>
    <rPh sb="6" eb="7">
      <t>クダ</t>
    </rPh>
    <phoneticPr fontId="21"/>
  </si>
  <si>
    <t>銅スラグを用いたケーソン中詰め材</t>
    <rPh sb="0" eb="1">
      <t>ドウ</t>
    </rPh>
    <rPh sb="5" eb="6">
      <t>モチ</t>
    </rPh>
    <rPh sb="12" eb="13">
      <t>ナカ</t>
    </rPh>
    <rPh sb="13" eb="14">
      <t>ヅ</t>
    </rPh>
    <rPh sb="15" eb="16">
      <t>ザイ</t>
    </rPh>
    <phoneticPr fontId="21"/>
  </si>
  <si>
    <t>[照度]＜300lx、または1000lx≦[照度]</t>
  </si>
  <si>
    <t>自動制御ブラインド等によりグレアを制御。</t>
    <rPh sb="9" eb="10">
      <t>トウ</t>
    </rPh>
    <phoneticPr fontId="21"/>
  </si>
  <si>
    <t>確実な対策を行うために、レベル４を超える特別な配慮を行っている。かつ、それらの設備のメンテナンスが容易な計画となっている。</t>
    <phoneticPr fontId="21"/>
  </si>
  <si>
    <t>窓が開閉不可能な居室において、自然換気有効開口面積が25cm2/m2以上。あるいは、窓が開閉可能な居室において、自然換気有効開口面積が居室床面積の1/30以上。あるいは、必要外気量の２倍以上の外気冷房の採用により室内空気質の向上が期待できる。</t>
  </si>
  <si>
    <t>窓が開閉不可能な居室において、自然換気有効開口面積が50cm2/m2以上。あるいは、窓が開閉可能な居室において、自然換気有効開口面積が居室床面積の1/15以上。あるいは、レベル４の自然換気有効開口面積を満たし、かつ必要外気量の２倍以上の外気冷房の採用により室内空気質の向上が期待できる。</t>
  </si>
  <si>
    <t>自然換気有効開口面積が居室床面積の1/20以上</t>
  </si>
  <si>
    <t>自然換気有効開口面積が居室床面積の1/15以上</t>
  </si>
  <si>
    <t>自然換気有効開口面積が居室床面積の1/10以上</t>
  </si>
  <si>
    <t>学（小中高）</t>
    <phoneticPr fontId="21"/>
  </si>
  <si>
    <t>リフレッシュスペースがない。</t>
  </si>
  <si>
    <t>リフレッシュスペースが執務スペースの1％以上</t>
  </si>
  <si>
    <t>執務スペースの1％以上のリフレッシュスペース＋自動販売機等の設置</t>
  </si>
  <si>
    <t>レベル３を満たさない。</t>
    <rPh sb="5" eb="6">
      <t>ミ</t>
    </rPh>
    <phoneticPr fontId="21"/>
  </si>
  <si>
    <t>③　内装設計：床面は適度な水を使用して洗浄可能な設計・構造を採用している。</t>
    <phoneticPr fontId="21"/>
  </si>
  <si>
    <t>②　清掃用資材の洗い場を設置し、安全な排水設備への排水経路を確保している。
※病院建築物においては上記に加え、病床数に応じた清掃資材用の洗濯機を設置するスペースを確保している。</t>
    <phoneticPr fontId="21"/>
  </si>
  <si>
    <t>事・学(大学等)・物・飲・会・病・ホ・工・住</t>
    <rPh sb="4" eb="6">
      <t>ダイガク</t>
    </rPh>
    <rPh sb="6" eb="7">
      <t>トウ</t>
    </rPh>
    <phoneticPr fontId="21"/>
  </si>
  <si>
    <t>⑦災害などの停電時に飲料用等に使えるよう受水槽に水道の蛇口を設置している。</t>
    <phoneticPr fontId="21"/>
  </si>
  <si>
    <t>評価する取組みが3つ。</t>
    <phoneticPr fontId="21"/>
  </si>
  <si>
    <t>評価する取組みが4つ以上。</t>
    <phoneticPr fontId="21"/>
  </si>
  <si>
    <t>評価する取組みが3つ以上。</t>
    <phoneticPr fontId="21"/>
  </si>
  <si>
    <t>取組数</t>
    <rPh sb="0" eb="2">
      <t>トリクミ</t>
    </rPh>
    <rPh sb="2" eb="3">
      <t>スウ</t>
    </rPh>
    <phoneticPr fontId="21"/>
  </si>
  <si>
    <t>①非常用発電設備を備えている。</t>
    <phoneticPr fontId="21"/>
  </si>
  <si>
    <t>事・学・物・飲・会・病・ホ・工・住</t>
    <phoneticPr fontId="21"/>
  </si>
  <si>
    <t>事・学・物・飲・会・病・ホ・工・住【&lt;2000㎡】</t>
    <phoneticPr fontId="21"/>
  </si>
  <si>
    <t>評価する取組みが1つまたは2つ。</t>
    <phoneticPr fontId="21"/>
  </si>
  <si>
    <t>③重要設備系の受電設備の二重化を行っている。</t>
    <phoneticPr fontId="21"/>
  </si>
  <si>
    <t>④電源設備・精密機械（住宅の場合は、ブレーカー、分電盤等）の浸水による停電や情報網の損傷を回避するために、ア)あるいはイ)の対策を講じている、あるいはウ)に該当している。
ア) 電源設備・精密機械の地下空間への設置を避けている
イ) 地下への浸水の防止措置(防水扉、防水板、マウンドアップ、からぼり)、排水設備(ポンプ等)を設置している。
ウ) 浸水の危険性がない。
（延べ面積2000㎡未満は適用外）</t>
    <phoneticPr fontId="21"/>
  </si>
  <si>
    <t>⑤電源車接続時に利用可能な用の照明等の配線が設置されている。</t>
    <phoneticPr fontId="21"/>
  </si>
  <si>
    <t>⑥異なる変電所からの引き込みを二重化している。</t>
    <phoneticPr fontId="21"/>
  </si>
  <si>
    <t>事・学・物・飲・会・病・ホ・工・住</t>
    <rPh sb="0" eb="1">
      <t>ジ</t>
    </rPh>
    <rPh sb="2" eb="3">
      <t>ガク</t>
    </rPh>
    <rPh sb="4" eb="5">
      <t>モノ</t>
    </rPh>
    <rPh sb="6" eb="7">
      <t>オン</t>
    </rPh>
    <rPh sb="8" eb="9">
      <t>カイ</t>
    </rPh>
    <rPh sb="10" eb="11">
      <t>ヤマイ</t>
    </rPh>
    <rPh sb="14" eb="15">
      <t>コウ</t>
    </rPh>
    <rPh sb="16" eb="17">
      <t>スミ</t>
    </rPh>
    <phoneticPr fontId="21"/>
  </si>
  <si>
    <t>事・学・物・飲・会・病・ホ・工・住【&lt;2000㎡】</t>
    <rPh sb="0" eb="1">
      <t>ジ</t>
    </rPh>
    <rPh sb="2" eb="3">
      <t>ガク</t>
    </rPh>
    <rPh sb="4" eb="5">
      <t>モノ</t>
    </rPh>
    <rPh sb="6" eb="7">
      <t>オン</t>
    </rPh>
    <rPh sb="8" eb="9">
      <t>カイ</t>
    </rPh>
    <rPh sb="10" eb="11">
      <t>ヤマイ</t>
    </rPh>
    <rPh sb="14" eb="15">
      <t>コウ</t>
    </rPh>
    <rPh sb="16" eb="17">
      <t>スミ</t>
    </rPh>
    <phoneticPr fontId="21"/>
  </si>
  <si>
    <t>評価する取組みがない。</t>
    <phoneticPr fontId="21"/>
  </si>
  <si>
    <t>評価する取組みが1つ。</t>
    <phoneticPr fontId="21"/>
  </si>
  <si>
    <t>評価する取組みが2つ以上。</t>
    <phoneticPr fontId="21"/>
  </si>
  <si>
    <t>耐震クラスA（Bクラスに加えて、大きな補修をすることなく重要な機能が確保できる。）または、動的解析を行った上で設計用水平震度KHを1.5以上としている。</t>
  </si>
  <si>
    <t>③精密機器（データ伝送装置、中継装置、変換装置を指す。MDFや光ファイバーEthernetなど）の浸水による情報網の損傷を回避するために、ア)あるいはイ)の対策を講じている、あるいはウ)に該当している。
ア) 精密機械の地下空間への設置を避けている。
イ) 地下への浸水の防止措置(防水扉、防水板、マウンドアップ、からぼり)、排水設備(ポンプ等)を設置している。
ウ) 浸水の危険性がない。</t>
    <phoneticPr fontId="21"/>
  </si>
  <si>
    <t>評価する取組みが4つ以上。</t>
    <rPh sb="10" eb="12">
      <t>イジョウ</t>
    </rPh>
    <phoneticPr fontId="21"/>
  </si>
  <si>
    <t>④災害時の有線電話、FAX、地域防災無線が設置されている。</t>
    <phoneticPr fontId="21"/>
  </si>
  <si>
    <t>⑤災害時にケーブルTV などにより災害情報が入手できる。</t>
    <phoneticPr fontId="21"/>
  </si>
  <si>
    <t>⑥ネットワーク機器用に無停電装置が設備されている。</t>
    <phoneticPr fontId="21"/>
  </si>
  <si>
    <t>主要設備機器の更新に対応したルート又はマシンハッチが確保されておらず、更新・修繕時に建物機能を維持できない状況。</t>
    <phoneticPr fontId="21"/>
  </si>
  <si>
    <t>主要設備機器の更新に対応したルート又はマシンハッチが確保されているが、更新・修繕時に建物機能を維持できない状況。</t>
    <phoneticPr fontId="21"/>
  </si>
  <si>
    <t>主要設備機器の更新に対応したルート又はマシンハッチが確保され、かつ更新・修繕時に建物機能を維持できる状況。</t>
    <phoneticPr fontId="21"/>
  </si>
  <si>
    <t>主要設備機器の更新に対応した仮設スペースが確保でき、かつ更新・修繕時に建物機能を維持できる状況。</t>
    <phoneticPr fontId="21"/>
  </si>
  <si>
    <t>構造耐力上主要な部分にリサイクル資材をひとつも用いていない。</t>
    <rPh sb="0" eb="2">
      <t>コウゾウ</t>
    </rPh>
    <rPh sb="2" eb="4">
      <t>タイリョク</t>
    </rPh>
    <rPh sb="4" eb="5">
      <t>ジョウ</t>
    </rPh>
    <rPh sb="5" eb="7">
      <t>シュヨウ</t>
    </rPh>
    <rPh sb="8" eb="10">
      <t>ブブン</t>
    </rPh>
    <rPh sb="16" eb="18">
      <t>シザイ</t>
    </rPh>
    <rPh sb="23" eb="24">
      <t>モチ</t>
    </rPh>
    <phoneticPr fontId="21"/>
  </si>
  <si>
    <t>構造耐力上主要な部分にリサイクル資材を用いている。</t>
    <rPh sb="0" eb="2">
      <t>コウゾウ</t>
    </rPh>
    <rPh sb="2" eb="4">
      <t>タイリョク</t>
    </rPh>
    <rPh sb="4" eb="5">
      <t>ジョウ</t>
    </rPh>
    <rPh sb="5" eb="7">
      <t>シュヨウ</t>
    </rPh>
    <rPh sb="8" eb="10">
      <t>ブブン</t>
    </rPh>
    <rPh sb="16" eb="18">
      <t>シザイ</t>
    </rPh>
    <rPh sb="19" eb="20">
      <t>モチ</t>
    </rPh>
    <phoneticPr fontId="21"/>
  </si>
  <si>
    <t>躯体材料以外におけるリサイクル材の使用</t>
    <rPh sb="0" eb="2">
      <t>クタイ</t>
    </rPh>
    <rPh sb="2" eb="4">
      <t>ザイリョウ</t>
    </rPh>
    <rPh sb="4" eb="6">
      <t>イガイ</t>
    </rPh>
    <rPh sb="15" eb="16">
      <t>ザイ</t>
    </rPh>
    <rPh sb="17" eb="19">
      <t>シヨウ</t>
    </rPh>
    <phoneticPr fontId="21"/>
  </si>
  <si>
    <t>再利用できるユニット部材を用いている。</t>
    <phoneticPr fontId="21"/>
  </si>
  <si>
    <t>構造部材あるいはそのユニットが容易に分解でき、再利用できる。</t>
    <phoneticPr fontId="21"/>
  </si>
  <si>
    <t>不活性ガス消火剤を使用している。または、ODPが0でGWPが50未満のものを使用している。</t>
    <rPh sb="0" eb="3">
      <t>フカッセイ</t>
    </rPh>
    <rPh sb="5" eb="8">
      <t>ショウカザイ</t>
    </rPh>
    <rPh sb="9" eb="11">
      <t>シヨウ</t>
    </rPh>
    <rPh sb="32" eb="34">
      <t>ミマン</t>
    </rPh>
    <rPh sb="38" eb="40">
      <t>シヨウ</t>
    </rPh>
    <phoneticPr fontId="21"/>
  </si>
  <si>
    <t>１地域</t>
    <rPh sb="1" eb="3">
      <t>チイキ</t>
    </rPh>
    <phoneticPr fontId="21"/>
  </si>
  <si>
    <t>２地域</t>
    <rPh sb="1" eb="3">
      <t>チイキ</t>
    </rPh>
    <phoneticPr fontId="21"/>
  </si>
  <si>
    <t>３地域</t>
    <rPh sb="1" eb="3">
      <t>チイキ</t>
    </rPh>
    <phoneticPr fontId="21"/>
  </si>
  <si>
    <t>４地域</t>
    <rPh sb="1" eb="3">
      <t>チイキ</t>
    </rPh>
    <phoneticPr fontId="21"/>
  </si>
  <si>
    <t>５地域</t>
    <rPh sb="1" eb="3">
      <t>チイキ</t>
    </rPh>
    <phoneticPr fontId="21"/>
  </si>
  <si>
    <t>６地域</t>
    <rPh sb="1" eb="3">
      <t>チイキ</t>
    </rPh>
    <phoneticPr fontId="21"/>
  </si>
  <si>
    <t>７地域</t>
    <rPh sb="1" eb="3">
      <t>チイキ</t>
    </rPh>
    <phoneticPr fontId="21"/>
  </si>
  <si>
    <t>８地域</t>
    <rPh sb="1" eb="3">
      <t>チイキ</t>
    </rPh>
    <phoneticPr fontId="21"/>
  </si>
  <si>
    <t>９地域</t>
    <rPh sb="1" eb="3">
      <t>チイキ</t>
    </rPh>
    <phoneticPr fontId="21"/>
  </si>
  <si>
    <t>自然エネルギー直接利用量</t>
    <rPh sb="0" eb="2">
      <t>シゼン</t>
    </rPh>
    <rPh sb="7" eb="9">
      <t>チョクセツ</t>
    </rPh>
    <rPh sb="9" eb="11">
      <t>リヨウ</t>
    </rPh>
    <rPh sb="11" eb="12">
      <t>リョウ</t>
    </rPh>
    <phoneticPr fontId="21"/>
  </si>
  <si>
    <t>MＪ／年㎡　（変換利用量は含まない）</t>
    <rPh sb="7" eb="9">
      <t>ヘンカン</t>
    </rPh>
    <rPh sb="9" eb="11">
      <t>リヨウ</t>
    </rPh>
    <rPh sb="11" eb="12">
      <t>リョウ</t>
    </rPh>
    <rPh sb="13" eb="14">
      <t>フク</t>
    </rPh>
    <phoneticPr fontId="21"/>
  </si>
  <si>
    <t>屋上（屋根）・外壁仕上げ材の更新</t>
    <rPh sb="0" eb="2">
      <t>オクジョウ</t>
    </rPh>
    <rPh sb="3" eb="5">
      <t>ヤネ</t>
    </rPh>
    <rPh sb="7" eb="9">
      <t>ガイヘキ</t>
    </rPh>
    <rPh sb="9" eb="11">
      <t>シア</t>
    </rPh>
    <rPh sb="12" eb="13">
      <t>ザイ</t>
    </rPh>
    <rPh sb="14" eb="16">
      <t>コウシン</t>
    </rPh>
    <phoneticPr fontId="21"/>
  </si>
  <si>
    <t>配管・配線材の更新</t>
    <rPh sb="0" eb="2">
      <t>ハイカン</t>
    </rPh>
    <rPh sb="3" eb="5">
      <t>ハイセン</t>
    </rPh>
    <rPh sb="5" eb="6">
      <t>ザイ</t>
    </rPh>
    <rPh sb="7" eb="9">
      <t>コウシン</t>
    </rPh>
    <phoneticPr fontId="21"/>
  </si>
  <si>
    <t>信頼性</t>
    <rPh sb="0" eb="3">
      <t>シンライセイ</t>
    </rPh>
    <phoneticPr fontId="21"/>
  </si>
  <si>
    <t>空調・換気設備</t>
    <rPh sb="0" eb="2">
      <t>クウチョウ</t>
    </rPh>
    <rPh sb="3" eb="5">
      <t>カンキ</t>
    </rPh>
    <rPh sb="5" eb="7">
      <t>セツビ</t>
    </rPh>
    <phoneticPr fontId="21"/>
  </si>
  <si>
    <t>給排水・衛生設備</t>
    <rPh sb="0" eb="3">
      <t>キュウハイスイ</t>
    </rPh>
    <rPh sb="4" eb="6">
      <t>エイセイ</t>
    </rPh>
    <rPh sb="6" eb="8">
      <t>セツビ</t>
    </rPh>
    <phoneticPr fontId="21"/>
  </si>
  <si>
    <t>電気設備</t>
    <rPh sb="0" eb="2">
      <t>デンキ</t>
    </rPh>
    <rPh sb="2" eb="4">
      <t>セツビ</t>
    </rPh>
    <phoneticPr fontId="21"/>
  </si>
  <si>
    <t>地域性・文化</t>
    <rPh sb="0" eb="3">
      <t>チイキセイ</t>
    </rPh>
    <rPh sb="4" eb="6">
      <t>ブンカ</t>
    </rPh>
    <phoneticPr fontId="21"/>
  </si>
  <si>
    <t>空気質環境</t>
    <rPh sb="3" eb="5">
      <t>カンキョウ</t>
    </rPh>
    <phoneticPr fontId="21"/>
  </si>
  <si>
    <t>LR-2 資源ﾏﾃﾘｱﾙ</t>
    <rPh sb="5" eb="7">
      <t>シゲン</t>
    </rPh>
    <phoneticPr fontId="21"/>
  </si>
  <si>
    <t>日本住宅性能表示基準「5-1断熱等性能等級」における等級1相当の屋根・外壁・床の部材構成、開口部の仕様を設定している。</t>
    <rPh sb="14" eb="16">
      <t>ダンネツ</t>
    </rPh>
    <rPh sb="16" eb="17">
      <t>トウ</t>
    </rPh>
    <rPh sb="17" eb="19">
      <t>セイノウ</t>
    </rPh>
    <rPh sb="19" eb="21">
      <t>トウキュウ</t>
    </rPh>
    <phoneticPr fontId="21"/>
  </si>
  <si>
    <t>振動規制法に定める現行の規制基準*1を上回っている</t>
    <rPh sb="0" eb="2">
      <t>シンドウ</t>
    </rPh>
    <rPh sb="2" eb="5">
      <t>キセイホウ</t>
    </rPh>
    <rPh sb="6" eb="7">
      <t>サダ</t>
    </rPh>
    <rPh sb="9" eb="11">
      <t>ゲンコウ</t>
    </rPh>
    <rPh sb="12" eb="14">
      <t>キセイ</t>
    </rPh>
    <rPh sb="14" eb="16">
      <t>キジュン</t>
    </rPh>
    <rPh sb="19" eb="21">
      <t>ウワマワ</t>
    </rPh>
    <phoneticPr fontId="21"/>
  </si>
  <si>
    <t>振動規制法に定める特定施設を含む建物を対象とする。これらに当てはまらない場合は対象外とする。</t>
    <rPh sb="0" eb="2">
      <t>シンドウ</t>
    </rPh>
    <rPh sb="2" eb="4">
      <t>キセイ</t>
    </rPh>
    <rPh sb="4" eb="5">
      <t>ホウ</t>
    </rPh>
    <rPh sb="6" eb="7">
      <t>サダ</t>
    </rPh>
    <rPh sb="9" eb="11">
      <t>トクテイ</t>
    </rPh>
    <rPh sb="11" eb="13">
      <t>シセツ</t>
    </rPh>
    <rPh sb="14" eb="15">
      <t>フク</t>
    </rPh>
    <rPh sb="16" eb="18">
      <t>タテモノ</t>
    </rPh>
    <rPh sb="19" eb="21">
      <t>タイショウ</t>
    </rPh>
    <rPh sb="29" eb="30">
      <t>ア</t>
    </rPh>
    <rPh sb="36" eb="38">
      <t>バアイ</t>
    </rPh>
    <rPh sb="39" eb="42">
      <t>タイショウガイ</t>
    </rPh>
    <phoneticPr fontId="21"/>
  </si>
  <si>
    <t>振動規制法に定める現行の規制基準*1以下に抑えられている</t>
    <rPh sb="0" eb="2">
      <t>シンドウ</t>
    </rPh>
    <rPh sb="2" eb="5">
      <t>キセイホウ</t>
    </rPh>
    <rPh sb="6" eb="7">
      <t>サダ</t>
    </rPh>
    <rPh sb="9" eb="11">
      <t>ゲンコウ</t>
    </rPh>
    <rPh sb="12" eb="14">
      <t>キセイ</t>
    </rPh>
    <rPh sb="14" eb="16">
      <t>キジュン</t>
    </rPh>
    <rPh sb="18" eb="20">
      <t>イカ</t>
    </rPh>
    <rPh sb="21" eb="22">
      <t>オサ</t>
    </rPh>
    <phoneticPr fontId="21"/>
  </si>
  <si>
    <t>振動規制法に定める現行の規制基準*1より大幅*2に抑えられている</t>
    <phoneticPr fontId="21"/>
  </si>
  <si>
    <t>事・学・物・飲・会・病・ホ・工・住</t>
    <phoneticPr fontId="21"/>
  </si>
  <si>
    <t>建物外壁（ガラスを含む）の反射光（グレア）の発生を低減させる取組みを行っている。</t>
  </si>
  <si>
    <t>レベル4に加え、シミュレーションの実施等により大幅な低減効果を確認するなど、より高度な取組みを行っている。</t>
  </si>
  <si>
    <t>フライアッシュセメント</t>
    <phoneticPr fontId="21"/>
  </si>
  <si>
    <t>エコセメント</t>
    <phoneticPr fontId="21"/>
  </si>
  <si>
    <t>高炉セメント</t>
    <rPh sb="0" eb="2">
      <t>コウロ</t>
    </rPh>
    <phoneticPr fontId="21"/>
  </si>
  <si>
    <t>・グリーン購入法特定調達物品情報提供システム　（http://www.env.go.jp/policy/hozen/green/g-law/gpl-db/index.html）</t>
    <phoneticPr fontId="21"/>
  </si>
  <si>
    <t>・エコマーク事務局HP（財団法人日本環境協会）　（http://www.ecomark.jp/search/search.php）</t>
    <rPh sb="6" eb="9">
      <t>ジムキョク</t>
    </rPh>
    <rPh sb="12" eb="14">
      <t>ザイダン</t>
    </rPh>
    <rPh sb="14" eb="16">
      <t>ホウジン</t>
    </rPh>
    <rPh sb="16" eb="18">
      <t>ニホン</t>
    </rPh>
    <rPh sb="18" eb="20">
      <t>カンキョウ</t>
    </rPh>
    <rPh sb="20" eb="22">
      <t>キョウカイ</t>
    </rPh>
    <phoneticPr fontId="21"/>
  </si>
  <si>
    <t>陶磁器質タイル</t>
    <rPh sb="0" eb="3">
      <t>トウジキ</t>
    </rPh>
    <rPh sb="3" eb="4">
      <t>シツ</t>
    </rPh>
    <phoneticPr fontId="21"/>
  </si>
  <si>
    <t>再生加熱アスファルト混合物</t>
    <rPh sb="0" eb="2">
      <t>サイセイ</t>
    </rPh>
    <rPh sb="2" eb="4">
      <t>カネツ</t>
    </rPh>
    <rPh sb="10" eb="12">
      <t>コンゴウ</t>
    </rPh>
    <rPh sb="12" eb="13">
      <t>ブツ</t>
    </rPh>
    <phoneticPr fontId="21"/>
  </si>
  <si>
    <t>合板</t>
  </si>
  <si>
    <t>鉄鋼スラグ混入アスファルト混合物</t>
    <rPh sb="0" eb="2">
      <t>テッコウ</t>
    </rPh>
    <rPh sb="5" eb="7">
      <t>コンニュウ</t>
    </rPh>
    <rPh sb="13" eb="15">
      <t>コンゴウ</t>
    </rPh>
    <rPh sb="15" eb="16">
      <t>ブツ</t>
    </rPh>
    <phoneticPr fontId="21"/>
  </si>
  <si>
    <t>単板積層材</t>
  </si>
  <si>
    <t>フローリング</t>
  </si>
  <si>
    <t>パーティクルボード</t>
    <phoneticPr fontId="21"/>
  </si>
  <si>
    <t>鉄鋼ズラグブロック</t>
    <phoneticPr fontId="21"/>
  </si>
  <si>
    <t>フライアッシュを用いた吹付けコンクリート</t>
    <rPh sb="8" eb="9">
      <t>モチ</t>
    </rPh>
    <rPh sb="11" eb="13">
      <t>フキツ</t>
    </rPh>
    <phoneticPr fontId="21"/>
  </si>
  <si>
    <t>ビニル系床材</t>
    <phoneticPr fontId="21"/>
  </si>
  <si>
    <t>エコマークを取得したタイル・ブロック（エコマーク商品類型109）</t>
    <phoneticPr fontId="21"/>
  </si>
  <si>
    <t>ボード</t>
    <phoneticPr fontId="21"/>
  </si>
  <si>
    <t>屋内用品（壁材などの内装材））</t>
    <phoneticPr fontId="21"/>
  </si>
  <si>
    <t>壁紙</t>
    <phoneticPr fontId="21"/>
  </si>
  <si>
    <t>フリーアクセスフロア</t>
    <phoneticPr fontId="21"/>
  </si>
  <si>
    <t>・グリーン購入法特定調達物品情報提供システム　（http://www.env.go.jp/policy/hozen/green/g-law/gpl-db/index.html）</t>
    <phoneticPr fontId="21"/>
  </si>
  <si>
    <t>冷媒ガスを使用していない場合は、評価対象外</t>
    <phoneticPr fontId="21"/>
  </si>
  <si>
    <t>消火設備が全く無い場合やスプリンクラーのみの場合、ガス消火設備がない場合は対象外とする
消火器は対象外とする</t>
    <phoneticPr fontId="21"/>
  </si>
  <si>
    <t>事・学・物・飲・会・病・ホ・住・工</t>
    <rPh sb="0" eb="1">
      <t>コト</t>
    </rPh>
    <rPh sb="2" eb="3">
      <t>ガク</t>
    </rPh>
    <rPh sb="4" eb="5">
      <t>モノ</t>
    </rPh>
    <rPh sb="6" eb="7">
      <t>ノ</t>
    </rPh>
    <rPh sb="8" eb="9">
      <t>カイ</t>
    </rPh>
    <rPh sb="10" eb="11">
      <t>ヤマイ</t>
    </rPh>
    <rPh sb="14" eb="15">
      <t>ジュウ</t>
    </rPh>
    <rPh sb="16" eb="17">
      <t>コウ</t>
    </rPh>
    <phoneticPr fontId="21"/>
  </si>
  <si>
    <t/>
  </si>
  <si>
    <r>
      <t xml:space="preserve">3.3.4 </t>
    </r>
    <r>
      <rPr>
        <b/>
        <sz val="10"/>
        <rFont val="ＭＳ Ｐゴシック"/>
        <family val="3"/>
        <charset val="128"/>
      </rPr>
      <t>通信配線の更新性</t>
    </r>
    <phoneticPr fontId="21"/>
  </si>
  <si>
    <t>構造部材を痛めることなく電気配線の更新・修繕ができる。</t>
    <phoneticPr fontId="21"/>
  </si>
  <si>
    <t>構造部材を痛めることなく通信配線の更新・修繕ができる。</t>
    <phoneticPr fontId="21"/>
  </si>
  <si>
    <t xml:space="preserve"> </t>
    <phoneticPr fontId="21"/>
  </si>
  <si>
    <t>加湿・除湿機能を有し、45％～55％の快適範囲を設定し、なおかつ、熱橋となる部分の断熱補強、防湿層、通気層の設置等の結露防止対策がとられている。</t>
    <phoneticPr fontId="21"/>
  </si>
  <si>
    <t>⑨　バルブ等の日常的に調整が必要な機器は、操作が容易な位置に設定されている。</t>
    <phoneticPr fontId="21"/>
  </si>
  <si>
    <t>⑪　天井隠蔽機器の点検口は600mm×600mm以上としている。</t>
    <phoneticPr fontId="21"/>
  </si>
  <si>
    <t>非住宅部分</t>
    <rPh sb="0" eb="1">
      <t>ヒ</t>
    </rPh>
    <rPh sb="1" eb="3">
      <t>ジュウタク</t>
    </rPh>
    <rPh sb="3" eb="5">
      <t>ブブン</t>
    </rPh>
    <phoneticPr fontId="21"/>
  </si>
  <si>
    <t>効率的な運用低減率</t>
    <rPh sb="0" eb="2">
      <t>コウリツ</t>
    </rPh>
    <rPh sb="2" eb="3">
      <t>テキ</t>
    </rPh>
    <rPh sb="4" eb="6">
      <t>ウンヨウ</t>
    </rPh>
    <rPh sb="6" eb="8">
      <t>テイゲン</t>
    </rPh>
    <rPh sb="8" eb="9">
      <t>リツ</t>
    </rPh>
    <phoneticPr fontId="21"/>
  </si>
  <si>
    <t>(GJ/年）</t>
    <rPh sb="4" eb="5">
      <t>ネン</t>
    </rPh>
    <phoneticPr fontId="21"/>
  </si>
  <si>
    <t>削減分</t>
    <rPh sb="0" eb="2">
      <t>サクゲン</t>
    </rPh>
    <rPh sb="2" eb="3">
      <t>ブン</t>
    </rPh>
    <phoneticPr fontId="21"/>
  </si>
  <si>
    <t>歴史的建造物の外装、既存の自然環境等を保存、復元、再生することにより、景観的に地域の歴史性を継承している。</t>
    <phoneticPr fontId="21"/>
  </si>
  <si>
    <t>地域性のある素材を外装材に使用して、良好な景観を形成している。</t>
    <phoneticPr fontId="21"/>
  </si>
  <si>
    <t xml:space="preserve">周辺にある公園や広場等の人が集まる場所や遠くから対象建物を含む一帯を眺める地点（視点場）からの良好な景観を形成している。   </t>
    <phoneticPr fontId="21"/>
  </si>
  <si>
    <t>その他（記述）</t>
    <phoneticPr fontId="21"/>
  </si>
  <si>
    <t>合計＝</t>
    <phoneticPr fontId="21"/>
  </si>
  <si>
    <t>→</t>
    <phoneticPr fontId="21"/>
  </si>
  <si>
    <t>I 地域固有の風土、歴史、文化の
継承</t>
    <phoneticPr fontId="21"/>
  </si>
  <si>
    <t>1）歴史的な建築空間等の保全
歴史的な建築内外部空間や遺構を保存、復元、再生し、地域文化に貢献している。（まちなみ・景観で評価している部分はここで重複して評価しない）</t>
    <phoneticPr fontId="21"/>
  </si>
  <si>
    <t>II 空間・施設機能の提供による地域
貢献</t>
    <phoneticPr fontId="21"/>
  </si>
  <si>
    <t>評価する取組み表の評価ポイントの合計値が4ポイント</t>
    <phoneticPr fontId="21"/>
  </si>
  <si>
    <t>1～2</t>
    <phoneticPr fontId="21"/>
  </si>
  <si>
    <t>広告物照明について「広告物照明の扱い」の配慮事項の一部を満たしている。（1ポイント）</t>
    <phoneticPr fontId="21"/>
  </si>
  <si>
    <t>「広告物照明の扱い」の配慮事項の過半を満たしている場合、または広告物照明を行っていない（2ポイント）</t>
    <phoneticPr fontId="21"/>
  </si>
  <si>
    <r>
      <t>3.3.2</t>
    </r>
    <r>
      <rPr>
        <b/>
        <sz val="10"/>
        <rFont val="ＭＳ Ｐゴシック"/>
        <family val="3"/>
        <charset val="128"/>
      </rPr>
      <t>　昼光の建物外壁による反射光（グレア）への対策</t>
    </r>
    <phoneticPr fontId="21"/>
  </si>
  <si>
    <t>消火剤</t>
    <rPh sb="0" eb="3">
      <t>ショウカザイ</t>
    </rPh>
    <phoneticPr fontId="21"/>
  </si>
  <si>
    <t>発泡剤（断熱材等）</t>
    <rPh sb="0" eb="2">
      <t>ハッポウ</t>
    </rPh>
    <rPh sb="2" eb="3">
      <t>ザイ</t>
    </rPh>
    <rPh sb="4" eb="7">
      <t>ダンネツザイ</t>
    </rPh>
    <rPh sb="7" eb="8">
      <t>トウ</t>
    </rPh>
    <phoneticPr fontId="21"/>
  </si>
  <si>
    <t>冷媒</t>
    <rPh sb="0" eb="2">
      <t>レイバイ</t>
    </rPh>
    <phoneticPr fontId="21"/>
  </si>
  <si>
    <t>対応性・更新性</t>
  </si>
  <si>
    <t xml:space="preserve"> Q2 3</t>
  </si>
  <si>
    <t xml:space="preserve"> Q2 3.1</t>
  </si>
  <si>
    <t>階高のゆとり</t>
  </si>
  <si>
    <t>空間の形状・自由さ</t>
  </si>
  <si>
    <t xml:space="preserve"> Q2 3.3</t>
  </si>
  <si>
    <t>空調配管の更新性</t>
  </si>
  <si>
    <t>給排水管の更新性</t>
  </si>
  <si>
    <t>電気配線の更新性</t>
  </si>
  <si>
    <t>通信配線の更新性</t>
  </si>
  <si>
    <t>設備機器の更新性</t>
  </si>
  <si>
    <t xml:space="preserve"> Q3</t>
  </si>
  <si>
    <t>生物資源の保全と創出</t>
    <rPh sb="2" eb="4">
      <t>シゲン</t>
    </rPh>
    <phoneticPr fontId="21"/>
  </si>
  <si>
    <t xml:space="preserve"> Q3 3</t>
  </si>
  <si>
    <t xml:space="preserve"> </t>
  </si>
  <si>
    <t>建築物の環境負荷低減性</t>
    <rPh sb="0" eb="3">
      <t>ケンチクブツ</t>
    </rPh>
    <rPh sb="4" eb="6">
      <t>カンキョウ</t>
    </rPh>
    <rPh sb="6" eb="8">
      <t>フカ</t>
    </rPh>
    <rPh sb="8" eb="10">
      <t>テイゲン</t>
    </rPh>
    <rPh sb="10" eb="11">
      <t>セイ</t>
    </rPh>
    <phoneticPr fontId="21"/>
  </si>
  <si>
    <t>LR</t>
  </si>
  <si>
    <t>LR1 2</t>
  </si>
  <si>
    <t>LR1 4</t>
  </si>
  <si>
    <t>LR2 1</t>
  </si>
  <si>
    <t>雨水利用・雑排水再利用</t>
    <rPh sb="0" eb="2">
      <t>ｳｽｲ</t>
    </rPh>
    <rPh sb="2" eb="4">
      <t>ﾘﾖｳ</t>
    </rPh>
    <rPh sb="5" eb="8">
      <t>ｻﾞﾂﾊｲｽｲ</t>
    </rPh>
    <rPh sb="8" eb="9">
      <t>ｻｲ</t>
    </rPh>
    <rPh sb="9" eb="11">
      <t>ﾘﾖｳ</t>
    </rPh>
    <phoneticPr fontId="34" type="noConversion"/>
  </si>
  <si>
    <t>LR2 1.2</t>
  </si>
  <si>
    <t>雑排水等再利用システム導入の有無</t>
  </si>
  <si>
    <t>LR2 2</t>
  </si>
  <si>
    <t>LR2 3</t>
  </si>
  <si>
    <t>フロン・ハロンの回避</t>
  </si>
  <si>
    <r>
      <t>kg-CO</t>
    </r>
    <r>
      <rPr>
        <vertAlign val="subscript"/>
        <sz val="10"/>
        <rFont val="ＭＳ Ｐゴシック"/>
        <family val="3"/>
        <charset val="128"/>
      </rPr>
      <t>2</t>
    </r>
    <r>
      <rPr>
        <sz val="10"/>
        <rFont val="ＭＳ Ｐゴシック"/>
        <family val="3"/>
        <charset val="128"/>
      </rPr>
      <t>/MJ</t>
    </r>
    <phoneticPr fontId="21"/>
  </si>
  <si>
    <r>
      <t>kg-CO</t>
    </r>
    <r>
      <rPr>
        <vertAlign val="subscript"/>
        <sz val="10"/>
        <rFont val="ＭＳ Ｐゴシック"/>
        <family val="3"/>
        <charset val="128"/>
      </rPr>
      <t>2</t>
    </r>
    <r>
      <rPr>
        <sz val="10"/>
        <rFont val="ＭＳ Ｐゴシック"/>
        <family val="3"/>
        <charset val="128"/>
      </rPr>
      <t>/ｋWh</t>
    </r>
    <phoneticPr fontId="21"/>
  </si>
  <si>
    <t>ガス</t>
    <phoneticPr fontId="21"/>
  </si>
  <si>
    <r>
      <t>kg-CO</t>
    </r>
    <r>
      <rPr>
        <vertAlign val="superscript"/>
        <sz val="10"/>
        <rFont val="ＭＳ Ｐゴシック"/>
        <family val="3"/>
        <charset val="128"/>
      </rPr>
      <t>2</t>
    </r>
    <r>
      <rPr>
        <sz val="10"/>
        <rFont val="ＭＳ Ｐゴシック"/>
        <family val="3"/>
        <charset val="128"/>
      </rPr>
      <t>/MJ</t>
    </r>
    <phoneticPr fontId="21"/>
  </si>
  <si>
    <r>
      <t>■LCCO</t>
    </r>
    <r>
      <rPr>
        <b/>
        <vertAlign val="subscript"/>
        <sz val="12"/>
        <rFont val="ＭＳ Ｐゴシック"/>
        <family val="3"/>
        <charset val="128"/>
      </rPr>
      <t>2</t>
    </r>
    <r>
      <rPr>
        <b/>
        <sz val="12"/>
        <rFont val="ＭＳ Ｐゴシック"/>
        <family val="3"/>
        <charset val="128"/>
      </rPr>
      <t>算定条件シート(個別計算）</t>
    </r>
    <rPh sb="14" eb="16">
      <t>コベツ</t>
    </rPh>
    <rPh sb="16" eb="18">
      <t>ケイサン</t>
    </rPh>
    <phoneticPr fontId="21"/>
  </si>
  <si>
    <t>バウンダリー</t>
    <phoneticPr fontId="21"/>
  </si>
  <si>
    <t>○○　</t>
    <phoneticPr fontId="21"/>
  </si>
  <si>
    <t>〃</t>
    <phoneticPr fontId="21"/>
  </si>
  <si>
    <t>○○</t>
    <phoneticPr fontId="21"/>
  </si>
  <si>
    <t>○○</t>
    <phoneticPr fontId="21"/>
  </si>
  <si>
    <t>○○</t>
    <phoneticPr fontId="21"/>
  </si>
  <si>
    <t>○○</t>
    <phoneticPr fontId="21"/>
  </si>
  <si>
    <t>○○</t>
    <phoneticPr fontId="21"/>
  </si>
  <si>
    <t>修繕・更新・</t>
    <phoneticPr fontId="21"/>
  </si>
  <si>
    <t>③上記+②以外の
　オンサイト手法</t>
    <phoneticPr fontId="21"/>
  </si>
  <si>
    <t>－</t>
    <phoneticPr fontId="21"/>
  </si>
  <si>
    <t>外気冷房効果</t>
  </si>
  <si>
    <t>無音室</t>
    <rPh sb="0" eb="2">
      <t>ムオン</t>
    </rPh>
    <rPh sb="2" eb="3">
      <t>シツ</t>
    </rPh>
    <phoneticPr fontId="21"/>
  </si>
  <si>
    <t>主調整室</t>
    <rPh sb="0" eb="1">
      <t>シュ</t>
    </rPh>
    <rPh sb="1" eb="4">
      <t>チョウセイシツ</t>
    </rPh>
    <phoneticPr fontId="21"/>
  </si>
  <si>
    <t>一般事務室</t>
    <rPh sb="0" eb="2">
      <t>イッパン</t>
    </rPh>
    <rPh sb="2" eb="5">
      <t>ジムシツ</t>
    </rPh>
    <phoneticPr fontId="21"/>
  </si>
  <si>
    <t>集会・ホール</t>
    <rPh sb="0" eb="2">
      <t>シュウカイ</t>
    </rPh>
    <phoneticPr fontId="21"/>
  </si>
  <si>
    <t>音楽堂</t>
    <rPh sb="0" eb="3">
      <t>オンガクドウ</t>
    </rPh>
    <phoneticPr fontId="21"/>
  </si>
  <si>
    <t>劇場（中）</t>
    <rPh sb="0" eb="2">
      <t>ゲキジョウ</t>
    </rPh>
    <rPh sb="3" eb="4">
      <t>チュウ</t>
    </rPh>
    <phoneticPr fontId="21"/>
  </si>
  <si>
    <t>舞台劇場</t>
    <rPh sb="0" eb="2">
      <t>ブタイ</t>
    </rPh>
    <rPh sb="2" eb="4">
      <t>ゲキジョウ</t>
    </rPh>
    <phoneticPr fontId="21"/>
  </si>
  <si>
    <t>映画館・プラネタリウム</t>
    <rPh sb="0" eb="3">
      <t>エイガカン</t>
    </rPh>
    <phoneticPr fontId="21"/>
  </si>
  <si>
    <t>聴力試験室</t>
    <rPh sb="0" eb="2">
      <t>チョウリョク</t>
    </rPh>
    <rPh sb="2" eb="4">
      <t>シケン</t>
    </rPh>
    <rPh sb="4" eb="5">
      <t>シツ</t>
    </rPh>
    <phoneticPr fontId="21"/>
  </si>
  <si>
    <t>特別病室</t>
    <rPh sb="0" eb="2">
      <t>トクベツ</t>
    </rPh>
    <rPh sb="2" eb="4">
      <t>ビョウシツ</t>
    </rPh>
    <phoneticPr fontId="21"/>
  </si>
  <si>
    <t>排出係数の設定</t>
    <rPh sb="0" eb="2">
      <t>ハイシュツ</t>
    </rPh>
    <rPh sb="2" eb="4">
      <t>ケイスウ</t>
    </rPh>
    <rPh sb="5" eb="7">
      <t>セッテイ</t>
    </rPh>
    <phoneticPr fontId="21"/>
  </si>
  <si>
    <t>対策を行っている（評価する取組みにおいて2項目以上を採用）</t>
    <phoneticPr fontId="21"/>
  </si>
  <si>
    <t>取組みなし。</t>
    <phoneticPr fontId="21"/>
  </si>
  <si>
    <t>エネルギー消費に関する表示機器、負荷低減装置等を採用している。</t>
    <phoneticPr fontId="21"/>
  </si>
  <si>
    <t>エネルギーを管理する仕組みがあり、それにより消費エネルギーの削減が可能である取組みがなされている。</t>
    <phoneticPr fontId="21"/>
  </si>
  <si>
    <t>内装材と設備が錯綜せず、解体・改修・更新の際に、容易にそれぞれを取り外すことができる。</t>
  </si>
  <si>
    <t>化学物質排出把握管理促進法の対象物質を含有しない建材種別がない。または確認していない。</t>
  </si>
  <si>
    <t>化学物質排出把握管理促進法の対象物質を含有しない建材種別が1つ以上～3つ以下ある。</t>
    <rPh sb="36" eb="38">
      <t>イカ</t>
    </rPh>
    <phoneticPr fontId="21"/>
  </si>
  <si>
    <t>化学物質排出把握管理促進法の対象物質を含有しない建材種別が4つ以上ある。</t>
    <rPh sb="31" eb="33">
      <t>イジョウ</t>
    </rPh>
    <phoneticPr fontId="21"/>
  </si>
  <si>
    <t>評価対象とする建材種別</t>
    <rPh sb="0" eb="2">
      <t>ヒョウカ</t>
    </rPh>
    <rPh sb="2" eb="4">
      <t>タイショウ</t>
    </rPh>
    <rPh sb="9" eb="11">
      <t>シュベツ</t>
    </rPh>
    <phoneticPr fontId="21"/>
  </si>
  <si>
    <t>指定化学物質の含有</t>
    <rPh sb="0" eb="2">
      <t>シテイ</t>
    </rPh>
    <rPh sb="2" eb="4">
      <t>カガク</t>
    </rPh>
    <rPh sb="4" eb="6">
      <t>ブッシツ</t>
    </rPh>
    <phoneticPr fontId="21"/>
  </si>
  <si>
    <t>分類</t>
    <rPh sb="0" eb="2">
      <t>ブンルイ</t>
    </rPh>
    <phoneticPr fontId="21"/>
  </si>
  <si>
    <t>複数ベッド単位で照明制御できる、または、照明制御盤・器具等で調整できる。</t>
    <rPh sb="8" eb="10">
      <t>ショウメイ</t>
    </rPh>
    <rPh sb="10" eb="12">
      <t>セイギョ</t>
    </rPh>
    <rPh sb="20" eb="22">
      <t>ショウメイ</t>
    </rPh>
    <rPh sb="22" eb="25">
      <t>セイギョバン</t>
    </rPh>
    <phoneticPr fontId="21"/>
  </si>
  <si>
    <t>代替値</t>
    <phoneticPr fontId="21"/>
  </si>
  <si>
    <t>根拠等</t>
    <rPh sb="0" eb="2">
      <t>コンキョ</t>
    </rPh>
    <rPh sb="2" eb="3">
      <t>トウ</t>
    </rPh>
    <phoneticPr fontId="21"/>
  </si>
  <si>
    <r>
      <t xml:space="preserve"> [</t>
    </r>
    <r>
      <rPr>
        <sz val="11"/>
        <rFont val="ＭＳ Ｐゴシック"/>
        <family val="3"/>
        <charset val="128"/>
      </rPr>
      <t>2</t>
    </r>
    <r>
      <rPr>
        <sz val="11"/>
        <rFont val="ＭＳ Ｐゴシック"/>
        <family val="3"/>
        <charset val="128"/>
      </rPr>
      <t>]代替値</t>
    </r>
    <rPh sb="4" eb="6">
      <t>ダイタイ</t>
    </rPh>
    <rPh sb="6" eb="7">
      <t>チ</t>
    </rPh>
    <phoneticPr fontId="21"/>
  </si>
  <si>
    <t>降順並び替え</t>
    <rPh sb="0" eb="2">
      <t>コウジュン</t>
    </rPh>
    <rPh sb="2" eb="3">
      <t>ナラ</t>
    </rPh>
    <rPh sb="4" eb="5">
      <t>カ</t>
    </rPh>
    <phoneticPr fontId="21"/>
  </si>
  <si>
    <t>レベル２を満たさない。</t>
    <phoneticPr fontId="21"/>
  </si>
  <si>
    <t>学（小中高）</t>
    <phoneticPr fontId="21"/>
  </si>
  <si>
    <t>レベル３を満たさない。</t>
    <phoneticPr fontId="21"/>
  </si>
  <si>
    <t>-</t>
    <phoneticPr fontId="21"/>
  </si>
  <si>
    <t>［ダニ又はダニアレルゲン］≦１００匹／㎡</t>
    <phoneticPr fontId="21"/>
  </si>
  <si>
    <t>内装は、床・壁の50％以上～65％未満の面積において、ダニ・カビの発生を抑制、あるいは清掃・メンテナンスに配慮したものとなっている。</t>
    <phoneticPr fontId="21"/>
  </si>
  <si>
    <t>内装は、床・壁の65％以上～80％未満の面積において、ダニ・カビの発生を抑制、あるいは清掃・メンテナンスに配慮したものとなっている。</t>
    <phoneticPr fontId="21"/>
  </si>
  <si>
    <t>内装は、床・壁の80％以上の面積において、ダニ・カビの発生を抑制、あるいは清掃・メンテナンスに配慮したものとなっている。</t>
    <phoneticPr fontId="21"/>
  </si>
  <si>
    <t>採点</t>
    <rPh sb="0" eb="2">
      <t>サイテン</t>
    </rPh>
    <phoneticPr fontId="21"/>
  </si>
  <si>
    <t>既存はなし</t>
    <rPh sb="0" eb="2">
      <t>キソン</t>
    </rPh>
    <phoneticPr fontId="21"/>
  </si>
  <si>
    <t>1～3</t>
  </si>
  <si>
    <t>1～2</t>
  </si>
  <si>
    <t>1)上記の評価項目以外に生物環境の保全と創出に資する独自の取り組みを行っている。</t>
    <rPh sb="14" eb="16">
      <t>カンキョウ</t>
    </rPh>
    <phoneticPr fontId="21"/>
  </si>
  <si>
    <t>まちなみ・景観への配慮</t>
  </si>
  <si>
    <t>(評価ポイント0)</t>
    <rPh sb="1" eb="3">
      <t>ヒョウカ</t>
    </rPh>
    <phoneticPr fontId="21"/>
  </si>
  <si>
    <t>周辺のまちなみや景観に対して、標準以上の配慮が行われている。(評価ポイント4)</t>
  </si>
  <si>
    <t>周辺のまちなみや景観に対して、充実した取組みが行われている。
（評価ポイント5以上、又は地域のまちなみ・景観に関する賞を受賞している）</t>
    <rPh sb="32" eb="34">
      <t>ヒョウカ</t>
    </rPh>
    <phoneticPr fontId="21"/>
  </si>
  <si>
    <t>2）植栽による良好な景観形成</t>
    <rPh sb="2" eb="4">
      <t>ショクサイ</t>
    </rPh>
    <phoneticPr fontId="21"/>
  </si>
  <si>
    <t>4）地域性のある素材による良好な景観形成</t>
    <rPh sb="2" eb="5">
      <t>チイキセイ</t>
    </rPh>
    <rPh sb="8" eb="10">
      <t>ソザイ</t>
    </rPh>
    <rPh sb="13" eb="15">
      <t>リョウコウ</t>
    </rPh>
    <rPh sb="16" eb="18">
      <t>ケイカン</t>
    </rPh>
    <rPh sb="18" eb="20">
      <t>ケイセイ</t>
    </rPh>
    <phoneticPr fontId="21"/>
  </si>
  <si>
    <t>5）周辺の主要な視点場からの良好な景観形成</t>
    <rPh sb="8" eb="10">
      <t>シテン</t>
    </rPh>
    <rPh sb="10" eb="11">
      <t>バ</t>
    </rPh>
    <phoneticPr fontId="21"/>
  </si>
  <si>
    <t>6）その他（記述）</t>
    <rPh sb="4" eb="5">
      <t>タ</t>
    </rPh>
    <rPh sb="6" eb="8">
      <t>キジュツ</t>
    </rPh>
    <phoneticPr fontId="21"/>
  </si>
  <si>
    <t>地域性・アメニティへの配慮</t>
  </si>
  <si>
    <t>地域性への配慮、快適性の向上</t>
    <rPh sb="0" eb="3">
      <t>チイキセイ</t>
    </rPh>
    <rPh sb="5" eb="7">
      <t>ハイリョ</t>
    </rPh>
    <rPh sb="8" eb="11">
      <t>カイテキセイ</t>
    </rPh>
    <rPh sb="12" eb="14">
      <t>コウジョウ</t>
    </rPh>
    <phoneticPr fontId="21"/>
  </si>
  <si>
    <t>地域性・アメニティへの配慮に関して取組みを行っていない。(評価ポイント0)</t>
  </si>
  <si>
    <t>ホテルo</t>
    <phoneticPr fontId="21"/>
  </si>
  <si>
    <t>集合住宅o</t>
    <phoneticPr fontId="21"/>
  </si>
  <si>
    <t>延面積比率</t>
    <phoneticPr fontId="21"/>
  </si>
  <si>
    <t>Q</t>
    <phoneticPr fontId="21"/>
  </si>
  <si>
    <t xml:space="preserve"> Q</t>
    <phoneticPr fontId="21"/>
  </si>
  <si>
    <t>Q</t>
    <phoneticPr fontId="21"/>
  </si>
  <si>
    <t>建築物の環境品質</t>
    <phoneticPr fontId="21"/>
  </si>
  <si>
    <t>Q1</t>
    <phoneticPr fontId="34" type="noConversion"/>
  </si>
  <si>
    <t>室内環境</t>
    <phoneticPr fontId="21"/>
  </si>
  <si>
    <t>騒音</t>
    <phoneticPr fontId="21"/>
  </si>
  <si>
    <t>1.2.1</t>
    <phoneticPr fontId="21"/>
  </si>
  <si>
    <t>開口部遮音性能</t>
    <phoneticPr fontId="21"/>
  </si>
  <si>
    <t>1.2.2</t>
    <phoneticPr fontId="21"/>
  </si>
  <si>
    <t>1.2.3</t>
    <phoneticPr fontId="21"/>
  </si>
  <si>
    <t>1.2.4</t>
    <phoneticPr fontId="21"/>
  </si>
  <si>
    <t>2.1.1</t>
    <phoneticPr fontId="21"/>
  </si>
  <si>
    <t>2.3.1</t>
    <phoneticPr fontId="21"/>
  </si>
  <si>
    <t>2.3.1</t>
    <phoneticPr fontId="21"/>
  </si>
  <si>
    <t>2.3.2</t>
    <phoneticPr fontId="21"/>
  </si>
  <si>
    <t>2.3.2</t>
    <phoneticPr fontId="21"/>
  </si>
  <si>
    <t>1)主たる建築設備(空調設備)に伴う排熱は、建築物の高い位置からの放出に努める。
   ・排熱を伴う冷却塔や室外機等について、設備容量の50％程度以上をGL＋10m以上
     の位置に設置 (1ポイント)
   ・冷却塔や室外機を設置しない、またはほとんどをGL＋10m以上の位置に設置 
     (2ポイント)</t>
    <rPh sb="63" eb="65">
      <t>セツビ</t>
    </rPh>
    <rPh sb="65" eb="67">
      <t>ヨウリョウ</t>
    </rPh>
    <rPh sb="71" eb="73">
      <t>テイド</t>
    </rPh>
    <rPh sb="73" eb="75">
      <t>イジョウ</t>
    </rPh>
    <rPh sb="82" eb="84">
      <t>イジョウ</t>
    </rPh>
    <rPh sb="91" eb="93">
      <t>イチ</t>
    </rPh>
    <rPh sb="94" eb="96">
      <t>セッチ</t>
    </rPh>
    <rPh sb="109" eb="111">
      <t>レイキャク</t>
    </rPh>
    <rPh sb="111" eb="112">
      <t>トウ</t>
    </rPh>
    <rPh sb="113" eb="116">
      <t>シツガイキ</t>
    </rPh>
    <rPh sb="117" eb="119">
      <t>セッチ</t>
    </rPh>
    <rPh sb="137" eb="139">
      <t>イジョウ</t>
    </rPh>
    <rPh sb="140" eb="142">
      <t>イチ</t>
    </rPh>
    <rPh sb="143" eb="145">
      <t>セッチ</t>
    </rPh>
    <phoneticPr fontId="21"/>
  </si>
  <si>
    <t>2)主たる建築設備(燃焼設備)に伴う高温排熱は、建築物の高い位置からの放出に努める。
    ・高温排熱の放出部について、設備容量の50％程度以上をGL＋10m以上
      の位置に設置 (1ポイント)
    ・高温排熱の放出部を設置しない、またはほとんどをGL＋10m以上の位置に設置
      (2ポイント)</t>
    <rPh sb="61" eb="63">
      <t>セツビ</t>
    </rPh>
    <rPh sb="63" eb="65">
      <t>ヨウリョウ</t>
    </rPh>
    <rPh sb="69" eb="71">
      <t>テイド</t>
    </rPh>
    <rPh sb="71" eb="73">
      <t>イジョウ</t>
    </rPh>
    <rPh sb="80" eb="82">
      <t>イジョウ</t>
    </rPh>
    <rPh sb="90" eb="92">
      <t>イチ</t>
    </rPh>
    <rPh sb="93" eb="95">
      <t>セッチ</t>
    </rPh>
    <rPh sb="109" eb="111">
      <t>コウオン</t>
    </rPh>
    <rPh sb="111" eb="113">
      <t>ハイネツ</t>
    </rPh>
    <rPh sb="114" eb="116">
      <t>ホウシュツ</t>
    </rPh>
    <rPh sb="116" eb="117">
      <t>ブ</t>
    </rPh>
    <rPh sb="118" eb="120">
      <t>セッチ</t>
    </rPh>
    <rPh sb="138" eb="140">
      <t>イジョウ</t>
    </rPh>
    <rPh sb="141" eb="143">
      <t>イチ</t>
    </rPh>
    <rPh sb="144" eb="146">
      <t>セッチ</t>
    </rPh>
    <phoneticPr fontId="21"/>
  </si>
  <si>
    <t>時間外空調に対する配慮</t>
    <rPh sb="0" eb="3">
      <t>ジカンガイ</t>
    </rPh>
    <rPh sb="3" eb="5">
      <t>クウチョウ</t>
    </rPh>
    <rPh sb="6" eb="7">
      <t>タイ</t>
    </rPh>
    <rPh sb="9" eb="11">
      <t>ハイリョ</t>
    </rPh>
    <phoneticPr fontId="21"/>
  </si>
  <si>
    <t>監視システム</t>
    <rPh sb="0" eb="2">
      <t>カンシ</t>
    </rPh>
    <phoneticPr fontId="21"/>
  </si>
  <si>
    <t>湿度制御</t>
    <rPh sb="0" eb="2">
      <t>ｼﾂﾄﾞ</t>
    </rPh>
    <rPh sb="2" eb="4">
      <t>ｾｲｷﾞｮ</t>
    </rPh>
    <phoneticPr fontId="34" type="noConversion"/>
  </si>
  <si>
    <t>空調方式</t>
    <rPh sb="0" eb="2">
      <t>クウチョウ</t>
    </rPh>
    <rPh sb="2" eb="4">
      <t>ホウシキ</t>
    </rPh>
    <phoneticPr fontId="21"/>
  </si>
  <si>
    <t>上下温度差</t>
    <rPh sb="0" eb="2">
      <t>ジョウゲ</t>
    </rPh>
    <rPh sb="2" eb="5">
      <t>オンドサ</t>
    </rPh>
    <phoneticPr fontId="21"/>
  </si>
  <si>
    <t>病・ホ・住</t>
    <phoneticPr fontId="21"/>
  </si>
  <si>
    <t>0.7≦　[壁長さ比率]</t>
    <phoneticPr fontId="21"/>
  </si>
  <si>
    <t>0.5≦　[壁長さ比率] ＜0.7</t>
    <phoneticPr fontId="21"/>
  </si>
  <si>
    <t>0.3≦　[壁長さ比率] ＜0.5</t>
    <phoneticPr fontId="21"/>
  </si>
  <si>
    <t>0.1≦　[壁長さ比率] ＜0.3</t>
    <phoneticPr fontId="21"/>
  </si>
  <si>
    <t xml:space="preserve"> [壁長さ比率] ＜0.1</t>
    <phoneticPr fontId="21"/>
  </si>
  <si>
    <t>外周壁の長さ（ｍ）＋耐力壁の長さ（ｍ）</t>
    <phoneticPr fontId="21"/>
  </si>
  <si>
    <t>専用面積（㎡）</t>
    <phoneticPr fontId="21"/>
  </si>
  <si>
    <r>
      <t xml:space="preserve">3.3.1 </t>
    </r>
    <r>
      <rPr>
        <b/>
        <sz val="10"/>
        <rFont val="ＭＳ Ｐゴシック"/>
        <family val="3"/>
        <charset val="128"/>
      </rPr>
      <t>空調配管の更新性</t>
    </r>
    <phoneticPr fontId="21"/>
  </si>
  <si>
    <r>
      <t xml:space="preserve">3.3.2 </t>
    </r>
    <r>
      <rPr>
        <b/>
        <sz val="10"/>
        <rFont val="ＭＳ Ｐゴシック"/>
        <family val="3"/>
        <charset val="128"/>
      </rPr>
      <t>給排水管の更新性</t>
    </r>
    <phoneticPr fontId="21"/>
  </si>
  <si>
    <t>将来用（更新用）スペース、ルートの確保されることなどによって、構造部材を痛めることなくほぼ全ての空調配管の更新・修繕ができる。 または中央式空調設備を持たない。</t>
    <phoneticPr fontId="21"/>
  </si>
  <si>
    <t>2.1.7 時間外空調に対する配慮</t>
    <phoneticPr fontId="21"/>
  </si>
  <si>
    <t>建物全体・共用部分</t>
    <phoneticPr fontId="21"/>
  </si>
  <si>
    <t>同一フロアで熱負荷別に複数にゾーニングがなされており、複数ゾーン監視のために制御センサとは別に複数の監視・計測用センサがある監視システムが設置されている。</t>
    <phoneticPr fontId="21"/>
  </si>
  <si>
    <t>型　枠</t>
    <rPh sb="0" eb="1">
      <t>カタ</t>
    </rPh>
    <rPh sb="2" eb="3">
      <t>ワク</t>
    </rPh>
    <phoneticPr fontId="21"/>
  </si>
  <si>
    <t>主要なリサイクル建材と利用利率</t>
    <rPh sb="0" eb="2">
      <t>シュヨウ</t>
    </rPh>
    <rPh sb="8" eb="10">
      <t>ケンザイ</t>
    </rPh>
    <rPh sb="11" eb="13">
      <t>リヨウ</t>
    </rPh>
    <rPh sb="13" eb="15">
      <t>リリツ</t>
    </rPh>
    <phoneticPr fontId="21"/>
  </si>
  <si>
    <t>高炉セメント
（躯体での利用率）</t>
    <rPh sb="0" eb="2">
      <t>コウロ</t>
    </rPh>
    <rPh sb="8" eb="10">
      <t>クタイ</t>
    </rPh>
    <rPh sb="12" eb="14">
      <t>リヨウ</t>
    </rPh>
    <rPh sb="14" eb="15">
      <t>リツ</t>
    </rPh>
    <phoneticPr fontId="21"/>
  </si>
  <si>
    <t>既存躯体の再利用
（躯体での利用率）</t>
    <rPh sb="0" eb="2">
      <t>キソン</t>
    </rPh>
    <rPh sb="2" eb="4">
      <t>クタイ</t>
    </rPh>
    <rPh sb="5" eb="8">
      <t>サイリヨウ</t>
    </rPh>
    <rPh sb="10" eb="12">
      <t>クタイ</t>
    </rPh>
    <rPh sb="14" eb="17">
      <t>リヨウリツ</t>
    </rPh>
    <phoneticPr fontId="21"/>
  </si>
  <si>
    <t>電炉鋼材（鉄筋）</t>
    <rPh sb="0" eb="2">
      <t>デンロ</t>
    </rPh>
    <rPh sb="2" eb="4">
      <t>コウザイ</t>
    </rPh>
    <phoneticPr fontId="21"/>
  </si>
  <si>
    <t>電炉鋼材（鋼材）</t>
    <rPh sb="0" eb="2">
      <t>デンロ</t>
    </rPh>
    <rPh sb="2" eb="4">
      <t>コウザイ</t>
    </rPh>
    <rPh sb="5" eb="7">
      <t>コウザイ</t>
    </rPh>
    <phoneticPr fontId="21"/>
  </si>
  <si>
    <t>更新周期（年）</t>
    <rPh sb="0" eb="2">
      <t>コウシン</t>
    </rPh>
    <rPh sb="2" eb="4">
      <t>シュウキ</t>
    </rPh>
    <rPh sb="5" eb="6">
      <t>ネン</t>
    </rPh>
    <phoneticPr fontId="21"/>
  </si>
  <si>
    <t>平均修繕率（％/年）</t>
    <rPh sb="0" eb="2">
      <t>ヘイキン</t>
    </rPh>
    <rPh sb="2" eb="4">
      <t>シュウゼン</t>
    </rPh>
    <rPh sb="4" eb="5">
      <t>リツ</t>
    </rPh>
    <rPh sb="8" eb="9">
      <t>ネン</t>
    </rPh>
    <phoneticPr fontId="21"/>
  </si>
  <si>
    <t>一般的な冬期30～45％、夏期55％～80％の範囲で計画されている。</t>
    <phoneticPr fontId="21"/>
  </si>
  <si>
    <t>加湿・除湿機能を有し、かつASHRAE快適域やPOEM-Oを参考に45％～55％の範囲で計画されている。</t>
    <phoneticPr fontId="21"/>
  </si>
  <si>
    <t>加湿・除湿機能を有し、ASHRAE快適域やPOEM-Oを参考に45％～55％の範囲で計画されている。</t>
    <phoneticPr fontId="21"/>
  </si>
  <si>
    <t>加湿・除湿機能を有し、45％～55％の快適範囲を設定し、なおかつ、熱橋となる部分の断熱補強、防湿層、通気層の設置等の結露防止対策がとられている。</t>
    <phoneticPr fontId="21"/>
  </si>
  <si>
    <t>レベル３を満たさない。</t>
    <phoneticPr fontId="21"/>
  </si>
  <si>
    <t>何も配慮していない。</t>
    <phoneticPr fontId="21"/>
  </si>
  <si>
    <t>加湿機能を有し、かつ一般的な夏期50％、冬期40％の湿度を実現する設備容量が確保されている。</t>
    <phoneticPr fontId="21"/>
  </si>
  <si>
    <t>寒冷地域</t>
    <rPh sb="0" eb="2">
      <t>カンレイ</t>
    </rPh>
    <rPh sb="2" eb="4">
      <t>チイキ</t>
    </rPh>
    <phoneticPr fontId="21"/>
  </si>
  <si>
    <t>■地域・地区</t>
    <rPh sb="1" eb="3">
      <t>ﾁｲｷ</t>
    </rPh>
    <rPh sb="4" eb="6">
      <t>ﾁｸ</t>
    </rPh>
    <phoneticPr fontId="34" type="noConversion"/>
  </si>
  <si>
    <t>商業地域、防火地域</t>
    <rPh sb="0" eb="2">
      <t>ショウギョウ</t>
    </rPh>
    <rPh sb="2" eb="4">
      <t>チイキ</t>
    </rPh>
    <rPh sb="5" eb="7">
      <t>ボウカ</t>
    </rPh>
    <rPh sb="7" eb="9">
      <t>チイキ</t>
    </rPh>
    <phoneticPr fontId="21"/>
  </si>
  <si>
    <t>■竣工年 (予定/竣工)</t>
    <rPh sb="1" eb="3">
      <t>ｼｭﾝｺｳ</t>
    </rPh>
    <rPh sb="3" eb="4">
      <t>ﾈﾝ</t>
    </rPh>
    <rPh sb="6" eb="8">
      <t>ﾖﾃｲ</t>
    </rPh>
    <rPh sb="9" eb="11">
      <t>ｼｭﾝｺｳ</t>
    </rPh>
    <phoneticPr fontId="34" type="noConversion"/>
  </si>
  <si>
    <t>暑熱地域</t>
    <rPh sb="0" eb="2">
      <t>ショネツ</t>
    </rPh>
    <rPh sb="2" eb="4">
      <t>チイキ</t>
    </rPh>
    <phoneticPr fontId="21"/>
  </si>
  <si>
    <t>■敷地面積</t>
    <rPh sb="1" eb="3">
      <t>ｼｷﾁ</t>
    </rPh>
    <rPh sb="3" eb="5">
      <t>ﾒﾝｾｷ</t>
    </rPh>
    <phoneticPr fontId="34" type="noConversion"/>
  </si>
  <si>
    <t>■建築面積</t>
    <rPh sb="1" eb="3">
      <t>ｹﾝﾁｸ</t>
    </rPh>
    <rPh sb="3" eb="5">
      <t>ﾒﾝｾｷ</t>
    </rPh>
    <phoneticPr fontId="34" type="noConversion"/>
  </si>
  <si>
    <t>■延床面積</t>
    <rPh sb="1" eb="2">
      <t>ﾉ</t>
    </rPh>
    <rPh sb="2" eb="5">
      <t>ﾕｶﾒﾝｾｷ</t>
    </rPh>
    <phoneticPr fontId="34" type="noConversion"/>
  </si>
  <si>
    <t>■建物用途名</t>
    <rPh sb="1" eb="3">
      <t>タテモノ</t>
    </rPh>
    <rPh sb="3" eb="5">
      <t>ヨウト</t>
    </rPh>
    <rPh sb="5" eb="6">
      <t>メイ</t>
    </rPh>
    <phoneticPr fontId="21"/>
  </si>
  <si>
    <t>○○</t>
    <phoneticPr fontId="21"/>
  </si>
  <si>
    <t>■階数</t>
    <rPh sb="1" eb="3">
      <t>カイスウ</t>
    </rPh>
    <phoneticPr fontId="21"/>
  </si>
  <si>
    <t>地上○○F</t>
    <rPh sb="0" eb="2">
      <t>チジョウ</t>
    </rPh>
    <phoneticPr fontId="21"/>
  </si>
  <si>
    <t>人の話し声が気にならない。</t>
    <phoneticPr fontId="21"/>
  </si>
  <si>
    <t>会話等の一般の発生音が小さく聞える。</t>
    <phoneticPr fontId="21"/>
  </si>
  <si>
    <t>会話等の一般の発生音がほとんど聞えない。</t>
    <phoneticPr fontId="21"/>
  </si>
  <si>
    <t>1.2.3 界床遮音性能（軽量衝撃源）</t>
    <phoneticPr fontId="21"/>
  </si>
  <si>
    <t>建物全体・共用部分</t>
    <phoneticPr fontId="21"/>
  </si>
  <si>
    <t>病・ホ・住</t>
    <phoneticPr fontId="21"/>
  </si>
  <si>
    <t>椅子の移動音、物の落下音がかなりうるさい。　</t>
    <phoneticPr fontId="21"/>
  </si>
  <si>
    <t>採点結果</t>
    <rPh sb="0" eb="2">
      <t>サイテン</t>
    </rPh>
    <rPh sb="2" eb="4">
      <t>ケッカ</t>
    </rPh>
    <phoneticPr fontId="21"/>
  </si>
  <si>
    <r>
      <t>CO</t>
    </r>
    <r>
      <rPr>
        <vertAlign val="subscript"/>
        <sz val="10"/>
        <rFont val="ＭＳ Ｐゴシック"/>
        <family val="3"/>
        <charset val="128"/>
      </rPr>
      <t>2</t>
    </r>
    <r>
      <rPr>
        <sz val="10"/>
        <rFont val="ＭＳ Ｐゴシック"/>
        <family val="3"/>
        <charset val="128"/>
      </rPr>
      <t>排出量</t>
    </r>
    <rPh sb="3" eb="5">
      <t>ハイシュツ</t>
    </rPh>
    <rPh sb="5" eb="6">
      <t>リョウ</t>
    </rPh>
    <phoneticPr fontId="21"/>
  </si>
  <si>
    <t>Q2/2.2.1 躯体材料の耐用年数</t>
    <rPh sb="9" eb="11">
      <t>クタイ</t>
    </rPh>
    <rPh sb="11" eb="13">
      <t>ザイリョウ</t>
    </rPh>
    <rPh sb="14" eb="16">
      <t>タイヨウ</t>
    </rPh>
    <rPh sb="16" eb="18">
      <t>ネンスウ</t>
    </rPh>
    <phoneticPr fontId="21"/>
  </si>
  <si>
    <t>ホテル</t>
  </si>
  <si>
    <t>評価対象の構造</t>
    <rPh sb="0" eb="2">
      <t>ヒョウカ</t>
    </rPh>
    <rPh sb="2" eb="4">
      <t>タイショウ</t>
    </rPh>
    <rPh sb="5" eb="7">
      <t>コウゾウ</t>
    </rPh>
    <phoneticPr fontId="21"/>
  </si>
  <si>
    <t>LR2/2.2 既存建築躯体等の継続使用</t>
    <rPh sb="8" eb="10">
      <t>キソン</t>
    </rPh>
    <rPh sb="10" eb="12">
      <t>ケンチク</t>
    </rPh>
    <rPh sb="12" eb="14">
      <t>クタイ</t>
    </rPh>
    <rPh sb="14" eb="15">
      <t>トウ</t>
    </rPh>
    <rPh sb="16" eb="18">
      <t>ケイゾク</t>
    </rPh>
    <rPh sb="18" eb="20">
      <t>シヨウ</t>
    </rPh>
    <phoneticPr fontId="21"/>
  </si>
  <si>
    <t>用途地域</t>
    <rPh sb="0" eb="2">
      <t>ﾖｳﾄ</t>
    </rPh>
    <rPh sb="2" eb="4">
      <t>ﾁｲｷ</t>
    </rPh>
    <phoneticPr fontId="34" type="noConversion"/>
  </si>
  <si>
    <t>熱反ガラスを使用し、且つ水平庇１．０ｍ以上が計画されている。又は、高性能熱反ガラスを使用し、かつ水平庇0.5～1.0ｍが計画されている。</t>
    <rPh sb="6" eb="8">
      <t>シヨウ</t>
    </rPh>
    <rPh sb="10" eb="11">
      <t>カ</t>
    </rPh>
    <rPh sb="12" eb="14">
      <t>スイヘイ</t>
    </rPh>
    <rPh sb="14" eb="15">
      <t>ヒサシ</t>
    </rPh>
    <rPh sb="22" eb="24">
      <t>ケイカク</t>
    </rPh>
    <rPh sb="30" eb="31">
      <t>マタ</t>
    </rPh>
    <phoneticPr fontId="21"/>
  </si>
  <si>
    <r>
      <t>厚さが</t>
    </r>
    <r>
      <rPr>
        <sz val="11"/>
        <rFont val="ＭＳ Ｐゴシック"/>
        <family val="3"/>
        <charset val="128"/>
      </rPr>
      <t>20mm</t>
    </r>
    <r>
      <rPr>
        <sz val="9"/>
        <rFont val="ＭＳ Ｐゴシック"/>
        <family val="3"/>
        <charset val="128"/>
      </rPr>
      <t>以上の吹付け硬質ｳﾚﾀﾝﾌｫｰﾑ断熱材その他これに相当する断熱性能を使用し、且つ低放射複層ガラスを使用している</t>
    </r>
    <rPh sb="45" eb="46">
      <t>カ</t>
    </rPh>
    <phoneticPr fontId="21"/>
  </si>
  <si>
    <t>再生材料を用いた舗装用ブロック（焼成）</t>
    <rPh sb="0" eb="2">
      <t>サイセイ</t>
    </rPh>
    <rPh sb="2" eb="4">
      <t>ザイリョウ</t>
    </rPh>
    <rPh sb="5" eb="6">
      <t>モチ</t>
    </rPh>
    <rPh sb="8" eb="11">
      <t>ホソウヨウ</t>
    </rPh>
    <rPh sb="16" eb="17">
      <t>ヤ</t>
    </rPh>
    <rPh sb="17" eb="18">
      <t>ナリ</t>
    </rPh>
    <phoneticPr fontId="21"/>
  </si>
  <si>
    <t>同一フロアで用途別や熱負荷別に複数にゾーニングがなされており、同一フロアで冷房・暖房は切り替えとなる空調システムが計画されている。</t>
  </si>
  <si>
    <t>単一ダクト方式、２管式ＦＣＵ方式（ゾーニングのグレード評価、冷暖切り替え）</t>
    <phoneticPr fontId="21"/>
  </si>
  <si>
    <t>レベル３程度の空調のゾーニングがなされており、さらにゾーン別に冷房・暖房の選択が可能な空調システムとしている。</t>
    <phoneticPr fontId="21"/>
  </si>
  <si>
    <t>二重ダクト方式（ＡＨＵで４管式）、４管式ＦＣＵ方式、タスク・アンビエント空調方式（ゾーニングのグレード、冷暖同時の双方を評価）</t>
    <phoneticPr fontId="21"/>
  </si>
  <si>
    <t>同一フロアで、熱負荷別に売り場・テナント用に細かくゾーニングがなされており、各ゾーン単位で冷房・暖房が可能な空調システムが計画されている。</t>
  </si>
  <si>
    <t>●標準計算</t>
    <rPh sb="1" eb="3">
      <t>ヒョウジュン</t>
    </rPh>
    <rPh sb="3" eb="5">
      <t>ケイサン</t>
    </rPh>
    <phoneticPr fontId="21"/>
  </si>
  <si>
    <t>●個別計算</t>
    <rPh sb="1" eb="3">
      <t>コベツ</t>
    </rPh>
    <rPh sb="3" eb="5">
      <t>ケイサン</t>
    </rPh>
    <phoneticPr fontId="21"/>
  </si>
  <si>
    <t>用途名</t>
    <rPh sb="0" eb="2">
      <t>ヨウト</t>
    </rPh>
    <rPh sb="2" eb="3">
      <t>メイ</t>
    </rPh>
    <phoneticPr fontId="21"/>
  </si>
  <si>
    <t xml:space="preserve"> 含まれる用途</t>
    <rPh sb="1" eb="2">
      <t>フク</t>
    </rPh>
    <rPh sb="5" eb="7">
      <t>ヨウト</t>
    </rPh>
    <phoneticPr fontId="21"/>
  </si>
  <si>
    <t xml:space="preserve"> 事務所</t>
  </si>
  <si>
    <t>風害対策に対する要請がない。または、自主的な対策を評価しない場合は、レベル３</t>
    <rPh sb="0" eb="2">
      <t>フウガイ</t>
    </rPh>
    <rPh sb="2" eb="4">
      <t>タイサク</t>
    </rPh>
    <rPh sb="5" eb="6">
      <t>タイ</t>
    </rPh>
    <rPh sb="8" eb="10">
      <t>ヨウセイ</t>
    </rPh>
    <rPh sb="18" eb="21">
      <t>ジシュテキ</t>
    </rPh>
    <rPh sb="22" eb="24">
      <t>タイサク</t>
    </rPh>
    <rPh sb="25" eb="27">
      <t>ヒョウカ</t>
    </rPh>
    <rPh sb="30" eb="32">
      <t>バアイ</t>
    </rPh>
    <phoneticPr fontId="21"/>
  </si>
  <si>
    <t>周辺のまちなみや景観に対して、標準的な配慮が行われている。(評価ポイント3)</t>
    <phoneticPr fontId="21"/>
  </si>
  <si>
    <r>
      <t>①公共空間からほとんど見えないなど、まちなみ・景観に配慮しようがない場合はレベル</t>
    </r>
    <r>
      <rPr>
        <sz val="9"/>
        <rFont val="Arial"/>
        <family val="2"/>
      </rPr>
      <t>3</t>
    </r>
    <r>
      <rPr>
        <sz val="9"/>
        <rFont val="ＭＳ Ｐゴシック"/>
        <family val="3"/>
        <charset val="128"/>
      </rPr>
      <t>とする。
②地域に独自のルール（まちなみガイドライン等）があり、それに基づいた取組みを行っている場合には、その内容を評価する。
③地域の景観賞、受賞理由に景観が明記されている賞を受賞しているなど一定の評価を得ていると認められる場合、レベル５とする。</t>
    </r>
    <phoneticPr fontId="21"/>
  </si>
  <si>
    <t>1）建物の配置・形態等のまちなみへの調和</t>
    <phoneticPr fontId="21"/>
  </si>
  <si>
    <t>建物高さ、壁面位置、外装･屋根･庇･開口部･塀等の形状や色彩において、周辺のまちなみや風景にバランスよく調和させている。</t>
    <phoneticPr fontId="21"/>
  </si>
  <si>
    <t>Ⅲ 給水・給湯管理
   （飲用・炊事用・浴用等）の評価</t>
    <rPh sb="2" eb="4">
      <t>キュウスイ</t>
    </rPh>
    <rPh sb="5" eb="7">
      <t>キュウトウ</t>
    </rPh>
    <rPh sb="7" eb="9">
      <t>カンリ</t>
    </rPh>
    <rPh sb="14" eb="16">
      <t>インヨウ</t>
    </rPh>
    <rPh sb="17" eb="20">
      <t>スイジヨウ</t>
    </rPh>
    <rPh sb="21" eb="24">
      <t>ヨクヨウナド</t>
    </rPh>
    <rPh sb="26" eb="28">
      <t>ヒョウカ</t>
    </rPh>
    <phoneticPr fontId="21"/>
  </si>
  <si>
    <t>建築物環境衛生管理基準の給水設備において不適切項目がある。</t>
    <rPh sb="0" eb="3">
      <t>ケンチクブツ</t>
    </rPh>
    <rPh sb="3" eb="5">
      <t>カンキョウ</t>
    </rPh>
    <rPh sb="5" eb="7">
      <t>エイセイ</t>
    </rPh>
    <rPh sb="7" eb="9">
      <t>カンリ</t>
    </rPh>
    <rPh sb="9" eb="11">
      <t>キジュン</t>
    </rPh>
    <rPh sb="12" eb="14">
      <t>キュウスイ</t>
    </rPh>
    <rPh sb="14" eb="16">
      <t>セツビ</t>
    </rPh>
    <rPh sb="20" eb="23">
      <t>フテキセツ</t>
    </rPh>
    <rPh sb="23" eb="25">
      <t>コウモク</t>
    </rPh>
    <phoneticPr fontId="21"/>
  </si>
  <si>
    <t>建築物環境衛生管理基準を満たしている。</t>
    <rPh sb="0" eb="3">
      <t>ケンチクブツ</t>
    </rPh>
    <rPh sb="3" eb="5">
      <t>カンキョウ</t>
    </rPh>
    <rPh sb="5" eb="7">
      <t>エイセイ</t>
    </rPh>
    <rPh sb="7" eb="9">
      <t>カンリ</t>
    </rPh>
    <rPh sb="9" eb="11">
      <t>キジュン</t>
    </rPh>
    <rPh sb="12" eb="13">
      <t>ミ</t>
    </rPh>
    <phoneticPr fontId="21"/>
  </si>
  <si>
    <t>耐用性・信頼性</t>
    <rPh sb="0" eb="2">
      <t>タイヨウ</t>
    </rPh>
    <rPh sb="2" eb="3">
      <t>セイ</t>
    </rPh>
    <rPh sb="4" eb="7">
      <t>シンライセイ</t>
    </rPh>
    <phoneticPr fontId="21"/>
  </si>
  <si>
    <t>耐震・免震</t>
    <rPh sb="0" eb="2">
      <t>タイシン</t>
    </rPh>
    <rPh sb="3" eb="4">
      <t>メン</t>
    </rPh>
    <rPh sb="4" eb="5">
      <t>シン</t>
    </rPh>
    <phoneticPr fontId="21"/>
  </si>
  <si>
    <r>
      <t xml:space="preserve">2.1.1 </t>
    </r>
    <r>
      <rPr>
        <b/>
        <sz val="10"/>
        <rFont val="ＭＳ Ｐゴシック"/>
        <family val="3"/>
        <charset val="128"/>
      </rPr>
      <t>耐震性</t>
    </r>
    <rPh sb="6" eb="9">
      <t>タイシンセイ</t>
    </rPh>
    <phoneticPr fontId="21"/>
  </si>
  <si>
    <t>(該当するレベルなし)</t>
    <phoneticPr fontId="21"/>
  </si>
  <si>
    <t>建築基準法に定められた耐震性を有する。</t>
  </si>
  <si>
    <t>免震・制振装置を導入していない。</t>
  </si>
  <si>
    <t>建築基準法に定められた25％増の耐震性を有する。</t>
  </si>
  <si>
    <t>建築基準法に定められた50％増の耐震性を有する。あるいは損傷制御設計が行われている。</t>
  </si>
  <si>
    <t>　（２）温暖化対策推進法に基づく温室効果ガス排出量の算定方法を参考とする場合</t>
    <rPh sb="31" eb="33">
      <t>サンコウ</t>
    </rPh>
    <phoneticPr fontId="21"/>
  </si>
  <si>
    <t>事業者名</t>
  </si>
  <si>
    <t>(t-CO2/kWh)</t>
  </si>
  <si>
    <t>その他</t>
    <rPh sb="2" eb="3">
      <t>タ</t>
    </rPh>
    <phoneticPr fontId="21"/>
  </si>
  <si>
    <t>日本住宅性能表示基準「5-1断熱等性能等級」における等級2相当の屋根・外壁・床の部材構成、開口部の仕様を設定している。</t>
    <phoneticPr fontId="21"/>
  </si>
  <si>
    <t>日本住宅性能表示基準「5-1断熱等性能等級」における等級3相当の屋根・外壁・床の部材構成、開口部の仕様を設定している。</t>
    <phoneticPr fontId="21"/>
  </si>
  <si>
    <t>日本住宅性能表示基準「5-1断熱等性能等級」における等級4相当の屋根・外壁・床の部材構成、開口部の仕様を設定している。</t>
    <phoneticPr fontId="21"/>
  </si>
  <si>
    <t>日本住宅性能表示基準「5-1断熱等性能等級」における等級1を満たす。</t>
    <rPh sb="14" eb="16">
      <t>ダンネツ</t>
    </rPh>
    <rPh sb="16" eb="17">
      <t>トウ</t>
    </rPh>
    <rPh sb="17" eb="19">
      <t>セイノウ</t>
    </rPh>
    <rPh sb="19" eb="21">
      <t>トウキュウ</t>
    </rPh>
    <rPh sb="30" eb="31">
      <t>ミ</t>
    </rPh>
    <phoneticPr fontId="21"/>
  </si>
  <si>
    <t>日本住宅性能表示基準「5-1断熱等性能等級」における等級2を満たす。</t>
    <phoneticPr fontId="21"/>
  </si>
  <si>
    <t>日本住宅性能表示基準「5-1断熱等性能等級」における等級3を満たす。</t>
    <phoneticPr fontId="21"/>
  </si>
  <si>
    <t>日本住宅性能表示基準「5-1断熱等性能等級」における等級4を満たす。</t>
    <phoneticPr fontId="21"/>
  </si>
  <si>
    <t>タスク・アンビエント照明方式もしくはこれに準ずる照明方式の場合で、タスク照度が500lx以上1000lx未満、かつアンビエント照度がタスク照度の1/3以上2/3未満、かつ壁面の鉛直面照度もしくは天井面の水平面照度が100lx以上。</t>
    <phoneticPr fontId="21"/>
  </si>
  <si>
    <t>全般照明方式の場合で、照度が500lx以上1000lx未満。
タスク・アンビエント照明方式もしくはこれに準ずる照明方式の場合で、タスク照度が500lx以上1000lx未満、かつアンビエント照度がタスク照度の1/3以上2/3未満。</t>
    <phoneticPr fontId="21"/>
  </si>
  <si>
    <t>全般照明方式の場合で、300lx≦[照度] ＜500lx。
タスク・アンビエント照明方式もしくはこれに準ずる照明方式の場合で、タスク照度が300lx以上500lx未満、またはアンビエント照度がタスク照度の1/3未満もしくは2/3以上。</t>
    <phoneticPr fontId="21"/>
  </si>
  <si>
    <t>窓が開閉不可能な居室において、自然換気有効開口がない、または25cm2/m2未満。あるいは窓が開閉可能な居室において、自然換気有効開口面積が居室床面積の1/50以上</t>
    <phoneticPr fontId="21"/>
  </si>
  <si>
    <t>窓が開閉不可能な居室において自然換気有効開口がない、または50cm2/m2未満。あるいは窓が開閉可能な居室において、自然換気有効開口面積が居室床面積の1/20以上</t>
    <phoneticPr fontId="21"/>
  </si>
  <si>
    <t>窓が開閉不可能な居室において、自然換気有効開口面積が100 cm2/m2以上。あるいは、窓が開閉可能な居室において、自然換気有効開口面積が居室床面積の1/10以上。あるいは、レベル４の自然換気有効開口面積を満たし、かつ必要外気量の２倍以上の外気冷房の採用により室内空気質の向上が期待できる。</t>
    <phoneticPr fontId="21"/>
  </si>
  <si>
    <t>リフレッシュスペースが執務スペースの1％未満</t>
    <phoneticPr fontId="21"/>
  </si>
  <si>
    <t>「家庭部門エネルギー種別最終エネルギー消費（平成23年度におけるエネルギー需給実績、資源エネルギー庁）」</t>
    <phoneticPr fontId="21"/>
  </si>
  <si>
    <t>■効率的な運用</t>
    <rPh sb="1" eb="4">
      <t>コウリツテキ</t>
    </rPh>
    <rPh sb="5" eb="7">
      <t>ウンヨウ</t>
    </rPh>
    <phoneticPr fontId="21"/>
  </si>
  <si>
    <t>専有部面積</t>
    <rPh sb="0" eb="2">
      <t>センユウ</t>
    </rPh>
    <rPh sb="2" eb="3">
      <t>ブ</t>
    </rPh>
    <rPh sb="3" eb="5">
      <t>メンセキ</t>
    </rPh>
    <phoneticPr fontId="21"/>
  </si>
  <si>
    <t>1</t>
    <phoneticPr fontId="21"/>
  </si>
  <si>
    <t>レベル</t>
    <phoneticPr fontId="21"/>
  </si>
  <si>
    <t>3</t>
    <phoneticPr fontId="21"/>
  </si>
  <si>
    <t>建築物衛生法における特定建築物</t>
  </si>
  <si>
    <t>1) 汚染源対策</t>
    <rPh sb="3" eb="6">
      <t>オセンゲン</t>
    </rPh>
    <rPh sb="6" eb="8">
      <t>タイサク</t>
    </rPh>
    <phoneticPr fontId="21"/>
  </si>
  <si>
    <t>2) 清掃方法</t>
    <rPh sb="3" eb="5">
      <t>セイソウ</t>
    </rPh>
    <rPh sb="5" eb="7">
      <t>ホウホウ</t>
    </rPh>
    <phoneticPr fontId="21"/>
  </si>
  <si>
    <t>3) 清掃資材</t>
    <rPh sb="3" eb="5">
      <t>セイソウ</t>
    </rPh>
    <rPh sb="5" eb="7">
      <t>シザイ</t>
    </rPh>
    <phoneticPr fontId="21"/>
  </si>
  <si>
    <t>フェロニッケルスラグ骨材</t>
    <rPh sb="10" eb="12">
      <t>コツザイ</t>
    </rPh>
    <phoneticPr fontId="21"/>
  </si>
  <si>
    <t>銅スラグ骨材</t>
    <rPh sb="0" eb="1">
      <t>ドウ</t>
    </rPh>
    <rPh sb="4" eb="6">
      <t>コツザイ</t>
    </rPh>
    <phoneticPr fontId="21"/>
  </si>
  <si>
    <t>電気炉酸化スラグ骨材</t>
    <rPh sb="0" eb="3">
      <t>デンキロ</t>
    </rPh>
    <rPh sb="3" eb="5">
      <t>サンカ</t>
    </rPh>
    <rPh sb="8" eb="10">
      <t>コツザイ</t>
    </rPh>
    <phoneticPr fontId="21"/>
  </si>
  <si>
    <t>②エコマークを取得した「木材などを使用したボード」（エコマーク商品類型111）</t>
    <rPh sb="7" eb="9">
      <t>シュトク</t>
    </rPh>
    <rPh sb="12" eb="14">
      <t>モクザイ</t>
    </rPh>
    <rPh sb="17" eb="19">
      <t>シヨウ</t>
    </rPh>
    <rPh sb="31" eb="33">
      <t>ショウヒン</t>
    </rPh>
    <rPh sb="33" eb="35">
      <t>ルイケイ</t>
    </rPh>
    <phoneticPr fontId="21"/>
  </si>
  <si>
    <t>③エコマークを取得した「間伐材、再・未利用木材などを使用した製品」（エコマーク商品類型115）</t>
    <rPh sb="7" eb="9">
      <t>シュトク</t>
    </rPh>
    <rPh sb="12" eb="15">
      <t>カンバツザイ</t>
    </rPh>
    <rPh sb="16" eb="17">
      <t>サイ</t>
    </rPh>
    <rPh sb="18" eb="21">
      <t>ミリヨウ</t>
    </rPh>
    <rPh sb="21" eb="23">
      <t>モクザイ</t>
    </rPh>
    <rPh sb="26" eb="28">
      <t>シヨウ</t>
    </rPh>
    <rPh sb="30" eb="32">
      <t>セイヒン</t>
    </rPh>
    <rPh sb="39" eb="41">
      <t>ショウヒン</t>
    </rPh>
    <rPh sb="41" eb="43">
      <t>ルイケイ</t>
    </rPh>
    <phoneticPr fontId="21"/>
  </si>
  <si>
    <r>
      <t xml:space="preserve">2.2.6 </t>
    </r>
    <r>
      <rPr>
        <b/>
        <sz val="10"/>
        <rFont val="ＭＳ Ｐゴシック"/>
        <family val="3"/>
        <charset val="128"/>
      </rPr>
      <t>主要設備機器の更新必要間隔</t>
    </r>
    <phoneticPr fontId="21"/>
  </si>
  <si>
    <t>７年未満</t>
    <phoneticPr fontId="21"/>
  </si>
  <si>
    <r>
      <t xml:space="preserve">2.3.1 </t>
    </r>
    <r>
      <rPr>
        <b/>
        <sz val="10"/>
        <rFont val="ＭＳ Ｐゴシック"/>
        <family val="3"/>
        <charset val="128"/>
      </rPr>
      <t>屋上（屋根）・外壁仕上げ材の更新</t>
    </r>
    <phoneticPr fontId="21"/>
  </si>
  <si>
    <r>
      <t xml:space="preserve">2.3.2 </t>
    </r>
    <r>
      <rPr>
        <b/>
        <sz val="10"/>
        <rFont val="ＭＳ Ｐゴシック"/>
        <family val="3"/>
        <charset val="128"/>
      </rPr>
      <t>配管・配線材の更新</t>
    </r>
    <phoneticPr fontId="21"/>
  </si>
  <si>
    <t>重み係数(既定）＝</t>
    <phoneticPr fontId="21"/>
  </si>
  <si>
    <t>事・学・物・飲・会・病・ホ・工・住</t>
    <phoneticPr fontId="21"/>
  </si>
  <si>
    <t>-</t>
    <phoneticPr fontId="21"/>
  </si>
  <si>
    <r>
      <t xml:space="preserve">2.3.3 </t>
    </r>
    <r>
      <rPr>
        <b/>
        <sz val="10"/>
        <rFont val="ＭＳ Ｐゴシック"/>
        <family val="3"/>
        <charset val="128"/>
      </rPr>
      <t>主要設備機器の更新</t>
    </r>
    <phoneticPr fontId="21"/>
  </si>
  <si>
    <t>全て耐用年数以内である。</t>
    <phoneticPr fontId="21"/>
  </si>
  <si>
    <r>
      <t xml:space="preserve">2.4.1 </t>
    </r>
    <r>
      <rPr>
        <b/>
        <sz val="10"/>
        <rFont val="ＭＳ Ｐゴシック"/>
        <family val="3"/>
        <charset val="128"/>
      </rPr>
      <t>空調・換気設備</t>
    </r>
    <phoneticPr fontId="21"/>
  </si>
  <si>
    <t>事・会・病・ホ･工</t>
    <phoneticPr fontId="21"/>
  </si>
  <si>
    <t>学・物・飲・住</t>
    <phoneticPr fontId="21"/>
  </si>
  <si>
    <t>事・学・物・飲・会・病・ホ・工・住【&lt;2000㎡】</t>
    <phoneticPr fontId="21"/>
  </si>
  <si>
    <t>評価する取組みがない。</t>
    <phoneticPr fontId="21"/>
  </si>
  <si>
    <t>一般的な冬期20℃、夏期26℃の設定。</t>
    <phoneticPr fontId="21"/>
  </si>
  <si>
    <t>各居室において一般的な冬期22℃、夏期26℃を設定している。</t>
    <phoneticPr fontId="21"/>
  </si>
  <si>
    <t>ASHRAE快適域やPOEM-Oを参考に冬期22℃～24℃、夏期24℃～26℃の範囲を設定している。</t>
    <phoneticPr fontId="21"/>
  </si>
  <si>
    <t>各居室において冬期22～24℃、夏期24～26℃の範囲を設定している。</t>
    <phoneticPr fontId="21"/>
  </si>
  <si>
    <t>2000年代初頭</t>
    <rPh sb="4" eb="5">
      <t>ネン</t>
    </rPh>
    <rPh sb="5" eb="6">
      <t>ダイ</t>
    </rPh>
    <rPh sb="6" eb="8">
      <t>ショトウ</t>
    </rPh>
    <phoneticPr fontId="21"/>
  </si>
  <si>
    <t>ウレタン変性イソシアヌレートフォーム</t>
  </si>
  <si>
    <t>次世代</t>
    <rPh sb="0" eb="3">
      <t>ジセダイ</t>
    </rPh>
    <phoneticPr fontId="21"/>
  </si>
  <si>
    <t>スチレンオレフィンフォーム</t>
  </si>
  <si>
    <t>2000年以降</t>
    <rPh sb="4" eb="5">
      <t>ネン</t>
    </rPh>
    <rPh sb="5" eb="7">
      <t>イコウ</t>
    </rPh>
    <phoneticPr fontId="21"/>
  </si>
  <si>
    <t>冬期21℃、夏期28℃と程度と多少我慢を強いる室温設定。</t>
    <rPh sb="12" eb="14">
      <t>テイド</t>
    </rPh>
    <phoneticPr fontId="21"/>
  </si>
  <si>
    <t>レベル３を満たさない。</t>
  </si>
  <si>
    <t>冬期20℃、夏期28℃と多少我慢を強いる室温設定。</t>
  </si>
  <si>
    <t>評価する取組みが1つ。または中央式空調換気設備を持たない場合。</t>
  </si>
  <si>
    <t>評価する取組みがない。</t>
    <rPh sb="0" eb="2">
      <t>ヒョウカ</t>
    </rPh>
    <rPh sb="4" eb="5">
      <t>ト</t>
    </rPh>
    <rPh sb="5" eb="6">
      <t>ク</t>
    </rPh>
    <phoneticPr fontId="21"/>
  </si>
  <si>
    <t>評価する取組みが2つ。</t>
    <phoneticPr fontId="21"/>
  </si>
  <si>
    <t>評価する取組みが1つ。</t>
    <rPh sb="0" eb="2">
      <t>ヒョウカ</t>
    </rPh>
    <rPh sb="4" eb="5">
      <t>ト</t>
    </rPh>
    <rPh sb="5" eb="6">
      <t>ク</t>
    </rPh>
    <phoneticPr fontId="21"/>
  </si>
  <si>
    <t>評価する取組みが3つ以上。</t>
  </si>
  <si>
    <t>評価する取組みが2つ以上。</t>
  </si>
  <si>
    <t>評価する取組みが2つ以上。</t>
    <rPh sb="0" eb="2">
      <t>ヒョウカ</t>
    </rPh>
    <rPh sb="4" eb="5">
      <t>ト</t>
    </rPh>
    <rPh sb="5" eb="6">
      <t>ク</t>
    </rPh>
    <rPh sb="10" eb="12">
      <t>イジョウ</t>
    </rPh>
    <phoneticPr fontId="21"/>
  </si>
  <si>
    <t>評価する取り組み</t>
    <rPh sb="0" eb="2">
      <t>ヒョウカ</t>
    </rPh>
    <rPh sb="4" eb="5">
      <t>ト</t>
    </rPh>
    <rPh sb="6" eb="7">
      <t>ク</t>
    </rPh>
    <phoneticPr fontId="21"/>
  </si>
  <si>
    <t>用途</t>
    <rPh sb="0" eb="2">
      <t>ヨウト</t>
    </rPh>
    <phoneticPr fontId="21"/>
  </si>
  <si>
    <t>事・会・病・ホ･工</t>
    <rPh sb="0" eb="1">
      <t>コト</t>
    </rPh>
    <rPh sb="2" eb="3">
      <t>カイ</t>
    </rPh>
    <rPh sb="4" eb="5">
      <t>ヤマイ</t>
    </rPh>
    <rPh sb="8" eb="9">
      <t>コウ</t>
    </rPh>
    <phoneticPr fontId="21"/>
  </si>
  <si>
    <t>学・物・飲・住</t>
    <rPh sb="0" eb="1">
      <t>ガク</t>
    </rPh>
    <rPh sb="2" eb="3">
      <t>モノ</t>
    </rPh>
    <rPh sb="4" eb="5">
      <t>イン</t>
    </rPh>
    <rPh sb="6" eb="7">
      <t>ジュウ</t>
    </rPh>
    <phoneticPr fontId="21"/>
  </si>
  <si>
    <t>事・学・物・飲・会・病・ホ・工・住【&lt;2000㎡】</t>
    <rPh sb="0" eb="1">
      <t>コト</t>
    </rPh>
    <rPh sb="2" eb="3">
      <t>ガク</t>
    </rPh>
    <rPh sb="4" eb="5">
      <t>モノ</t>
    </rPh>
    <rPh sb="6" eb="7">
      <t>イン</t>
    </rPh>
    <rPh sb="8" eb="9">
      <t>カイ</t>
    </rPh>
    <rPh sb="10" eb="11">
      <t>ヤマイ</t>
    </rPh>
    <rPh sb="14" eb="15">
      <t>コウ</t>
    </rPh>
    <rPh sb="16" eb="17">
      <t>ジュウ</t>
    </rPh>
    <phoneticPr fontId="21"/>
  </si>
  <si>
    <t>床面積</t>
    <rPh sb="0" eb="3">
      <t>ユカメンセキ</t>
    </rPh>
    <phoneticPr fontId="21"/>
  </si>
  <si>
    <t>得点</t>
    <rPh sb="0" eb="2">
      <t>トクテン</t>
    </rPh>
    <phoneticPr fontId="21"/>
  </si>
  <si>
    <t>耐震クラスB（大地震後に人命の安全および二次災害の防止が図られている。）または、動的解析を行った上で設計用水平震度KHを1.0以上としている。</t>
    <phoneticPr fontId="21"/>
  </si>
  <si>
    <t>製造熱量/熱源機消費エネルギー（1次エネルギー基準）/蓄熱槽有効蓄熱量/蓄熱槽利用効率</t>
    <phoneticPr fontId="21"/>
  </si>
  <si>
    <t>昇降機</t>
  </si>
  <si>
    <t>各種管制運転効果</t>
  </si>
  <si>
    <t>削減エネルギー量</t>
    <phoneticPr fontId="21"/>
  </si>
  <si>
    <t>太陽光発電設備評価</t>
  </si>
  <si>
    <t>発電効率/定格効率/年間効率</t>
    <phoneticPr fontId="21"/>
  </si>
  <si>
    <t>発電効率/総合効率/省エネルギー率</t>
  </si>
  <si>
    <t>空調CO2制御効果、換気CO2制御効果、タスクアンビエント空調効果、タスクアンビエント照明効果など</t>
  </si>
  <si>
    <t>NOx、SOx、ばいじんについて、発生源におけるガス又はばいじんの濃度が、大気汚染防止法、低NOx型小規模燃焼機器の推奨ガイドライン（環境省）ならびに地域の条例等で定められる現行の排出基準を上回っている。</t>
    <phoneticPr fontId="21"/>
  </si>
  <si>
    <t>NOx、SOx、ばいじんについて、発生源におけるガス又はばいじんの濃度が、大気汚染防止法、低NOx型小規模燃焼機器の推奨ガイドライン（環境省）ならびに地域の条例等で定められる現行の排出基準以下に抑えられている。</t>
    <phoneticPr fontId="21"/>
  </si>
  <si>
    <t>NOx、SOx、ばいじんについて、発生源におけるガス又はばいじんの濃度が、大気汚染防止法、低NOx型小規模燃焼機器の推奨ガイドライン（環境省）ならびに地域の条例等で定められる現行の排出基準より大幅に抑えられている。</t>
    <phoneticPr fontId="21"/>
  </si>
  <si>
    <t>一次ｴﾈﾙｷﾞｰ消費量</t>
    <rPh sb="0" eb="2">
      <t>イチジ</t>
    </rPh>
    <rPh sb="8" eb="11">
      <t>ショウヒリョウ</t>
    </rPh>
    <phoneticPr fontId="21"/>
  </si>
  <si>
    <r>
      <t>kg-CO</t>
    </r>
    <r>
      <rPr>
        <vertAlign val="subscript"/>
        <sz val="10"/>
        <rFont val="ＭＳ Ｐゴシック"/>
        <family val="3"/>
        <charset val="128"/>
      </rPr>
      <t>2</t>
    </r>
    <r>
      <rPr>
        <sz val="10"/>
        <rFont val="ＭＳ Ｐゴシック"/>
        <family val="3"/>
        <charset val="128"/>
      </rPr>
      <t>/年</t>
    </r>
    <rPh sb="7" eb="8">
      <t>ネン</t>
    </rPh>
    <phoneticPr fontId="21"/>
  </si>
  <si>
    <t>時間外や休日時には、居住者のフロア全体が空調可能なシステムとなっている。</t>
  </si>
  <si>
    <t>時間外や休日時には、居住者のゾーンのみ空調可能なシステムとなっている。</t>
  </si>
  <si>
    <t>湿度制御</t>
    <rPh sb="0" eb="2">
      <t>シツド</t>
    </rPh>
    <rPh sb="2" eb="4">
      <t>セイギョ</t>
    </rPh>
    <phoneticPr fontId="21"/>
  </si>
  <si>
    <t>学(大学等)</t>
    <rPh sb="0" eb="1">
      <t>ガク</t>
    </rPh>
    <phoneticPr fontId="21"/>
  </si>
  <si>
    <t>何も配慮していない。</t>
  </si>
  <si>
    <t>適切な換気機能を有し、熱橋となる部分の断熱補強、防湿層、通気層の設置等の結露防止対策がとられている。</t>
  </si>
  <si>
    <t>除湿機能を有し、熱橋となる部分の断熱補強、防湿層、通気層の設置等の結露防止対策がとられている。</t>
  </si>
  <si>
    <t>レベル３を満たさない。</t>
    <phoneticPr fontId="21"/>
  </si>
  <si>
    <t>簡易評価</t>
    <rPh sb="0" eb="2">
      <t>カンイ</t>
    </rPh>
    <rPh sb="2" eb="4">
      <t>ヒョウカ</t>
    </rPh>
    <phoneticPr fontId="21"/>
  </si>
  <si>
    <r>
      <t xml:space="preserve">■ </t>
    </r>
    <r>
      <rPr>
        <sz val="10"/>
        <rFont val="ＭＳ Ｐゴシック"/>
        <family val="3"/>
        <charset val="128"/>
      </rPr>
      <t>作成者</t>
    </r>
    <rPh sb="2" eb="5">
      <t>サクセイシャ</t>
    </rPh>
    <phoneticPr fontId="21"/>
  </si>
  <si>
    <t>○○○</t>
    <phoneticPr fontId="21"/>
  </si>
  <si>
    <t>省エネルギー計画書による評価</t>
    <rPh sb="0" eb="1">
      <t>ショウ</t>
    </rPh>
    <rPh sb="6" eb="9">
      <t>ケイカクショ</t>
    </rPh>
    <rPh sb="12" eb="14">
      <t>ヒョウカ</t>
    </rPh>
    <phoneticPr fontId="21"/>
  </si>
  <si>
    <r>
      <t xml:space="preserve">■ </t>
    </r>
    <r>
      <rPr>
        <sz val="10"/>
        <rFont val="ＭＳ Ｐゴシック"/>
        <family val="3"/>
        <charset val="128"/>
      </rPr>
      <t>確認日</t>
    </r>
    <rPh sb="2" eb="4">
      <t>カクニン</t>
    </rPh>
    <rPh sb="4" eb="5">
      <t>ビ</t>
    </rPh>
    <phoneticPr fontId="21"/>
  </si>
  <si>
    <t>竣工段階</t>
    <rPh sb="0" eb="2">
      <t>シュンコウ</t>
    </rPh>
    <rPh sb="2" eb="4">
      <t>ダンカイ</t>
    </rPh>
    <phoneticPr fontId="21"/>
  </si>
  <si>
    <r>
      <t xml:space="preserve">■ </t>
    </r>
    <r>
      <rPr>
        <sz val="10"/>
        <rFont val="ＭＳ Ｐゴシック"/>
        <family val="3"/>
        <charset val="128"/>
      </rPr>
      <t>確認者</t>
    </r>
    <rPh sb="2" eb="4">
      <t>カクニン</t>
    </rPh>
    <rPh sb="4" eb="5">
      <t>シャ</t>
    </rPh>
    <phoneticPr fontId="21"/>
  </si>
  <si>
    <r>
      <t>■</t>
    </r>
    <r>
      <rPr>
        <sz val="10"/>
        <rFont val="ＭＳ Ｐゴシック"/>
        <family val="3"/>
        <charset val="128"/>
      </rPr>
      <t>LCCO2の計算</t>
    </r>
    <rPh sb="7" eb="9">
      <t>ケイサン</t>
    </rPh>
    <phoneticPr fontId="21"/>
  </si>
  <si>
    <t>標準計算</t>
    <rPh sb="0" eb="2">
      <t>ヒョウジュン</t>
    </rPh>
    <rPh sb="2" eb="4">
      <t>ケイサン</t>
    </rPh>
    <phoneticPr fontId="21"/>
  </si>
  <si>
    <t>→LCCO2算定条件シート（標準計算）を入力</t>
    <rPh sb="6" eb="8">
      <t>サンテイ</t>
    </rPh>
    <rPh sb="8" eb="10">
      <t>ジョウケン</t>
    </rPh>
    <rPh sb="14" eb="16">
      <t>ヒョウジュン</t>
    </rPh>
    <rPh sb="16" eb="18">
      <t>ケイサン</t>
    </rPh>
    <rPh sb="20" eb="22">
      <t>ニュウリョク</t>
    </rPh>
    <phoneticPr fontId="21"/>
  </si>
  <si>
    <t>個別計算</t>
    <rPh sb="0" eb="2">
      <t>コベツ</t>
    </rPh>
    <rPh sb="2" eb="4">
      <t>ケイサン</t>
    </rPh>
    <phoneticPr fontId="21"/>
  </si>
  <si>
    <t>→LCCO2算定条件シート（個別計算）を入力</t>
    <rPh sb="6" eb="8">
      <t>サンテイ</t>
    </rPh>
    <rPh sb="8" eb="10">
      <t>ジョウケン</t>
    </rPh>
    <rPh sb="14" eb="16">
      <t>コベツ</t>
    </rPh>
    <rPh sb="16" eb="18">
      <t>ケイサン</t>
    </rPh>
    <rPh sb="20" eb="22">
      <t>ニュウリョク</t>
    </rPh>
    <phoneticPr fontId="21"/>
  </si>
  <si>
    <t>2) 個別用途入力</t>
    <rPh sb="3" eb="5">
      <t>コベツ</t>
    </rPh>
    <rPh sb="5" eb="7">
      <t>ヨウト</t>
    </rPh>
    <rPh sb="7" eb="9">
      <t>ニュウリョク</t>
    </rPh>
    <phoneticPr fontId="21"/>
  </si>
  <si>
    <t>①用途別延床面積　　</t>
    <rPh sb="1" eb="3">
      <t>ヨウト</t>
    </rPh>
    <rPh sb="3" eb="4">
      <t>ベツ</t>
    </rPh>
    <rPh sb="4" eb="5">
      <t>ノ</t>
    </rPh>
    <rPh sb="5" eb="6">
      <t>ユカ</t>
    </rPh>
    <rPh sb="6" eb="8">
      <t>メンセキ</t>
    </rPh>
    <phoneticPr fontId="21"/>
  </si>
  <si>
    <t>事務所</t>
  </si>
  <si>
    <t xml:space="preserve"> 学校</t>
  </si>
  <si>
    <t>学校</t>
  </si>
  <si>
    <t xml:space="preserve"> 物販店</t>
  </si>
  <si>
    <t>物販店</t>
  </si>
  <si>
    <t xml:space="preserve"> 飲食店</t>
  </si>
  <si>
    <t>飲食店</t>
  </si>
  <si>
    <t xml:space="preserve"> 集会所</t>
    <rPh sb="1" eb="3">
      <t>シュウカイ</t>
    </rPh>
    <rPh sb="3" eb="4">
      <t>ジョ</t>
    </rPh>
    <phoneticPr fontId="21"/>
  </si>
  <si>
    <t>集会所</t>
    <rPh sb="2" eb="3">
      <t>ショ</t>
    </rPh>
    <phoneticPr fontId="21"/>
  </si>
  <si>
    <t xml:space="preserve"> 工場</t>
    <rPh sb="1" eb="3">
      <t>コウジョウ</t>
    </rPh>
    <phoneticPr fontId="21"/>
  </si>
  <si>
    <t>病院</t>
  </si>
  <si>
    <t xml:space="preserve"> 病院</t>
  </si>
  <si>
    <t>ホテル</t>
    <phoneticPr fontId="21"/>
  </si>
  <si>
    <t xml:space="preserve"> ホテル</t>
  </si>
  <si>
    <t>集合住宅</t>
  </si>
  <si>
    <t xml:space="preserve"> 集合住宅</t>
  </si>
  <si>
    <t>工場</t>
    <rPh sb="0" eb="2">
      <t>コウジョウ</t>
    </rPh>
    <phoneticPr fontId="21"/>
  </si>
  <si>
    <t>② 住居・宿泊部分の比率</t>
    <rPh sb="2" eb="4">
      <t>ジュウキョ</t>
    </rPh>
    <rPh sb="5" eb="7">
      <t>シュクハク</t>
    </rPh>
    <rPh sb="7" eb="9">
      <t>ブブン</t>
    </rPh>
    <rPh sb="10" eb="12">
      <t>ヒリツ</t>
    </rPh>
    <phoneticPr fontId="21"/>
  </si>
  <si>
    <t>合計</t>
    <rPh sb="0" eb="2">
      <t>ゴウケイ</t>
    </rPh>
    <phoneticPr fontId="21"/>
  </si>
  <si>
    <t>簡易版</t>
    <rPh sb="0" eb="3">
      <t>カンイバン</t>
    </rPh>
    <phoneticPr fontId="21"/>
  </si>
  <si>
    <t>バージョン</t>
    <phoneticPr fontId="21"/>
  </si>
  <si>
    <t>空気取り入れ口は敷地周囲の状況を勘案して、汚染源のない方位に設けられている。かつ、各種排気口と6ｍ以上離れて設置されている。</t>
  </si>
  <si>
    <t>共用部</t>
    <rPh sb="0" eb="3">
      <t>キョウヨウブ</t>
    </rPh>
    <phoneticPr fontId="21"/>
  </si>
  <si>
    <t>事・学(大学等)・病・ホ・工・住</t>
    <rPh sb="4" eb="6">
      <t>ダイガク</t>
    </rPh>
    <rPh sb="6" eb="7">
      <t>トウ</t>
    </rPh>
    <rPh sb="15" eb="16">
      <t>ジュウ</t>
    </rPh>
    <phoneticPr fontId="21"/>
  </si>
  <si>
    <t>学（小中高）</t>
    <rPh sb="0" eb="1">
      <t>ガク</t>
    </rPh>
    <rPh sb="2" eb="3">
      <t>ショウ</t>
    </rPh>
    <rPh sb="3" eb="4">
      <t>チュウ</t>
    </rPh>
    <rPh sb="4" eb="5">
      <t>コウ</t>
    </rPh>
    <phoneticPr fontId="21"/>
  </si>
  <si>
    <t>何もない。</t>
  </si>
  <si>
    <t>建物全体・共用部分</t>
    <phoneticPr fontId="21"/>
  </si>
  <si>
    <t>学（小中高）</t>
    <rPh sb="0" eb="1">
      <t>ガク</t>
    </rPh>
    <rPh sb="2" eb="5">
      <t>ショウチュウコウ</t>
    </rPh>
    <phoneticPr fontId="21"/>
  </si>
  <si>
    <t>判定表</t>
    <rPh sb="0" eb="2">
      <t>ハンテイ</t>
    </rPh>
    <rPh sb="2" eb="3">
      <t>ヒョウ</t>
    </rPh>
    <phoneticPr fontId="21"/>
  </si>
  <si>
    <t>　評価項目</t>
  </si>
  <si>
    <t>（ア）</t>
  </si>
  <si>
    <t>児童生徒等から見て、黒板の外側15°以内の範囲に輝きの強い光源（昼光の場合は窓）がない。</t>
  </si>
  <si>
    <t>（イ）</t>
  </si>
  <si>
    <t>見え方を妨害するような光沢が、黒板及び机上面にない。</t>
  </si>
  <si>
    <t>（ウ）</t>
  </si>
  <si>
    <t>見え方を妨害するような電灯や明るい窓等が、テレビ及びコンピュータ等の画面に映じていない。</t>
  </si>
  <si>
    <t>ホ・住</t>
    <rPh sb="2" eb="3">
      <t>ジュウ</t>
    </rPh>
    <phoneticPr fontId="21"/>
  </si>
  <si>
    <t>レベル３を満たし、かつ壁面の鉛直面照度が100lx以上</t>
  </si>
  <si>
    <t>レベル３を満たし、かつ壁面の鉛直面照度が100lx以上</t>
    <rPh sb="11" eb="13">
      <t>ヘキメン</t>
    </rPh>
    <rPh sb="14" eb="15">
      <t>ナマリ</t>
    </rPh>
    <rPh sb="15" eb="17">
      <t>チョクメン</t>
    </rPh>
    <rPh sb="17" eb="19">
      <t>ショウド</t>
    </rPh>
    <rPh sb="25" eb="27">
      <t>イジョウ</t>
    </rPh>
    <phoneticPr fontId="21"/>
  </si>
  <si>
    <t>バックアップ設備のためのスペースが計画的に確保されている。</t>
  </si>
  <si>
    <t>事・学・物・飲・会・病・ホ・工・住</t>
    <rPh sb="0" eb="1">
      <t>コト</t>
    </rPh>
    <rPh sb="2" eb="3">
      <t>ガク</t>
    </rPh>
    <rPh sb="4" eb="5">
      <t>モノ</t>
    </rPh>
    <rPh sb="6" eb="7">
      <t>イン</t>
    </rPh>
    <rPh sb="8" eb="9">
      <t>カイ</t>
    </rPh>
    <rPh sb="10" eb="11">
      <t>ヤマイ</t>
    </rPh>
    <phoneticPr fontId="21"/>
  </si>
  <si>
    <t>対応可能な</t>
    <rPh sb="0" eb="2">
      <t>タイオウ</t>
    </rPh>
    <rPh sb="2" eb="3">
      <t>カ</t>
    </rPh>
    <rPh sb="3" eb="4">
      <t>ノウ</t>
    </rPh>
    <phoneticPr fontId="21"/>
  </si>
  <si>
    <t>同一フロアで冷暖房のゾーニングが無く、１系統で空調システムが計画されている。空調モードの選択では冷暖房の切り替えが必要である。</t>
  </si>
  <si>
    <t>単一ダクト方式、２管式ＦＣＵ方式（ゾーニングがない、冷暖切り替え）</t>
  </si>
  <si>
    <t>方位別、ペリメータとインテリア別や内部負荷の分布などを考慮し、大まかな空調のゾーニングがなされており、冷房・暖房は切り替えとなる空調システムとしている。</t>
    <phoneticPr fontId="21"/>
  </si>
  <si>
    <t>⑦　外部ガラスや給排気口、照明など高所の維持管理作業を安全に行える設計をしている。</t>
    <phoneticPr fontId="21"/>
  </si>
  <si>
    <t>⑨　清掃時用の適度な照度の設定が可能である。</t>
    <phoneticPr fontId="21"/>
  </si>
  <si>
    <t>⑩　バルブ等の日常的に調整が必要な機器は、操作が容易な位置に設定されている。</t>
    <phoneticPr fontId="21"/>
  </si>
  <si>
    <t xml:space="preserve"> Q1 2.1</t>
  </si>
  <si>
    <t>室温設定</t>
  </si>
  <si>
    <t>2.1.2</t>
  </si>
  <si>
    <t>負荷変動・追従制御性</t>
  </si>
  <si>
    <t>2.1.3</t>
  </si>
  <si>
    <t>外皮性能</t>
  </si>
  <si>
    <r>
      <t>騒音規制法または大規模小売店舗立地法に定める現行の規制基準注</t>
    </r>
    <r>
      <rPr>
        <vertAlign val="superscript"/>
        <sz val="9"/>
        <rFont val="ＭＳ Ｐゴシック"/>
        <family val="3"/>
        <charset val="128"/>
      </rPr>
      <t>*1</t>
    </r>
    <r>
      <rPr>
        <sz val="9"/>
        <rFont val="ＭＳ Ｐゴシック"/>
        <family val="3"/>
        <charset val="128"/>
      </rPr>
      <t>より大幅注</t>
    </r>
    <r>
      <rPr>
        <vertAlign val="superscript"/>
        <sz val="9"/>
        <rFont val="ＭＳ Ｐゴシック"/>
        <family val="3"/>
        <charset val="128"/>
      </rPr>
      <t>*2</t>
    </r>
    <r>
      <rPr>
        <sz val="9"/>
        <rFont val="ＭＳ Ｐゴシック"/>
        <family val="3"/>
        <charset val="128"/>
      </rPr>
      <t>に抑えられている</t>
    </r>
    <rPh sb="0" eb="2">
      <t>ソウオン</t>
    </rPh>
    <rPh sb="2" eb="5">
      <t>キセイホウ</t>
    </rPh>
    <rPh sb="8" eb="11">
      <t>ダイキボ</t>
    </rPh>
    <rPh sb="11" eb="13">
      <t>コウリ</t>
    </rPh>
    <rPh sb="13" eb="15">
      <t>テンポ</t>
    </rPh>
    <rPh sb="15" eb="17">
      <t>リッチ</t>
    </rPh>
    <rPh sb="17" eb="18">
      <t>ホウ</t>
    </rPh>
    <rPh sb="19" eb="20">
      <t>サダ</t>
    </rPh>
    <rPh sb="22" eb="24">
      <t>ゲンコウ</t>
    </rPh>
    <rPh sb="25" eb="27">
      <t>キセイ</t>
    </rPh>
    <rPh sb="27" eb="29">
      <t>キジュン</t>
    </rPh>
    <rPh sb="29" eb="30">
      <t>チュウ</t>
    </rPh>
    <rPh sb="34" eb="36">
      <t>オオハバ</t>
    </rPh>
    <rPh sb="36" eb="37">
      <t>チュウ</t>
    </rPh>
    <rPh sb="40" eb="41">
      <t>オサ</t>
    </rPh>
    <phoneticPr fontId="21"/>
  </si>
  <si>
    <t>-</t>
    <phoneticPr fontId="21"/>
  </si>
  <si>
    <t>-</t>
    <phoneticPr fontId="21"/>
  </si>
  <si>
    <t>■CO2データベース</t>
    <phoneticPr fontId="21"/>
  </si>
  <si>
    <t>レベル3</t>
    <phoneticPr fontId="21"/>
  </si>
  <si>
    <t>レベル4</t>
    <phoneticPr fontId="21"/>
  </si>
  <si>
    <t>レベル5</t>
    <phoneticPr fontId="21"/>
  </si>
  <si>
    <t>ホテル</t>
    <phoneticPr fontId="21"/>
  </si>
  <si>
    <t>kg-CO2/kWh）</t>
    <phoneticPr fontId="21"/>
  </si>
  <si>
    <t>人・時間あたり指標</t>
    <rPh sb="0" eb="1">
      <t>ニン</t>
    </rPh>
    <rPh sb="2" eb="4">
      <t>ジカン</t>
    </rPh>
    <rPh sb="7" eb="9">
      <t>シヒョウ</t>
    </rPh>
    <phoneticPr fontId="21"/>
  </si>
  <si>
    <t>レベル3</t>
    <phoneticPr fontId="21"/>
  </si>
  <si>
    <t>レベル4</t>
    <phoneticPr fontId="21"/>
  </si>
  <si>
    <t>レベル5</t>
    <phoneticPr fontId="21"/>
  </si>
  <si>
    <t>事務所</t>
    <phoneticPr fontId="21"/>
  </si>
  <si>
    <r>
      <t>■LCCO</t>
    </r>
    <r>
      <rPr>
        <b/>
        <vertAlign val="subscript"/>
        <sz val="12"/>
        <rFont val="ＭＳ Ｐゴシック"/>
        <family val="3"/>
        <charset val="128"/>
      </rPr>
      <t>2</t>
    </r>
    <r>
      <rPr>
        <b/>
        <sz val="12"/>
        <rFont val="ＭＳ Ｐゴシック"/>
        <family val="3"/>
        <charset val="128"/>
      </rPr>
      <t>算定条件シート(標準計算）</t>
    </r>
    <rPh sb="14" eb="16">
      <t>ヒョウジュン</t>
    </rPh>
    <rPh sb="16" eb="18">
      <t>ケイサン</t>
    </rPh>
    <phoneticPr fontId="21"/>
  </si>
  <si>
    <t>バウンダリー</t>
    <phoneticPr fontId="21"/>
  </si>
  <si>
    <r>
      <t>ｍ</t>
    </r>
    <r>
      <rPr>
        <vertAlign val="superscript"/>
        <sz val="10"/>
        <rFont val="ＭＳ Ｐゴシック"/>
        <family val="3"/>
        <charset val="128"/>
      </rPr>
      <t>3</t>
    </r>
    <r>
      <rPr>
        <sz val="10"/>
        <rFont val="ＭＳ Ｐゴシック"/>
        <family val="3"/>
        <charset val="128"/>
      </rPr>
      <t>/㎡</t>
    </r>
    <phoneticPr fontId="21"/>
  </si>
  <si>
    <t>□　□</t>
    <phoneticPr fontId="21"/>
  </si>
  <si>
    <t>○○</t>
    <phoneticPr fontId="21"/>
  </si>
  <si>
    <t>kg/㎡</t>
    <phoneticPr fontId="21"/>
  </si>
  <si>
    <t>〃</t>
    <phoneticPr fontId="21"/>
  </si>
  <si>
    <t>修繕・更新・</t>
    <phoneticPr fontId="21"/>
  </si>
  <si>
    <t>解体段階</t>
    <phoneticPr fontId="21"/>
  </si>
  <si>
    <t>①参照値／
②建築物の取組み</t>
    <phoneticPr fontId="21"/>
  </si>
  <si>
    <t>③上記+②以外の
　オンサイト手法</t>
    <phoneticPr fontId="21"/>
  </si>
  <si>
    <t>－</t>
    <phoneticPr fontId="21"/>
  </si>
  <si>
    <t>kg-CO2/年㎡</t>
    <phoneticPr fontId="21"/>
  </si>
  <si>
    <t>kg-CO2/年㎡</t>
    <phoneticPr fontId="21"/>
  </si>
  <si>
    <t>kg-CO2/年㎡</t>
    <phoneticPr fontId="21"/>
  </si>
  <si>
    <t>－</t>
    <phoneticPr fontId="21"/>
  </si>
  <si>
    <t>④上記+
　オフサイト手法</t>
    <phoneticPr fontId="21"/>
  </si>
  <si>
    <t>kg-CO2/年㎡</t>
    <phoneticPr fontId="21"/>
  </si>
  <si>
    <t>(a)　グリーン電力証書によるカーボンオフセット</t>
    <phoneticPr fontId="21"/>
  </si>
  <si>
    <t>(b)グリーン熱証書によるカーボンオフセット</t>
    <phoneticPr fontId="21"/>
  </si>
  <si>
    <t>（ｃ）その他カーボンクレジット</t>
    <phoneticPr fontId="21"/>
  </si>
  <si>
    <t>(d)調整後排出量（調整後排出係数による）と実排出量の差</t>
    <phoneticPr fontId="21"/>
  </si>
  <si>
    <r>
      <t xml:space="preserve">2.2.1 </t>
    </r>
    <r>
      <rPr>
        <b/>
        <sz val="10"/>
        <rFont val="ＭＳ Ｐゴシック"/>
        <family val="3"/>
        <charset val="128"/>
      </rPr>
      <t>躯体材料の耐用年数</t>
    </r>
    <rPh sb="6" eb="8">
      <t>クタイ</t>
    </rPh>
    <rPh sb="8" eb="10">
      <t>ザイリョウ</t>
    </rPh>
    <rPh sb="11" eb="13">
      <t>タイヨウ</t>
    </rPh>
    <rPh sb="13" eb="15">
      <t>ネンスウ</t>
    </rPh>
    <phoneticPr fontId="21"/>
  </si>
  <si>
    <t>10年未満</t>
  </si>
  <si>
    <t>10年以上～20年未満</t>
  </si>
  <si>
    <t>20年</t>
  </si>
  <si>
    <t>冬期20℃以上 、夏期25℃以下の設定。</t>
    <rPh sb="5" eb="7">
      <t>イジョウ</t>
    </rPh>
    <rPh sb="14" eb="16">
      <t>イカ</t>
    </rPh>
    <phoneticPr fontId="21"/>
  </si>
  <si>
    <t>冬期22℃以上、夏期24℃以下の設定。</t>
    <rPh sb="5" eb="7">
      <t>イジョウ</t>
    </rPh>
    <rPh sb="13" eb="15">
      <t>イカ</t>
    </rPh>
    <phoneticPr fontId="21"/>
  </si>
  <si>
    <t>ASHRAE快適域やPOEM-Oを参考に冬期20℃～22℃、夏期24℃～26℃の範囲を設定している。</t>
    <phoneticPr fontId="21"/>
  </si>
  <si>
    <r>
      <t>LR2</t>
    </r>
    <r>
      <rPr>
        <b/>
        <sz val="12"/>
        <rFont val="ＭＳ Ｐゴシック"/>
        <family val="3"/>
        <charset val="128"/>
      </rPr>
      <t>　資源・マテリアル</t>
    </r>
    <rPh sb="4" eb="6">
      <t>シゲン</t>
    </rPh>
    <phoneticPr fontId="21"/>
  </si>
  <si>
    <t>水資源保護</t>
    <rPh sb="0" eb="1">
      <t>ミズ</t>
    </rPh>
    <rPh sb="1" eb="3">
      <t>シゲン</t>
    </rPh>
    <rPh sb="3" eb="5">
      <t>ホゴ</t>
    </rPh>
    <phoneticPr fontId="21"/>
  </si>
  <si>
    <t>事・学・物・飲・会・病・ホ･工・住</t>
    <rPh sb="0" eb="1">
      <t>コト</t>
    </rPh>
    <rPh sb="2" eb="3">
      <t>ガク</t>
    </rPh>
    <rPh sb="4" eb="5">
      <t>モノ</t>
    </rPh>
    <rPh sb="6" eb="7">
      <t>イン</t>
    </rPh>
    <rPh sb="8" eb="9">
      <t>カイ</t>
    </rPh>
    <rPh sb="10" eb="11">
      <t>ヤマイ</t>
    </rPh>
    <rPh sb="16" eb="17">
      <t>ジュウ</t>
    </rPh>
    <phoneticPr fontId="21"/>
  </si>
  <si>
    <t>主要水栓に節水コマなどが取り付けられている。</t>
  </si>
  <si>
    <t>雨水利用・雑排水等の利用</t>
    <rPh sb="0" eb="2">
      <t>ｳｽｲ</t>
    </rPh>
    <rPh sb="2" eb="4">
      <t>ﾘﾖｳ</t>
    </rPh>
    <rPh sb="5" eb="8">
      <t>ｻﾞﾂﾊｲｽｲ</t>
    </rPh>
    <rPh sb="8" eb="9">
      <t>ﾄｳ</t>
    </rPh>
    <rPh sb="10" eb="12">
      <t>ﾘﾖｳ</t>
    </rPh>
    <phoneticPr fontId="63" type="noConversion"/>
  </si>
  <si>
    <t>小中高は既存も新築の基準</t>
    <rPh sb="0" eb="3">
      <t>ショウチュウコウ</t>
    </rPh>
    <rPh sb="4" eb="6">
      <t>キソン</t>
    </rPh>
    <rPh sb="7" eb="9">
      <t>シンチク</t>
    </rPh>
    <rPh sb="10" eb="12">
      <t>キジュン</t>
    </rPh>
    <phoneticPr fontId="21"/>
  </si>
  <si>
    <t>学校施設として標準的な取り組みをしている</t>
    <rPh sb="0" eb="2">
      <t>ガッコウ</t>
    </rPh>
    <rPh sb="2" eb="4">
      <t>シセツ</t>
    </rPh>
    <rPh sb="7" eb="10">
      <t>ヒョウジュンテキ</t>
    </rPh>
    <rPh sb="11" eb="12">
      <t>ト</t>
    </rPh>
    <rPh sb="13" eb="14">
      <t>ク</t>
    </rPh>
    <phoneticPr fontId="21"/>
  </si>
  <si>
    <t>主要構造部が非木造躯体（RC造/SRC造/S造）である場合で、評価する取組み表の評価ポイントの合計値が3ポイント以上</t>
    <rPh sb="56" eb="58">
      <t>イジョウ</t>
    </rPh>
    <phoneticPr fontId="21"/>
  </si>
  <si>
    <t>主要構造部が非木造躯体（RC造/SRC造/S造）である場合で、評価する取組み表の評価ポイントの合計値が5ポイント以上</t>
    <rPh sb="56" eb="58">
      <t>イジョウ</t>
    </rPh>
    <phoneticPr fontId="21"/>
  </si>
  <si>
    <t>主要構造部に強度の高い材料を使用することにより、使用材料の軽減化を図っている</t>
    <rPh sb="0" eb="2">
      <t>シュヨウ</t>
    </rPh>
    <rPh sb="2" eb="4">
      <t>コウゾウ</t>
    </rPh>
    <rPh sb="4" eb="5">
      <t>ブ</t>
    </rPh>
    <rPh sb="6" eb="8">
      <t>キョウド</t>
    </rPh>
    <rPh sb="9" eb="10">
      <t>タカ</t>
    </rPh>
    <rPh sb="11" eb="13">
      <t>ザイリョウ</t>
    </rPh>
    <rPh sb="14" eb="16">
      <t>シヨウ</t>
    </rPh>
    <rPh sb="24" eb="26">
      <t>シヨウ</t>
    </rPh>
    <rPh sb="26" eb="28">
      <t>ザイリョウ</t>
    </rPh>
    <rPh sb="29" eb="32">
      <t>ケイゲンカ</t>
    </rPh>
    <rPh sb="33" eb="34">
      <t>ハカ</t>
    </rPh>
    <phoneticPr fontId="21"/>
  </si>
  <si>
    <t>Fc=36以上60未満　かつF=390以上</t>
    <rPh sb="19" eb="21">
      <t>イジョウ</t>
    </rPh>
    <phoneticPr fontId="21"/>
  </si>
  <si>
    <t>F=325以上　355未満</t>
    <rPh sb="11" eb="13">
      <t>ミマン</t>
    </rPh>
    <phoneticPr fontId="21"/>
  </si>
  <si>
    <t>主要構造躯体の鉄骨の基準強度F&gt;単位:N/mm2</t>
    <rPh sb="10" eb="12">
      <t>キジュン</t>
    </rPh>
    <phoneticPr fontId="21"/>
  </si>
  <si>
    <t>プレストレスコンクリートの使用　（部材断面を小さくする事で、使用材料の削減に寄与）</t>
  </si>
  <si>
    <t>その他これに準ずるもの</t>
  </si>
  <si>
    <t>既存建築躯体等の継続使用</t>
    <rPh sb="0" eb="2">
      <t>キソン</t>
    </rPh>
    <rPh sb="2" eb="4">
      <t>ケンチク</t>
    </rPh>
    <rPh sb="4" eb="6">
      <t>クタイ</t>
    </rPh>
    <rPh sb="6" eb="7">
      <t>トウ</t>
    </rPh>
    <rPh sb="8" eb="10">
      <t>ケイゾク</t>
    </rPh>
    <rPh sb="10" eb="12">
      <t>シヨウ</t>
    </rPh>
    <phoneticPr fontId="21"/>
  </si>
  <si>
    <t>レベル５は、スコアシートに採用したリサイクル資材名を記述</t>
    <rPh sb="13" eb="15">
      <t>サイヨウ</t>
    </rPh>
    <rPh sb="22" eb="24">
      <t>シザイ</t>
    </rPh>
    <rPh sb="24" eb="25">
      <t>メイ</t>
    </rPh>
    <rPh sb="26" eb="28">
      <t>キジュツ</t>
    </rPh>
    <phoneticPr fontId="21"/>
  </si>
  <si>
    <t>リサイクル資材の種類と採用した部位（30字以内）</t>
    <rPh sb="5" eb="7">
      <t>シザイ</t>
    </rPh>
    <rPh sb="8" eb="10">
      <t>シュルイ</t>
    </rPh>
    <rPh sb="11" eb="13">
      <t>サイヨウ</t>
    </rPh>
    <rPh sb="15" eb="17">
      <t>ブイ</t>
    </rPh>
    <rPh sb="20" eb="21">
      <t>ジ</t>
    </rPh>
    <rPh sb="21" eb="23">
      <t>イナイ</t>
    </rPh>
    <phoneticPr fontId="21"/>
  </si>
  <si>
    <t>リサイクル資材の例</t>
    <rPh sb="5" eb="7">
      <t>シザイ</t>
    </rPh>
    <rPh sb="8" eb="9">
      <t>レイ</t>
    </rPh>
    <phoneticPr fontId="21"/>
  </si>
  <si>
    <t>品目名</t>
    <rPh sb="0" eb="2">
      <t>ヒンモク</t>
    </rPh>
    <rPh sb="2" eb="3">
      <t>メイ</t>
    </rPh>
    <phoneticPr fontId="21"/>
  </si>
  <si>
    <t>①グリーン調達品目（公共工事）</t>
    <rPh sb="5" eb="7">
      <t>チョウタツ</t>
    </rPh>
    <rPh sb="7" eb="9">
      <t>ヒンモク</t>
    </rPh>
    <rPh sb="10" eb="12">
      <t>コウキョウ</t>
    </rPh>
    <rPh sb="12" eb="14">
      <t>コウジ</t>
    </rPh>
    <phoneticPr fontId="21"/>
  </si>
  <si>
    <t>高炉スラグ骨材</t>
    <rPh sb="0" eb="2">
      <t>コウロ</t>
    </rPh>
    <rPh sb="5" eb="7">
      <t>コツザイ</t>
    </rPh>
    <phoneticPr fontId="21"/>
  </si>
  <si>
    <t>清掃業務において感染症対策に配慮した方法を採用している。</t>
    <rPh sb="0" eb="2">
      <t>セイソウ</t>
    </rPh>
    <rPh sb="2" eb="4">
      <t>ギョウム</t>
    </rPh>
    <rPh sb="8" eb="11">
      <t>カンセンショウ</t>
    </rPh>
    <rPh sb="11" eb="13">
      <t>タイサク</t>
    </rPh>
    <rPh sb="14" eb="16">
      <t>ハイリョ</t>
    </rPh>
    <rPh sb="18" eb="20">
      <t>ホウホウ</t>
    </rPh>
    <rPh sb="21" eb="23">
      <t>サイヨウ</t>
    </rPh>
    <phoneticPr fontId="21"/>
  </si>
  <si>
    <t>5) 安全対策</t>
    <rPh sb="3" eb="5">
      <t>アンゼン</t>
    </rPh>
    <rPh sb="5" eb="7">
      <t>タイサク</t>
    </rPh>
    <phoneticPr fontId="21"/>
  </si>
  <si>
    <t>清掃業務において安全に配慮した方法を採用している。</t>
    <rPh sb="0" eb="2">
      <t>セイソウ</t>
    </rPh>
    <rPh sb="2" eb="4">
      <t>ギョウム</t>
    </rPh>
    <rPh sb="8" eb="10">
      <t>アンゼン</t>
    </rPh>
    <rPh sb="11" eb="13">
      <t>ハイリョ</t>
    </rPh>
    <rPh sb="15" eb="17">
      <t>ホウホウ</t>
    </rPh>
    <rPh sb="18" eb="20">
      <t>サイヨウ</t>
    </rPh>
    <phoneticPr fontId="21"/>
  </si>
  <si>
    <t>判定基準</t>
  </si>
  <si>
    <t>シックハウス配慮</t>
  </si>
  <si>
    <t>急性経口毒性</t>
  </si>
  <si>
    <t>VOC濃度</t>
  </si>
  <si>
    <t>有害性が判明している化学物質</t>
  </si>
  <si>
    <r>
      <t xml:space="preserve">1.3.3 </t>
    </r>
    <r>
      <rPr>
        <b/>
        <sz val="10"/>
        <rFont val="ＭＳ Ｐゴシック"/>
        <family val="3"/>
        <charset val="128"/>
      </rPr>
      <t>衛生管理業務</t>
    </r>
    <rPh sb="6" eb="8">
      <t>エイセイ</t>
    </rPh>
    <rPh sb="8" eb="10">
      <t>カンリ</t>
    </rPh>
    <rPh sb="10" eb="12">
      <t>ギョウム</t>
    </rPh>
    <phoneticPr fontId="21"/>
  </si>
  <si>
    <t>①換気設備の重要度に応じて系統を区分し，災害時においては重要度の高い系統を優先的に運転するほか，負荷容量を下げた運転も可能となるよう検討している。</t>
    <phoneticPr fontId="21"/>
  </si>
  <si>
    <t>②熱源種（電気，ガスなど）の分散化，二重化，バックアップを行っている。</t>
    <phoneticPr fontId="21"/>
  </si>
  <si>
    <t>③地震時の部分的被害が全体機能の停止を引き起こさないような対策（吊配管など）を行っている。</t>
    <phoneticPr fontId="21"/>
  </si>
  <si>
    <t>④空調設備の重要度に応じて系統を区分し，災害時においては重要度の高い系統を優先的に運転するほか，負荷容量を下げた運転も可能となるよう計画している。</t>
    <phoneticPr fontId="21"/>
  </si>
  <si>
    <r>
      <t xml:space="preserve">2.4.2 </t>
    </r>
    <r>
      <rPr>
        <b/>
        <sz val="10"/>
        <rFont val="ＭＳ Ｐゴシック"/>
        <family val="3"/>
        <charset val="128"/>
      </rPr>
      <t>給排水・衛生設備</t>
    </r>
    <phoneticPr fontId="21"/>
  </si>
  <si>
    <t>事・学・会・病・ホ・工・住</t>
    <phoneticPr fontId="21"/>
  </si>
  <si>
    <t>物・飲</t>
    <phoneticPr fontId="21"/>
  </si>
  <si>
    <t>評価する取組みが1つ。</t>
    <phoneticPr fontId="21"/>
  </si>
  <si>
    <t>①節水型器具を採用している。設置されている器具総数の過半以上で採用した場合に限る。節水型器具としては、エコマーク商品やグリーン購入法「特定調達品目」として認定されたもの、あるいは同等の性能を有する機器とする。（例：大便器6L/回程度、小便器4L/回程度）</t>
    <phoneticPr fontId="21"/>
  </si>
  <si>
    <t>②可能な限り配管の系統を区分し，災害時の使用不能部分の低減を図っている。</t>
    <phoneticPr fontId="21"/>
  </si>
  <si>
    <t>③災害時、下水道が機能しないことを想定し、汚水（雑排水）の一時的貯留機能が確保できるピットを設けている。</t>
    <phoneticPr fontId="21"/>
  </si>
  <si>
    <t>④受水槽，高架水槽は，二基の水槽をそれぞれに分離して設置している。</t>
    <phoneticPr fontId="21"/>
  </si>
  <si>
    <t>⑤井水，中水などの利用が可能なように計画している。</t>
    <phoneticPr fontId="21"/>
  </si>
  <si>
    <t>②無停電電源設備を備えている。</t>
    <phoneticPr fontId="21"/>
  </si>
  <si>
    <r>
      <t xml:space="preserve">2.4.4 </t>
    </r>
    <r>
      <rPr>
        <b/>
        <sz val="10"/>
        <rFont val="ＭＳ Ｐゴシック"/>
        <family val="3"/>
        <charset val="128"/>
      </rPr>
      <t>機械・配管支持方法</t>
    </r>
    <phoneticPr fontId="21"/>
  </si>
  <si>
    <r>
      <t xml:space="preserve">2.4.5 </t>
    </r>
    <r>
      <rPr>
        <b/>
        <sz val="10"/>
        <rFont val="ＭＳ Ｐゴシック"/>
        <family val="3"/>
        <charset val="128"/>
      </rPr>
      <t>通信・情報設備</t>
    </r>
    <phoneticPr fontId="21"/>
  </si>
  <si>
    <r>
      <t>方位別やペリメータとインテリア別など空調系統が分かれている上、さらに細かな空調ゾーニング（概ね40m</t>
    </r>
    <r>
      <rPr>
        <vertAlign val="superscript"/>
        <sz val="9"/>
        <rFont val="ＭＳ Ｐゴシック"/>
        <family val="3"/>
        <charset val="128"/>
      </rPr>
      <t>2</t>
    </r>
    <r>
      <rPr>
        <sz val="9"/>
        <rFont val="ＭＳ Ｐゴシック"/>
        <family val="3"/>
        <charset val="128"/>
      </rPr>
      <t>以下）がされている。さらにゾーン別に冷房・暖房の選択が自由な空調システムとしている。</t>
    </r>
    <phoneticPr fontId="21"/>
  </si>
  <si>
    <t>ＰＩＤ制御による温度・室内湿度になっている。</t>
    <phoneticPr fontId="21"/>
  </si>
  <si>
    <t>快適センサーなどによる温度・湿度制御（快適範囲における温度制御）が可能である。</t>
    <phoneticPr fontId="21"/>
  </si>
  <si>
    <t>住居・宿泊部分</t>
    <phoneticPr fontId="21"/>
  </si>
  <si>
    <t>竣工年</t>
    <rPh sb="0" eb="2">
      <t>ｼｭﾝｺｳ</t>
    </rPh>
    <rPh sb="2" eb="3">
      <t>ﾈﾝ</t>
    </rPh>
    <phoneticPr fontId="34" type="noConversion"/>
  </si>
  <si>
    <t>評価の実施日</t>
    <rPh sb="0" eb="2">
      <t>ヒョウカ</t>
    </rPh>
    <rPh sb="3" eb="6">
      <t>ジッシビ</t>
    </rPh>
    <phoneticPr fontId="21"/>
  </si>
  <si>
    <t>敷地面積</t>
    <rPh sb="0" eb="2">
      <t>ｼｷﾁ</t>
    </rPh>
    <rPh sb="2" eb="4">
      <t>ﾒﾝｾｷ</t>
    </rPh>
    <phoneticPr fontId="34" type="noConversion"/>
  </si>
  <si>
    <t>作成者</t>
    <rPh sb="0" eb="3">
      <t>サクセイシャ</t>
    </rPh>
    <phoneticPr fontId="21"/>
  </si>
  <si>
    <r>
      <t>Q1</t>
    </r>
    <r>
      <rPr>
        <sz val="11"/>
        <rFont val="ＭＳ Ｐゴシック"/>
        <family val="3"/>
        <charset val="128"/>
      </rPr>
      <t>　
室内環境</t>
    </r>
    <rPh sb="4" eb="6">
      <t>シツナイ</t>
    </rPh>
    <rPh sb="6" eb="8">
      <t>カンキョウ</t>
    </rPh>
    <phoneticPr fontId="21"/>
  </si>
  <si>
    <t>建築面積</t>
    <rPh sb="0" eb="2">
      <t>ｹﾝﾁｸ</t>
    </rPh>
    <rPh sb="2" eb="4">
      <t>ﾒﾝｾｷ</t>
    </rPh>
    <phoneticPr fontId="34" type="noConversion"/>
  </si>
  <si>
    <t>確認日</t>
    <rPh sb="0" eb="2">
      <t>カクニン</t>
    </rPh>
    <rPh sb="2" eb="3">
      <t>ビ</t>
    </rPh>
    <phoneticPr fontId="21"/>
  </si>
  <si>
    <t>Rank(red star)</t>
    <phoneticPr fontId="21"/>
  </si>
  <si>
    <t>延床面積</t>
    <rPh sb="0" eb="1">
      <t>ﾉ</t>
    </rPh>
    <rPh sb="1" eb="4">
      <t>ﾕｶﾒﾝｾｷ</t>
    </rPh>
    <phoneticPr fontId="34" type="noConversion"/>
  </si>
  <si>
    <t>確認者</t>
    <rPh sb="0" eb="2">
      <t>カクニン</t>
    </rPh>
    <rPh sb="2" eb="3">
      <t>シャ</t>
    </rPh>
    <phoneticPr fontId="21"/>
  </si>
  <si>
    <t>(blank star)</t>
    <phoneticPr fontId="21"/>
  </si>
  <si>
    <t>改修工事期間</t>
  </si>
  <si>
    <t>改修対象項目</t>
  </si>
  <si>
    <t>躯体</t>
  </si>
  <si>
    <t>改修目的</t>
  </si>
  <si>
    <t>外装</t>
  </si>
  <si>
    <t>改修後の想定使用年数</t>
    <rPh sb="6" eb="8">
      <t>シヨウ</t>
    </rPh>
    <phoneticPr fontId="21"/>
  </si>
  <si>
    <t>内装</t>
  </si>
  <si>
    <t>現在までの主な改修履歴</t>
  </si>
  <si>
    <t>設備</t>
  </si>
  <si>
    <r>
      <t>2-1</t>
    </r>
    <r>
      <rPr>
        <b/>
        <sz val="12"/>
        <color indexed="9"/>
        <rFont val="ＭＳ Ｐゴシック"/>
        <family val="3"/>
        <charset val="128"/>
      </rPr>
      <t>　建築物の環境効率（</t>
    </r>
    <r>
      <rPr>
        <b/>
        <sz val="12"/>
        <color indexed="9"/>
        <rFont val="Arial"/>
        <family val="2"/>
      </rPr>
      <t>BEE</t>
    </r>
    <r>
      <rPr>
        <b/>
        <sz val="12"/>
        <color indexed="9"/>
        <rFont val="ＭＳ Ｐゴシック"/>
        <family val="3"/>
        <charset val="128"/>
      </rPr>
      <t>ランク</t>
    </r>
    <r>
      <rPr>
        <b/>
        <sz val="12"/>
        <color indexed="9"/>
        <rFont val="Arial"/>
        <family val="2"/>
      </rPr>
      <t>&amp;</t>
    </r>
    <r>
      <rPr>
        <b/>
        <sz val="12"/>
        <color indexed="9"/>
        <rFont val="ＭＳ Ｐゴシック"/>
        <family val="3"/>
        <charset val="128"/>
      </rPr>
      <t>チャート）</t>
    </r>
    <rPh sb="4" eb="7">
      <t>ｹﾝﾁｸﾌﾞﾂ</t>
    </rPh>
    <phoneticPr fontId="34" type="noConversion"/>
  </si>
  <si>
    <r>
      <t xml:space="preserve">2-2 </t>
    </r>
    <r>
      <rPr>
        <b/>
        <sz val="12"/>
        <color indexed="9"/>
        <rFont val="ＭＳ Ｐゴシック"/>
        <family val="3"/>
        <charset val="128"/>
      </rPr>
      <t>ライフサイクルCO</t>
    </r>
    <r>
      <rPr>
        <b/>
        <vertAlign val="subscript"/>
        <sz val="12"/>
        <color indexed="9"/>
        <rFont val="ＭＳ Ｐゴシック"/>
        <family val="3"/>
        <charset val="128"/>
      </rPr>
      <t>2</t>
    </r>
    <r>
      <rPr>
        <b/>
        <sz val="10"/>
        <color indexed="9"/>
        <rFont val="ＭＳ Ｐゴシック"/>
        <family val="3"/>
        <charset val="128"/>
      </rPr>
      <t>(温暖化影響チャート）</t>
    </r>
    <rPh sb="15" eb="18">
      <t>オンダンカ</t>
    </rPh>
    <rPh sb="18" eb="20">
      <t>エイキョウ</t>
    </rPh>
    <phoneticPr fontId="21"/>
  </si>
  <si>
    <r>
      <t>2-3</t>
    </r>
    <r>
      <rPr>
        <b/>
        <sz val="12"/>
        <color indexed="9"/>
        <rFont val="ＭＳ Ｐゴシック"/>
        <family val="3"/>
        <charset val="128"/>
      </rPr>
      <t>　大項目の評価（ﾚｰﾀﾞｰﾁｬｰﾄ）</t>
    </r>
    <rPh sb="4" eb="7">
      <t>ダイコウモク</t>
    </rPh>
    <rPh sb="8" eb="10">
      <t>ヒョウカ</t>
    </rPh>
    <phoneticPr fontId="21"/>
  </si>
  <si>
    <t>基準</t>
    <rPh sb="0" eb="2">
      <t>キジュン</t>
    </rPh>
    <phoneticPr fontId="21"/>
  </si>
  <si>
    <t>評価</t>
    <rPh sb="0" eb="2">
      <t>ヒョウカ</t>
    </rPh>
    <phoneticPr fontId="21"/>
  </si>
  <si>
    <t>原点</t>
    <rPh sb="0" eb="2">
      <t>ゲンテン</t>
    </rPh>
    <phoneticPr fontId="21"/>
  </si>
  <si>
    <r>
      <t>BEE</t>
    </r>
    <r>
      <rPr>
        <sz val="11"/>
        <rFont val="ＭＳ Ｐゴシック"/>
        <family val="3"/>
        <charset val="128"/>
      </rPr>
      <t>の分母側</t>
    </r>
    <r>
      <rPr>
        <sz val="11"/>
        <rFont val="Arial"/>
        <family val="2"/>
      </rPr>
      <t>(L)</t>
    </r>
    <rPh sb="4" eb="6">
      <t>ブンボ</t>
    </rPh>
    <rPh sb="6" eb="7">
      <t>ガワ</t>
    </rPh>
    <phoneticPr fontId="21"/>
  </si>
  <si>
    <t>X目盛線</t>
    <rPh sb="1" eb="3">
      <t>メモ</t>
    </rPh>
    <rPh sb="3" eb="4">
      <t>セン</t>
    </rPh>
    <phoneticPr fontId="21"/>
  </si>
  <si>
    <t>Y目盛線</t>
    <rPh sb="1" eb="3">
      <t>メモ</t>
    </rPh>
    <rPh sb="3" eb="4">
      <t>セン</t>
    </rPh>
    <phoneticPr fontId="21"/>
  </si>
  <si>
    <r>
      <t>BEE</t>
    </r>
    <r>
      <rPr>
        <sz val="11"/>
        <rFont val="ＭＳ Ｐゴシック"/>
        <family val="3"/>
        <charset val="128"/>
      </rPr>
      <t>の分子側</t>
    </r>
    <r>
      <rPr>
        <sz val="11"/>
        <rFont val="Arial"/>
        <family val="2"/>
      </rPr>
      <t>(Q)</t>
    </r>
    <rPh sb="4" eb="6">
      <t>ブンシ</t>
    </rPh>
    <rPh sb="6" eb="7">
      <t>ガワ</t>
    </rPh>
    <phoneticPr fontId="21"/>
  </si>
  <si>
    <r>
      <t>このグラフは、</t>
    </r>
    <r>
      <rPr>
        <sz val="11"/>
        <color indexed="10"/>
        <rFont val="Arial"/>
        <family val="2"/>
      </rPr>
      <t>LR3</t>
    </r>
    <r>
      <rPr>
        <sz val="11"/>
        <color indexed="10"/>
        <rFont val="ＭＳ Ｐゴシック"/>
        <family val="3"/>
        <charset val="128"/>
      </rPr>
      <t>中の「地球温暖化への配慮」の内容を、一般的な建物（参照値）と比べたライフサイクル</t>
    </r>
    <r>
      <rPr>
        <sz val="11"/>
        <color indexed="10"/>
        <rFont val="Arial"/>
        <family val="2"/>
      </rPr>
      <t xml:space="preserve">CO2 </t>
    </r>
    <r>
      <rPr>
        <sz val="11"/>
        <color indexed="10"/>
        <rFont val="ＭＳ Ｐゴシック"/>
        <family val="3"/>
        <charset val="128"/>
      </rPr>
      <t>排出量の目安で示したものです</t>
    </r>
    <rPh sb="32" eb="34">
      <t>タテモノ</t>
    </rPh>
    <phoneticPr fontId="21"/>
  </si>
  <si>
    <t>椅子の移動音、物の落下音がかなり気になる。</t>
    <phoneticPr fontId="21"/>
  </si>
  <si>
    <t>椅子の移動音、物の落下音が小さく聞こえる。　</t>
    <phoneticPr fontId="21"/>
  </si>
  <si>
    <t>椅子の移動音、物の落下音が小さく聞こえる。</t>
    <phoneticPr fontId="21"/>
  </si>
  <si>
    <t>椅子の移動音、物の落下音がほとんど聞こえない。</t>
    <phoneticPr fontId="21"/>
  </si>
  <si>
    <r>
      <t>解体段階のCO</t>
    </r>
    <r>
      <rPr>
        <vertAlign val="subscript"/>
        <sz val="10"/>
        <rFont val="ＭＳ Ｐゴシック"/>
        <family val="3"/>
        <charset val="128"/>
      </rPr>
      <t>2</t>
    </r>
    <r>
      <rPr>
        <sz val="10"/>
        <rFont val="ＭＳ Ｐゴシック"/>
        <family val="3"/>
        <charset val="128"/>
      </rPr>
      <t>排出量の算定方法</t>
    </r>
    <rPh sb="0" eb="2">
      <t>カイタイ</t>
    </rPh>
    <rPh sb="2" eb="4">
      <t>ダンカイ</t>
    </rPh>
    <rPh sb="8" eb="10">
      <t>ハイシュツ</t>
    </rPh>
    <rPh sb="10" eb="11">
      <t>リョウ</t>
    </rPh>
    <rPh sb="12" eb="14">
      <t>サンテイ</t>
    </rPh>
    <rPh sb="14" eb="16">
      <t>ホウホウ</t>
    </rPh>
    <phoneticPr fontId="21"/>
  </si>
  <si>
    <t>解体廃棄物量として、2000kg／㎡を仮定して、30kmの道路運送分を評価</t>
    <rPh sb="0" eb="2">
      <t>カイタイ</t>
    </rPh>
    <rPh sb="2" eb="5">
      <t>ハイキブツ</t>
    </rPh>
    <rPh sb="5" eb="6">
      <t>リョウ</t>
    </rPh>
    <rPh sb="19" eb="21">
      <t>カテイ</t>
    </rPh>
    <rPh sb="29" eb="31">
      <t>ドウロ</t>
    </rPh>
    <rPh sb="31" eb="33">
      <t>ウンソウ</t>
    </rPh>
    <rPh sb="33" eb="34">
      <t>ブン</t>
    </rPh>
    <rPh sb="35" eb="37">
      <t>ヒョウカ</t>
    </rPh>
    <phoneticPr fontId="21"/>
  </si>
  <si>
    <t>同左</t>
    <rPh sb="0" eb="2">
      <t>ドウサ</t>
    </rPh>
    <phoneticPr fontId="21"/>
  </si>
  <si>
    <t>運用
段階</t>
    <rPh sb="0" eb="2">
      <t>ウンヨウ</t>
    </rPh>
    <rPh sb="3" eb="5">
      <t>ダンカイ</t>
    </rPh>
    <phoneticPr fontId="21"/>
  </si>
  <si>
    <t>参考</t>
    <rPh sb="0" eb="2">
      <t>サンコウ</t>
    </rPh>
    <phoneticPr fontId="21"/>
  </si>
  <si>
    <t>非住宅部</t>
    <rPh sb="0" eb="1">
      <t>ヒ</t>
    </rPh>
    <rPh sb="1" eb="3">
      <t>ジュウタク</t>
    </rPh>
    <rPh sb="3" eb="4">
      <t>ブ</t>
    </rPh>
    <phoneticPr fontId="21"/>
  </si>
  <si>
    <t>品確法</t>
    <rPh sb="0" eb="3">
      <t>ヒンカクホウ</t>
    </rPh>
    <phoneticPr fontId="21"/>
  </si>
  <si>
    <t>GJ/年</t>
    <rPh sb="3" eb="4">
      <t>ネン</t>
    </rPh>
    <phoneticPr fontId="21"/>
  </si>
  <si>
    <t>LR1/3.設備システムの高効率化</t>
    <rPh sb="6" eb="8">
      <t>セツビ</t>
    </rPh>
    <rPh sb="13" eb="17">
      <t>コウコウリツカ</t>
    </rPh>
    <phoneticPr fontId="21"/>
  </si>
  <si>
    <t>自然エネルギー削減量</t>
    <rPh sb="0" eb="2">
      <t>シゼン</t>
    </rPh>
    <rPh sb="7" eb="9">
      <t>サクゲン</t>
    </rPh>
    <rPh sb="9" eb="10">
      <t>リョウ</t>
    </rPh>
    <phoneticPr fontId="21"/>
  </si>
  <si>
    <t>統計値　MJ/年㎡</t>
    <rPh sb="0" eb="2">
      <t>トウケイ</t>
    </rPh>
    <rPh sb="2" eb="3">
      <t>チ</t>
    </rPh>
    <rPh sb="7" eb="8">
      <t>ネン</t>
    </rPh>
    <phoneticPr fontId="21"/>
  </si>
  <si>
    <t>低減率</t>
    <rPh sb="0" eb="2">
      <t>テイゲン</t>
    </rPh>
    <rPh sb="2" eb="3">
      <t>リツ</t>
    </rPh>
    <phoneticPr fontId="21"/>
  </si>
  <si>
    <t>LR1/4.　効率的な運用</t>
    <rPh sb="7" eb="10">
      <t>コウリツテキ</t>
    </rPh>
    <rPh sb="11" eb="13">
      <t>ウンヨウ</t>
    </rPh>
    <phoneticPr fontId="21"/>
  </si>
  <si>
    <t>住宅部</t>
    <rPh sb="0" eb="2">
      <t>ジュウタク</t>
    </rPh>
    <rPh sb="2" eb="3">
      <t>ブ</t>
    </rPh>
    <phoneticPr fontId="21"/>
  </si>
  <si>
    <t>一次エネルギー消費量</t>
    <rPh sb="0" eb="2">
      <t>イチジ</t>
    </rPh>
    <rPh sb="7" eb="10">
      <t>ショウヒリョウ</t>
    </rPh>
    <phoneticPr fontId="23"/>
  </si>
  <si>
    <t>用途別面積</t>
    <rPh sb="0" eb="2">
      <t>ヨウト</t>
    </rPh>
    <rPh sb="2" eb="3">
      <t>ベツ</t>
    </rPh>
    <rPh sb="3" eb="5">
      <t>メンセキ</t>
    </rPh>
    <phoneticPr fontId="23"/>
  </si>
  <si>
    <t>適切な換気機能を有し、熱橋となる部分の断熱補強、防湿層、通気層の設置等の結露防止対策がとられている。</t>
    <phoneticPr fontId="21"/>
  </si>
  <si>
    <t>除湿機能を有し、熱橋となる部分の断熱補強、防湿層、通気層の設置等の結露防止対策がとられている。</t>
    <phoneticPr fontId="21"/>
  </si>
  <si>
    <t>加湿機能・除湿機能を有し、かつ45％～55％の範囲の湿度を実現することが可能な設備容量が確保されている。</t>
    <phoneticPr fontId="21"/>
  </si>
  <si>
    <t>3）空間提供による地域貢献</t>
    <phoneticPr fontId="21"/>
  </si>
  <si>
    <t>アルコーブ・ピロティ・庇などの空間を設けるなどの建築的な工夫を取入れて、雨宿り、待合わせに供する等、都市空間の活動上のアメニティ向上に貢献している。
または、</t>
    <phoneticPr fontId="21"/>
  </si>
  <si>
    <t>広場や歩道状空地、路地などのスペースを確保し、憩いの場に供するなど地域の活動上のアメニティ向上に貢献している。</t>
    <phoneticPr fontId="21"/>
  </si>
  <si>
    <t xml:space="preserve">4）施設機能提供による地域貢献
建物の一部に集会所、地域に開放された展示室やホール、コミュニティセンター、学校のコミュニティ利用などの公共的施設・機能を設けることで、地域の活動やにぎわいに貢献している。 </t>
    <phoneticPr fontId="21"/>
  </si>
  <si>
    <t>例えば、環境教育を地域住民・NPO・企業と連携して行えるような地域に開放できる室があり、地域の生態系、環境の保全、エコスクール等について学習できる場として貢献している</t>
    <phoneticPr fontId="21"/>
  </si>
  <si>
    <t>III 建物内外を連関させる豊かな中間
領域の形成</t>
    <phoneticPr fontId="21"/>
  </si>
  <si>
    <t>5）建物内外を連関させる豊かな中間領域の形成</t>
    <phoneticPr fontId="21"/>
  </si>
  <si>
    <t>地球温暖化への配慮</t>
    <rPh sb="0" eb="2">
      <t>ﾁｷｭｳ</t>
    </rPh>
    <rPh sb="2" eb="5">
      <t>ｵﾝﾀﾞﾝｶ</t>
    </rPh>
    <rPh sb="7" eb="9">
      <t>ﾊｲﾘｮ</t>
    </rPh>
    <phoneticPr fontId="34" type="noConversion"/>
  </si>
  <si>
    <t>地域環境への配慮</t>
    <rPh sb="0" eb="2">
      <t>ﾁｲｷ</t>
    </rPh>
    <rPh sb="2" eb="4">
      <t>ｶﾝｷｮｳ</t>
    </rPh>
    <rPh sb="6" eb="8">
      <t>ﾊｲﾘｮ</t>
    </rPh>
    <phoneticPr fontId="34" type="noConversion"/>
  </si>
  <si>
    <t>大気汚染防止</t>
    <rPh sb="0" eb="2">
      <t>ﾀｲｷ</t>
    </rPh>
    <rPh sb="2" eb="4">
      <t>ｵｾﾝ</t>
    </rPh>
    <rPh sb="4" eb="6">
      <t>ﾎﾞｳｼ</t>
    </rPh>
    <phoneticPr fontId="34" type="noConversion"/>
  </si>
  <si>
    <t>地域インフラへの負荷抑制</t>
    <rPh sb="0" eb="2">
      <t>チイキ</t>
    </rPh>
    <rPh sb="8" eb="10">
      <t>フカ</t>
    </rPh>
    <rPh sb="10" eb="12">
      <t>ヨクセイ</t>
    </rPh>
    <phoneticPr fontId="21"/>
  </si>
  <si>
    <t>交通負荷抑制</t>
    <rPh sb="0" eb="2">
      <t>ｺｳﾂｳ</t>
    </rPh>
    <rPh sb="2" eb="4">
      <t>ﾌｶ</t>
    </rPh>
    <rPh sb="4" eb="6">
      <t>ﾖｸｾｲ</t>
    </rPh>
    <phoneticPr fontId="34" type="noConversion"/>
  </si>
  <si>
    <t>駐車場等</t>
    <rPh sb="0" eb="3">
      <t>チュウシャジョウ</t>
    </rPh>
    <rPh sb="3" eb="4">
      <t>トウ</t>
    </rPh>
    <phoneticPr fontId="21"/>
  </si>
  <si>
    <t>○○ビル</t>
    <phoneticPr fontId="21"/>
  </si>
  <si>
    <t>XXX</t>
    <phoneticPr fontId="21"/>
  </si>
  <si>
    <t>㎡</t>
    <phoneticPr fontId="21"/>
  </si>
  <si>
    <t>XXX</t>
    <phoneticPr fontId="21"/>
  </si>
  <si>
    <t>㎡</t>
    <phoneticPr fontId="21"/>
  </si>
  <si>
    <t>○○</t>
    <phoneticPr fontId="21"/>
  </si>
  <si>
    <t>XX</t>
    <phoneticPr fontId="21"/>
  </si>
  <si>
    <t>XXX</t>
    <phoneticPr fontId="21"/>
  </si>
  <si>
    <r>
      <t>c</t>
    </r>
    <r>
      <rPr>
        <sz val="11"/>
        <rFont val="ＭＳ Ｐゴシック"/>
        <family val="3"/>
        <charset val="128"/>
      </rPr>
      <t>ommon</t>
    </r>
    <phoneticPr fontId="21"/>
  </si>
  <si>
    <t>Residential</t>
    <phoneticPr fontId="21"/>
  </si>
  <si>
    <t xml:space="preserve"> 事務所</t>
    <phoneticPr fontId="21"/>
  </si>
  <si>
    <t>㎡</t>
    <phoneticPr fontId="21"/>
  </si>
  <si>
    <t>ホテル</t>
    <phoneticPr fontId="21"/>
  </si>
  <si>
    <t xml:space="preserve"> 集合住宅（戸建は対象外）</t>
    <phoneticPr fontId="21"/>
  </si>
  <si>
    <t>屋上等の雨水排水溝に、泥や砂等が堆積していないこと。また、雨水配水管の末端は、砂や泥等により管径が縮小していないこと。（毎学年１回）</t>
    <rPh sb="0" eb="2">
      <t>オクジョウ</t>
    </rPh>
    <rPh sb="2" eb="3">
      <t>トウ</t>
    </rPh>
    <rPh sb="4" eb="6">
      <t>ウスイ</t>
    </rPh>
    <rPh sb="6" eb="9">
      <t>ハイスイコウ</t>
    </rPh>
    <rPh sb="11" eb="12">
      <t>ドロ</t>
    </rPh>
    <rPh sb="13" eb="14">
      <t>スナ</t>
    </rPh>
    <rPh sb="14" eb="15">
      <t>トウ</t>
    </rPh>
    <rPh sb="16" eb="18">
      <t>タイセキ</t>
    </rPh>
    <rPh sb="29" eb="31">
      <t>ウスイ</t>
    </rPh>
    <rPh sb="31" eb="34">
      <t>ハイスイカン</t>
    </rPh>
    <rPh sb="35" eb="37">
      <t>マッタン</t>
    </rPh>
    <rPh sb="39" eb="40">
      <t>スナ</t>
    </rPh>
    <rPh sb="41" eb="42">
      <t>ドロ</t>
    </rPh>
    <rPh sb="42" eb="43">
      <t>トウ</t>
    </rPh>
    <rPh sb="46" eb="47">
      <t>カン</t>
    </rPh>
    <rPh sb="47" eb="48">
      <t>ケイ</t>
    </rPh>
    <rPh sb="49" eb="51">
      <t>シュクショウ</t>
    </rPh>
    <rPh sb="60" eb="63">
      <t>マイガクネン</t>
    </rPh>
    <rPh sb="64" eb="65">
      <t>カイ</t>
    </rPh>
    <phoneticPr fontId="21"/>
  </si>
  <si>
    <t>排水の施設・設備</t>
    <rPh sb="0" eb="2">
      <t>ハイスイ</t>
    </rPh>
    <rPh sb="3" eb="5">
      <t>シセツ</t>
    </rPh>
    <rPh sb="6" eb="8">
      <t>セツビ</t>
    </rPh>
    <phoneticPr fontId="21"/>
  </si>
  <si>
    <t>汚水槽、雑排水槽等の施設・設備は、故障等がなく適切に機能していること。
（毎学年１回）</t>
    <rPh sb="0" eb="3">
      <t>オスイソウ</t>
    </rPh>
    <rPh sb="4" eb="5">
      <t>ザツ</t>
    </rPh>
    <rPh sb="5" eb="7">
      <t>ハイスイ</t>
    </rPh>
    <rPh sb="7" eb="8">
      <t>ソウ</t>
    </rPh>
    <rPh sb="8" eb="9">
      <t>トウ</t>
    </rPh>
    <rPh sb="10" eb="12">
      <t>シセツ</t>
    </rPh>
    <rPh sb="13" eb="15">
      <t>セツビ</t>
    </rPh>
    <rPh sb="17" eb="19">
      <t>コショウ</t>
    </rPh>
    <rPh sb="19" eb="20">
      <t>トウ</t>
    </rPh>
    <rPh sb="23" eb="25">
      <t>テキセツ</t>
    </rPh>
    <rPh sb="26" eb="28">
      <t>キノウ</t>
    </rPh>
    <rPh sb="37" eb="40">
      <t>マイガクネン</t>
    </rPh>
    <rPh sb="41" eb="42">
      <t>カイ</t>
    </rPh>
    <phoneticPr fontId="21"/>
  </si>
  <si>
    <t>木　材</t>
  </si>
  <si>
    <t>＜参考＞　個別計算にあたって、利用できる計算値</t>
    <rPh sb="1" eb="3">
      <t>サンコウ</t>
    </rPh>
    <rPh sb="5" eb="7">
      <t>コベツ</t>
    </rPh>
    <rPh sb="7" eb="9">
      <t>ケイサン</t>
    </rPh>
    <rPh sb="15" eb="17">
      <t>リヨウ</t>
    </rPh>
    <rPh sb="20" eb="23">
      <t>ケイサンチ</t>
    </rPh>
    <phoneticPr fontId="21"/>
  </si>
  <si>
    <t>やや高度な対策を行っている（評価する取組みにおいて3項目以上を採用）</t>
    <phoneticPr fontId="21"/>
  </si>
  <si>
    <t>.建物全体・共用部分</t>
    <phoneticPr fontId="21"/>
  </si>
  <si>
    <t>住居・宿泊部分</t>
    <phoneticPr fontId="21"/>
  </si>
  <si>
    <t>設備騒音の種類</t>
    <phoneticPr fontId="21"/>
  </si>
  <si>
    <t>対策例</t>
    <phoneticPr fontId="21"/>
  </si>
  <si>
    <t>防音カバー、機械室の吸音・遮音、位置など</t>
    <phoneticPr fontId="21"/>
  </si>
  <si>
    <t>設備騒音の種類</t>
    <phoneticPr fontId="21"/>
  </si>
  <si>
    <t>対策例</t>
    <phoneticPr fontId="21"/>
  </si>
  <si>
    <t>（屋外）冷却塔、室外機等からの騒音</t>
    <phoneticPr fontId="21"/>
  </si>
  <si>
    <t>通信機関係等</t>
    <phoneticPr fontId="21"/>
  </si>
  <si>
    <t>通信機械室、無線機室、電話交換室、磁気ﾃﾞｨｽｸ室､電算機室、ﾃﾚｯｸｽ室、電話局切換室、通信機調整室、ﾃﾞｰﾀﾌﾟﾘﾝﾄ室</t>
    <phoneticPr fontId="21"/>
  </si>
  <si>
    <t>放送室等</t>
    <phoneticPr fontId="21"/>
  </si>
  <si>
    <t>制御室等</t>
    <phoneticPr fontId="21"/>
  </si>
  <si>
    <t>フィルム等保管庫</t>
    <phoneticPr fontId="21"/>
  </si>
  <si>
    <t>危険物施設の計器室等</t>
    <phoneticPr fontId="21"/>
  </si>
  <si>
    <t>⑦　床材に応じた清掃器具を想定し、それに合わせた数量、設置間隔で清掃作業用電源レイアウトの設計をしている。</t>
    <rPh sb="37" eb="39">
      <t>デンゲン</t>
    </rPh>
    <phoneticPr fontId="21"/>
  </si>
  <si>
    <t>⑥　屋外や共用通路などに清掃作業を想定した電源を計画している。</t>
    <rPh sb="2" eb="4">
      <t>オクガイ</t>
    </rPh>
    <rPh sb="5" eb="7">
      <t>キョウヨウ</t>
    </rPh>
    <rPh sb="7" eb="9">
      <t>ツウロ</t>
    </rPh>
    <rPh sb="12" eb="14">
      <t>セイソウ</t>
    </rPh>
    <rPh sb="14" eb="16">
      <t>サギョウ</t>
    </rPh>
    <rPh sb="17" eb="19">
      <t>ソウテイ</t>
    </rPh>
    <rPh sb="21" eb="23">
      <t>デンゲン</t>
    </rPh>
    <rPh sb="24" eb="26">
      <t>ケイカク</t>
    </rPh>
    <phoneticPr fontId="21"/>
  </si>
  <si>
    <t>⑧　洗面台や給湯室流し、台所流しの各排水トラップは取り外し、清掃できるようになっている。　</t>
    <rPh sb="2" eb="5">
      <t>センメンダイ</t>
    </rPh>
    <rPh sb="6" eb="9">
      <t>キュウトウシツ</t>
    </rPh>
    <rPh sb="9" eb="10">
      <t>ナガ</t>
    </rPh>
    <rPh sb="12" eb="14">
      <t>ダイドコロ</t>
    </rPh>
    <rPh sb="14" eb="15">
      <t>ナガ</t>
    </rPh>
    <rPh sb="17" eb="18">
      <t>カク</t>
    </rPh>
    <rPh sb="18" eb="20">
      <t>ハイスイ</t>
    </rPh>
    <rPh sb="25" eb="26">
      <t>ト</t>
    </rPh>
    <rPh sb="27" eb="28">
      <t>ハズ</t>
    </rPh>
    <rPh sb="30" eb="32">
      <t>セイソウ</t>
    </rPh>
    <phoneticPr fontId="21"/>
  </si>
  <si>
    <t>学校版</t>
    <rPh sb="0" eb="2">
      <t>ガッコウ</t>
    </rPh>
    <rPh sb="2" eb="3">
      <t>バン</t>
    </rPh>
    <phoneticPr fontId="21"/>
  </si>
  <si>
    <t>大掃除の実施</t>
    <rPh sb="0" eb="3">
      <t>オオソウジ</t>
    </rPh>
    <rPh sb="4" eb="6">
      <t>ジッシ</t>
    </rPh>
    <phoneticPr fontId="21"/>
  </si>
  <si>
    <t>大掃除は、定期に行われていること。（毎学年３回）</t>
    <rPh sb="0" eb="3">
      <t>オオソウジ</t>
    </rPh>
    <rPh sb="5" eb="7">
      <t>テイキ</t>
    </rPh>
    <rPh sb="8" eb="9">
      <t>オコナ</t>
    </rPh>
    <rPh sb="18" eb="21">
      <t>マイガクネン</t>
    </rPh>
    <rPh sb="22" eb="23">
      <t>カイ</t>
    </rPh>
    <phoneticPr fontId="21"/>
  </si>
  <si>
    <t>主要構造部が木造躯体の時は評価対象外とする。</t>
    <rPh sb="0" eb="2">
      <t>シュヨウ</t>
    </rPh>
    <rPh sb="2" eb="4">
      <t>コウゾウ</t>
    </rPh>
    <rPh sb="4" eb="5">
      <t>ブ</t>
    </rPh>
    <rPh sb="6" eb="8">
      <t>モクゾウ</t>
    </rPh>
    <rPh sb="8" eb="10">
      <t>クタイ</t>
    </rPh>
    <rPh sb="11" eb="12">
      <t>トキ</t>
    </rPh>
    <rPh sb="13" eb="15">
      <t>ヒョウカ</t>
    </rPh>
    <rPh sb="15" eb="18">
      <t>タイショウガイ</t>
    </rPh>
    <phoneticPr fontId="21"/>
  </si>
  <si>
    <t>主要構造部が非木造躯体（RC造/SRC造/S造）である場合で、評価する取組み表の評価ポイントの合計値が0ポイント</t>
    <rPh sb="0" eb="2">
      <t>シュヨウ</t>
    </rPh>
    <rPh sb="2" eb="4">
      <t>コウゾウ</t>
    </rPh>
    <rPh sb="4" eb="5">
      <t>ブ</t>
    </rPh>
    <rPh sb="6" eb="7">
      <t>ヒ</t>
    </rPh>
    <rPh sb="7" eb="9">
      <t>モクゾウ</t>
    </rPh>
    <rPh sb="9" eb="11">
      <t>クタイ</t>
    </rPh>
    <rPh sb="14" eb="15">
      <t>ゾウ</t>
    </rPh>
    <rPh sb="19" eb="20">
      <t>ゾウ</t>
    </rPh>
    <rPh sb="22" eb="23">
      <t>ゾウ</t>
    </rPh>
    <rPh sb="27" eb="29">
      <t>バアイ</t>
    </rPh>
    <rPh sb="31" eb="33">
      <t>ヒョウカ</t>
    </rPh>
    <phoneticPr fontId="21"/>
  </si>
  <si>
    <t>主要構造部が非木造躯体（RC造/SRC造/S造）である場合で、評価する取組み表の評価ポイントの合計値が1ポイント以上</t>
    <rPh sb="56" eb="58">
      <t>イジョウ</t>
    </rPh>
    <phoneticPr fontId="21"/>
  </si>
  <si>
    <t>電気％</t>
    <rPh sb="0" eb="2">
      <t>デンキ</t>
    </rPh>
    <phoneticPr fontId="21"/>
  </si>
  <si>
    <t>住宅　専有部（住戸全体）</t>
    <rPh sb="0" eb="2">
      <t>ジュウタク</t>
    </rPh>
    <rPh sb="3" eb="5">
      <t>センユウ</t>
    </rPh>
    <rPh sb="5" eb="6">
      <t>ブ</t>
    </rPh>
    <rPh sb="7" eb="9">
      <t>ジュウコ</t>
    </rPh>
    <rPh sb="9" eb="11">
      <t>ゼンタイ</t>
    </rPh>
    <phoneticPr fontId="21"/>
  </si>
  <si>
    <t>太陽光発電の発電量</t>
    <phoneticPr fontId="21"/>
  </si>
  <si>
    <t>太陽光発電によるCO2削減量　（発電量が③ｵﾝｻｲﾄの取組分相当の場合で、かつ削減分に電力の排出係数を用いる場合。）</t>
    <rPh sb="0" eb="3">
      <t>タイヨウコウ</t>
    </rPh>
    <rPh sb="3" eb="5">
      <t>ハツデン</t>
    </rPh>
    <rPh sb="11" eb="13">
      <t>サクゲン</t>
    </rPh>
    <rPh sb="13" eb="14">
      <t>リョウ</t>
    </rPh>
    <rPh sb="39" eb="41">
      <t>サクゲン</t>
    </rPh>
    <rPh sb="41" eb="42">
      <t>ブン</t>
    </rPh>
    <phoneticPr fontId="21"/>
  </si>
  <si>
    <r>
      <t>このグラフは、一般的な建物（参照値）と比べたライフサイクル</t>
    </r>
    <r>
      <rPr>
        <sz val="11"/>
        <color indexed="10"/>
        <rFont val="Arial"/>
        <family val="2"/>
      </rPr>
      <t xml:space="preserve">CO2 </t>
    </r>
    <r>
      <rPr>
        <sz val="11"/>
        <color indexed="10"/>
        <rFont val="ＭＳ Ｐゴシック"/>
        <family val="3"/>
        <charset val="128"/>
      </rPr>
      <t>排出量を評価者自身の計算（個別計算）により算出した結果を示しています。</t>
    </r>
    <r>
      <rPr>
        <sz val="11"/>
        <color indexed="10"/>
        <rFont val="Arial"/>
        <family val="2"/>
      </rPr>
      <t>LCCO2</t>
    </r>
    <r>
      <rPr>
        <sz val="11"/>
        <color indexed="10"/>
        <rFont val="ＭＳ Ｐゴシック"/>
        <family val="3"/>
        <charset val="128"/>
      </rPr>
      <t>の算定条件等については、「</t>
    </r>
    <r>
      <rPr>
        <sz val="11"/>
        <color indexed="10"/>
        <rFont val="Arial"/>
        <family val="2"/>
      </rPr>
      <t>LCCO2</t>
    </r>
    <r>
      <rPr>
        <sz val="11"/>
        <color indexed="10"/>
        <rFont val="ＭＳ Ｐゴシック"/>
        <family val="3"/>
        <charset val="128"/>
      </rPr>
      <t>算定条件シート（個別計算）」を参照されたい</t>
    </r>
    <rPh sb="11" eb="13">
      <t>タテモノ</t>
    </rPh>
    <rPh sb="37" eb="39">
      <t>ヒョウカ</t>
    </rPh>
    <rPh sb="39" eb="40">
      <t>シャ</t>
    </rPh>
    <rPh sb="40" eb="42">
      <t>ジシン</t>
    </rPh>
    <rPh sb="43" eb="45">
      <t>ケイサン</t>
    </rPh>
    <rPh sb="46" eb="48">
      <t>コベツ</t>
    </rPh>
    <rPh sb="48" eb="50">
      <t>ケイサン</t>
    </rPh>
    <rPh sb="54" eb="56">
      <t>サンシュツ</t>
    </rPh>
    <rPh sb="58" eb="60">
      <t>ケッカ</t>
    </rPh>
    <rPh sb="61" eb="62">
      <t>シメ</t>
    </rPh>
    <rPh sb="99" eb="101">
      <t>コベツ</t>
    </rPh>
    <rPh sb="101" eb="103">
      <t>ケイサン</t>
    </rPh>
    <phoneticPr fontId="21"/>
  </si>
  <si>
    <t>建設</t>
    <rPh sb="0" eb="2">
      <t>ケンセツ</t>
    </rPh>
    <phoneticPr fontId="21"/>
  </si>
  <si>
    <t>修繕・更新・解体</t>
    <rPh sb="0" eb="2">
      <t>シュウゼン</t>
    </rPh>
    <rPh sb="3" eb="5">
      <t>コウシン</t>
    </rPh>
    <rPh sb="6" eb="8">
      <t>カイタイ</t>
    </rPh>
    <phoneticPr fontId="21"/>
  </si>
  <si>
    <t>運用</t>
    <rPh sb="0" eb="2">
      <t>ウンヨウ</t>
    </rPh>
    <phoneticPr fontId="21"/>
  </si>
  <si>
    <t>Ref</t>
    <phoneticPr fontId="21"/>
  </si>
  <si>
    <r>
      <t>Q</t>
    </r>
    <r>
      <rPr>
        <b/>
        <sz val="11"/>
        <color indexed="26"/>
        <rFont val="ＭＳ Ｐゴシック"/>
        <family val="3"/>
        <charset val="128"/>
      </rPr>
      <t>　環境品質</t>
    </r>
    <rPh sb="2" eb="4">
      <t>カンキョウ</t>
    </rPh>
    <rPh sb="4" eb="6">
      <t>ヒンシツ</t>
    </rPh>
    <phoneticPr fontId="21"/>
  </si>
  <si>
    <r>
      <t>Q</t>
    </r>
    <r>
      <rPr>
        <b/>
        <i/>
        <sz val="14"/>
        <color indexed="9"/>
        <rFont val="ＭＳ Ｐゴシック"/>
        <family val="3"/>
        <charset val="128"/>
      </rPr>
      <t>のスコア</t>
    </r>
    <r>
      <rPr>
        <b/>
        <i/>
        <sz val="14"/>
        <color indexed="9"/>
        <rFont val="Arial"/>
        <family val="2"/>
      </rPr>
      <t>=</t>
    </r>
    <phoneticPr fontId="21"/>
  </si>
  <si>
    <t>Subjest1</t>
    <phoneticPr fontId="21"/>
  </si>
  <si>
    <t>Subjest2</t>
    <phoneticPr fontId="21"/>
  </si>
  <si>
    <t>Subjest3</t>
    <phoneticPr fontId="21"/>
  </si>
  <si>
    <t>Score</t>
    <phoneticPr fontId="21"/>
  </si>
  <si>
    <t>開口部遮音性能</t>
    <phoneticPr fontId="21"/>
  </si>
  <si>
    <t>界壁遮音性能</t>
  </si>
  <si>
    <t>界床遮音性能（軽量衝撃源）</t>
  </si>
  <si>
    <t>界床遮音性能（重量衝撃源）</t>
  </si>
  <si>
    <t>吸音</t>
  </si>
  <si>
    <t>温熱環境</t>
    <rPh sb="0" eb="2">
      <t>ｵﾝﾈﾂ</t>
    </rPh>
    <rPh sb="2" eb="4">
      <t>ｶﾝｷｮｳ</t>
    </rPh>
    <phoneticPr fontId="34" type="noConversion"/>
  </si>
  <si>
    <t>室温制御</t>
    <rPh sb="0" eb="2">
      <t>ｼﾂｵﾝ</t>
    </rPh>
    <rPh sb="2" eb="4">
      <t>ｾｲｷﾞｮ</t>
    </rPh>
    <phoneticPr fontId="34" type="noConversion"/>
  </si>
  <si>
    <t>外皮性能</t>
    <rPh sb="0" eb="2">
      <t>ガイヒ</t>
    </rPh>
    <rPh sb="2" eb="4">
      <t>セイノウ</t>
    </rPh>
    <phoneticPr fontId="21"/>
  </si>
  <si>
    <t>ゾーン別制御性</t>
    <rPh sb="3" eb="4">
      <t>ベツ</t>
    </rPh>
    <rPh sb="4" eb="7">
      <t>セイギョセイ</t>
    </rPh>
    <phoneticPr fontId="21"/>
  </si>
  <si>
    <t>個別制御</t>
    <rPh sb="0" eb="2">
      <t>コベツ</t>
    </rPh>
    <rPh sb="2" eb="4">
      <t>セイギョ</t>
    </rPh>
    <phoneticPr fontId="21"/>
  </si>
  <si>
    <t>※効率評価に関しては、機器/器具付随の制御用センサーのデータを用いた評価も可とする。</t>
  </si>
  <si>
    <t>風害・砂塵、日照阻害の抑制</t>
  </si>
  <si>
    <t>風害・砂塵、日照阻害の抑制</t>
    <phoneticPr fontId="34" type="noConversion"/>
  </si>
  <si>
    <t>窓が開閉不可能な居室において、自然換気有効開口面積が50ｃ㎡／㎡以上。あるいは、窓が開閉可能な居室において、自然換気有効開口面積が居室床面積の1/15以上。あるいは、必要外気量の２倍以上の外気冷房の採用により室内空気質の向上が期待できる。</t>
    <phoneticPr fontId="21"/>
  </si>
  <si>
    <t>居室面積の1/6以上の開閉可能な窓を確保している。</t>
    <phoneticPr fontId="21"/>
  </si>
  <si>
    <t>Q2 サービス性能</t>
    <phoneticPr fontId="21"/>
  </si>
  <si>
    <t>Q</t>
    <phoneticPr fontId="21"/>
  </si>
  <si>
    <t>Q3</t>
    <phoneticPr fontId="21"/>
  </si>
  <si>
    <t>BEE(Round)</t>
    <phoneticPr fontId="21"/>
  </si>
  <si>
    <t>LR1</t>
    <phoneticPr fontId="21"/>
  </si>
  <si>
    <t>LR1 
エネルギー</t>
    <phoneticPr fontId="21"/>
  </si>
  <si>
    <t>㎡</t>
    <phoneticPr fontId="34" type="noConversion"/>
  </si>
  <si>
    <t>Q1</t>
    <phoneticPr fontId="21"/>
  </si>
  <si>
    <t>㎡</t>
    <phoneticPr fontId="34" type="noConversion"/>
  </si>
  <si>
    <r>
      <t>BEE</t>
    </r>
    <r>
      <rPr>
        <sz val="11"/>
        <rFont val="ＭＳ Ｐゴシック"/>
        <family val="3"/>
        <charset val="128"/>
      </rPr>
      <t>グラフ</t>
    </r>
    <phoneticPr fontId="21"/>
  </si>
  <si>
    <t>BEE</t>
    <phoneticPr fontId="21"/>
  </si>
  <si>
    <t>X</t>
    <phoneticPr fontId="21"/>
  </si>
  <si>
    <t>S</t>
    <phoneticPr fontId="21"/>
  </si>
  <si>
    <t>A</t>
    <phoneticPr fontId="21"/>
  </si>
  <si>
    <t>B+</t>
    <phoneticPr fontId="21"/>
  </si>
  <si>
    <t>B</t>
    <phoneticPr fontId="21"/>
  </si>
  <si>
    <t>B-</t>
    <phoneticPr fontId="21"/>
  </si>
  <si>
    <t>Rank(green star)</t>
    <phoneticPr fontId="21"/>
  </si>
  <si>
    <t xml:space="preserve"> ④上記+
　オフサイト手法</t>
    <phoneticPr fontId="21"/>
  </si>
  <si>
    <t>■構造</t>
    <rPh sb="1" eb="3">
      <t>コウゾウ</t>
    </rPh>
    <phoneticPr fontId="21"/>
  </si>
  <si>
    <t>RC造</t>
    <rPh sb="2" eb="3">
      <t>ゾウ</t>
    </rPh>
    <phoneticPr fontId="21"/>
  </si>
  <si>
    <t>S造</t>
    <rPh sb="1" eb="2">
      <t>ゾウ</t>
    </rPh>
    <phoneticPr fontId="21"/>
  </si>
  <si>
    <t>SRC造</t>
    <rPh sb="3" eb="4">
      <t>ゾウ</t>
    </rPh>
    <phoneticPr fontId="21"/>
  </si>
  <si>
    <t>木造</t>
    <rPh sb="0" eb="2">
      <t>モクゾウ</t>
    </rPh>
    <phoneticPr fontId="21"/>
  </si>
  <si>
    <t>■平均居住人員</t>
    <rPh sb="1" eb="3">
      <t>ﾍｲｷﾝ</t>
    </rPh>
    <rPh sb="3" eb="5">
      <t>ｷｮｼﾞｭｳ</t>
    </rPh>
    <rPh sb="5" eb="7">
      <t>ｼﾞﾝｲﾝ</t>
    </rPh>
    <phoneticPr fontId="34" type="noConversion"/>
  </si>
  <si>
    <t>人（想定値）</t>
    <rPh sb="0" eb="1">
      <t>ニン</t>
    </rPh>
    <rPh sb="2" eb="4">
      <t>ソウテイ</t>
    </rPh>
    <rPh sb="4" eb="5">
      <t>アタイ</t>
    </rPh>
    <phoneticPr fontId="21"/>
  </si>
  <si>
    <t>■年間使用時間</t>
    <rPh sb="1" eb="3">
      <t>ﾈﾝｶﾝ</t>
    </rPh>
    <rPh sb="3" eb="5">
      <t>ｼﾖｳ</t>
    </rPh>
    <rPh sb="5" eb="7">
      <t>ｼﾞｶﾝ</t>
    </rPh>
    <phoneticPr fontId="34" type="noConversion"/>
  </si>
  <si>
    <t>時間/年（想定値）</t>
    <rPh sb="0" eb="2">
      <t>ジカン</t>
    </rPh>
    <rPh sb="3" eb="4">
      <t>ネン</t>
    </rPh>
    <phoneticPr fontId="21"/>
  </si>
  <si>
    <t>② 評価の実施</t>
    <rPh sb="2" eb="4">
      <t>ヒョウカ</t>
    </rPh>
    <rPh sb="5" eb="7">
      <t>ジッシ</t>
    </rPh>
    <phoneticPr fontId="21"/>
  </si>
  <si>
    <t>既存</t>
    <rPh sb="0" eb="2">
      <t>キソン</t>
    </rPh>
    <phoneticPr fontId="21"/>
  </si>
  <si>
    <t>新築</t>
    <rPh sb="0" eb="2">
      <t>シンチク</t>
    </rPh>
    <phoneticPr fontId="21"/>
  </si>
  <si>
    <t>既存学校版</t>
    <rPh sb="0" eb="2">
      <t>キソン</t>
    </rPh>
    <rPh sb="2" eb="4">
      <t>ガッコウ</t>
    </rPh>
    <rPh sb="4" eb="5">
      <t>バン</t>
    </rPh>
    <phoneticPr fontId="21"/>
  </si>
  <si>
    <r>
      <t xml:space="preserve">■ </t>
    </r>
    <r>
      <rPr>
        <sz val="10"/>
        <rFont val="ＭＳ Ｐゴシック"/>
        <family val="3"/>
        <charset val="128"/>
      </rPr>
      <t>評価の実施</t>
    </r>
    <rPh sb="2" eb="4">
      <t>ヒョウカ</t>
    </rPh>
    <rPh sb="5" eb="7">
      <t>ジッシ</t>
    </rPh>
    <phoneticPr fontId="21"/>
  </si>
  <si>
    <t>実施設計段階</t>
    <rPh sb="0" eb="2">
      <t>ジッシ</t>
    </rPh>
    <rPh sb="2" eb="4">
      <t>セッケイ</t>
    </rPh>
    <rPh sb="4" eb="6">
      <t>ダンカイ</t>
    </rPh>
    <phoneticPr fontId="21"/>
  </si>
  <si>
    <t>基本設計段階</t>
    <rPh sb="0" eb="2">
      <t>キホン</t>
    </rPh>
    <rPh sb="2" eb="4">
      <t>セッケイ</t>
    </rPh>
    <rPh sb="4" eb="6">
      <t>ダンカイ</t>
    </rPh>
    <phoneticPr fontId="21"/>
  </si>
  <si>
    <t>上記の他、換気ボイドなど、効果を促進させる建築的工夫がなされ、その影響範囲が、建物の過半（50%以上）に及ぶもの</t>
    <rPh sb="0" eb="1">
      <t>ジョウ</t>
    </rPh>
    <rPh sb="39" eb="41">
      <t>タテモノ</t>
    </rPh>
    <phoneticPr fontId="21"/>
  </si>
  <si>
    <t>レベル４に加え、利用量が15MJ/㎡・年以上となる場合。</t>
    <rPh sb="8" eb="10">
      <t>リヨウ</t>
    </rPh>
    <rPh sb="10" eb="11">
      <t>リョウ</t>
    </rPh>
    <rPh sb="19" eb="20">
      <t>トシ</t>
    </rPh>
    <rPh sb="20" eb="22">
      <t>イジョウ</t>
    </rPh>
    <rPh sb="25" eb="27">
      <t>バアイ</t>
    </rPh>
    <phoneticPr fontId="21"/>
  </si>
  <si>
    <t>上記の工夫が、建物の大半（80%以上）に及ぶもの</t>
    <rPh sb="0" eb="1">
      <t>ジョウ</t>
    </rPh>
    <rPh sb="7" eb="9">
      <t>タテモノ</t>
    </rPh>
    <phoneticPr fontId="21"/>
  </si>
  <si>
    <t>躯体材料の耐用年数</t>
    <rPh sb="0" eb="2">
      <t>クタイ</t>
    </rPh>
    <rPh sb="2" eb="4">
      <t>ザイリョウ</t>
    </rPh>
    <rPh sb="5" eb="7">
      <t>タイヨウ</t>
    </rPh>
    <rPh sb="7" eb="9">
      <t>ネンスウ</t>
    </rPh>
    <phoneticPr fontId="21"/>
  </si>
  <si>
    <t>外壁仕上げ材の補修必要間隔</t>
    <rPh sb="0" eb="2">
      <t>ガイヘキ</t>
    </rPh>
    <rPh sb="2" eb="4">
      <t>シア</t>
    </rPh>
    <rPh sb="5" eb="6">
      <t>ザイ</t>
    </rPh>
    <rPh sb="7" eb="9">
      <t>ホシュウ</t>
    </rPh>
    <rPh sb="9" eb="11">
      <t>ヒツヨウ</t>
    </rPh>
    <rPh sb="11" eb="13">
      <t>カンカク</t>
    </rPh>
    <phoneticPr fontId="21"/>
  </si>
  <si>
    <t>主要内装仕上げ材の更新必要間隔</t>
    <rPh sb="0" eb="2">
      <t>シュヨウ</t>
    </rPh>
    <rPh sb="2" eb="4">
      <t>ナイソウ</t>
    </rPh>
    <rPh sb="4" eb="6">
      <t>シア</t>
    </rPh>
    <rPh sb="7" eb="8">
      <t>ザイ</t>
    </rPh>
    <rPh sb="9" eb="11">
      <t>コウシン</t>
    </rPh>
    <rPh sb="11" eb="13">
      <t>ヒツヨウ</t>
    </rPh>
    <rPh sb="13" eb="15">
      <t>カンカク</t>
    </rPh>
    <phoneticPr fontId="21"/>
  </si>
  <si>
    <t>空調換気ダクトの更新必要間隔</t>
    <rPh sb="0" eb="2">
      <t>クウチョウ</t>
    </rPh>
    <rPh sb="2" eb="4">
      <t>カンキ</t>
    </rPh>
    <rPh sb="8" eb="10">
      <t>コウシン</t>
    </rPh>
    <rPh sb="10" eb="12">
      <t>ヒツヨウ</t>
    </rPh>
    <rPh sb="12" eb="14">
      <t>カンカク</t>
    </rPh>
    <phoneticPr fontId="21"/>
  </si>
  <si>
    <t>空調・給排水配管の更新必要間隔</t>
    <rPh sb="0" eb="2">
      <t>クウチョウ</t>
    </rPh>
    <rPh sb="3" eb="4">
      <t>キュウ</t>
    </rPh>
    <rPh sb="4" eb="6">
      <t>ハイスイ</t>
    </rPh>
    <rPh sb="6" eb="8">
      <t>ハイカン</t>
    </rPh>
    <rPh sb="9" eb="11">
      <t>コウシン</t>
    </rPh>
    <rPh sb="11" eb="13">
      <t>ヒツヨウ</t>
    </rPh>
    <rPh sb="13" eb="15">
      <t>カンカク</t>
    </rPh>
    <phoneticPr fontId="21"/>
  </si>
  <si>
    <t>主要設備機器の更新必要間隔</t>
    <rPh sb="0" eb="2">
      <t>シュヨウ</t>
    </rPh>
    <rPh sb="2" eb="4">
      <t>セツビ</t>
    </rPh>
    <rPh sb="4" eb="6">
      <t>キキ</t>
    </rPh>
    <rPh sb="7" eb="9">
      <t>コウシン</t>
    </rPh>
    <rPh sb="9" eb="11">
      <t>ヒツヨウ</t>
    </rPh>
    <rPh sb="11" eb="13">
      <t>カンカク</t>
    </rPh>
    <phoneticPr fontId="21"/>
  </si>
  <si>
    <t>適切な更新</t>
    <rPh sb="0" eb="2">
      <t>テキセツ</t>
    </rPh>
    <rPh sb="3" eb="5">
      <t>コウシン</t>
    </rPh>
    <phoneticPr fontId="21"/>
  </si>
  <si>
    <t>(b)グリーン熱証書によるカーボンオフセット</t>
    <phoneticPr fontId="21"/>
  </si>
  <si>
    <t>（ｃ）その他カーボンクレジット</t>
    <phoneticPr fontId="21"/>
  </si>
  <si>
    <t>(d)調整後排出量（調整後排出係数による）と実排出量の差</t>
    <phoneticPr fontId="21"/>
  </si>
  <si>
    <t>○○による</t>
    <phoneticPr fontId="21"/>
  </si>
  <si>
    <t>○○</t>
    <phoneticPr fontId="21"/>
  </si>
  <si>
    <t>○○</t>
    <phoneticPr fontId="21"/>
  </si>
  <si>
    <t>○○</t>
    <phoneticPr fontId="21"/>
  </si>
  <si>
    <t>合計</t>
    <phoneticPr fontId="21"/>
  </si>
  <si>
    <t>kWh/年</t>
    <phoneticPr fontId="21"/>
  </si>
  <si>
    <t>自家消費分</t>
    <phoneticPr fontId="21"/>
  </si>
  <si>
    <t>kWh/年</t>
    <phoneticPr fontId="21"/>
  </si>
  <si>
    <t>段階</t>
    <phoneticPr fontId="21"/>
  </si>
  <si>
    <t>余剰売電分</t>
    <phoneticPr fontId="21"/>
  </si>
  <si>
    <t>通常の空調方式であるが、居住域の上下温度差や気流速度に配慮した給排気計画がされている。上下温度差及び気流速度の目標値をおおよそ5℃以内、0.35m/s程度に設定している。</t>
    <phoneticPr fontId="21"/>
  </si>
  <si>
    <t>通常の空調方式であるが、居住域の上下温度差や気流速度および診療室内の間仕切りなどに配慮した給排気計画がされている。上下温度差及び気流速度の目標値をおおよそ5℃以内、0.35m/s程度に設定している。</t>
    <phoneticPr fontId="21"/>
  </si>
  <si>
    <t>水平方向から見て光源が露出し、グレアを制限していない器具。G3分類の器具。</t>
  </si>
  <si>
    <t>水平方向から見て光源が露出しグレアを制限していない器具。G3分類の器具。</t>
  </si>
  <si>
    <t>水平方向から見て光源が露出せず、グレアを制限している器具。G2分類の器具。</t>
  </si>
  <si>
    <t>反射板形状の工夫、ルーバー・透光性カバーなどにより、十分にグレアを制限している器具。G1、G0、V分類の器具。</t>
  </si>
  <si>
    <r>
      <t>シクロペンタン C</t>
    </r>
    <r>
      <rPr>
        <vertAlign val="subscript"/>
        <sz val="9"/>
        <rFont val="ＭＳ Ｐゴシック"/>
        <family val="3"/>
        <charset val="128"/>
      </rPr>
      <t>5</t>
    </r>
    <r>
      <rPr>
        <sz val="9"/>
        <rFont val="ＭＳ Ｐゴシック"/>
        <family val="3"/>
        <charset val="128"/>
      </rPr>
      <t>H</t>
    </r>
    <r>
      <rPr>
        <vertAlign val="subscript"/>
        <sz val="9"/>
        <rFont val="ＭＳ Ｐゴシック"/>
        <family val="3"/>
        <charset val="128"/>
      </rPr>
      <t>10</t>
    </r>
    <phoneticPr fontId="21"/>
  </si>
  <si>
    <t>CFC-12</t>
    <phoneticPr fontId="21"/>
  </si>
  <si>
    <t>HCFC-142b</t>
    <phoneticPr fontId="21"/>
  </si>
  <si>
    <t>フェノールフォーム</t>
    <phoneticPr fontId="21"/>
  </si>
  <si>
    <t>CFC-113</t>
    <phoneticPr fontId="21"/>
  </si>
  <si>
    <r>
      <t>メチクロ（ジクロロメタン） CH</t>
    </r>
    <r>
      <rPr>
        <vertAlign val="subscript"/>
        <sz val="9"/>
        <rFont val="ＭＳ Ｐゴシック"/>
        <family val="3"/>
        <charset val="128"/>
      </rPr>
      <t>2</t>
    </r>
    <r>
      <rPr>
        <sz val="9"/>
        <rFont val="ＭＳ Ｐゴシック"/>
        <family val="3"/>
        <charset val="128"/>
      </rPr>
      <t>Cl</t>
    </r>
    <r>
      <rPr>
        <vertAlign val="subscript"/>
        <sz val="9"/>
        <rFont val="ＭＳ Ｐゴシック"/>
        <family val="3"/>
        <charset val="128"/>
      </rPr>
      <t>2</t>
    </r>
    <phoneticPr fontId="21"/>
  </si>
  <si>
    <t>ODP（CFC基準）</t>
    <phoneticPr fontId="21"/>
  </si>
  <si>
    <t>レベル１（フロン）</t>
    <phoneticPr fontId="21"/>
  </si>
  <si>
    <t>レベル２（フロン）</t>
    <phoneticPr fontId="21"/>
  </si>
  <si>
    <t>0.02～0.06</t>
    <phoneticPr fontId="21"/>
  </si>
  <si>
    <t>レベル３</t>
    <phoneticPr fontId="21"/>
  </si>
  <si>
    <t>評価する取組みがない。</t>
  </si>
  <si>
    <t>講堂・礼拝堂</t>
    <rPh sb="0" eb="2">
      <t>コウドウ</t>
    </rPh>
    <rPh sb="3" eb="6">
      <t>レイハイドウ</t>
    </rPh>
    <phoneticPr fontId="21"/>
  </si>
  <si>
    <t>研究室・普通教室</t>
    <rPh sb="0" eb="3">
      <t>ケンキュウシツ</t>
    </rPh>
    <rPh sb="4" eb="6">
      <t>フツウ</t>
    </rPh>
    <rPh sb="6" eb="8">
      <t>キョウシツ</t>
    </rPh>
    <phoneticPr fontId="21"/>
  </si>
  <si>
    <t>廊下</t>
    <rPh sb="0" eb="2">
      <t>ロウカ</t>
    </rPh>
    <phoneticPr fontId="21"/>
  </si>
  <si>
    <t>節水の仕組みなし。</t>
    <phoneticPr fontId="21"/>
  </si>
  <si>
    <t>事・学・物・飲・会・病・ホ・工・住</t>
    <phoneticPr fontId="21"/>
  </si>
  <si>
    <t>(該当するレベルなし)</t>
    <phoneticPr fontId="21"/>
  </si>
  <si>
    <t>(該当するレベルなし)</t>
    <phoneticPr fontId="21"/>
  </si>
  <si>
    <t>Fc=60以上100未満　かつF=490以上</t>
    <phoneticPr fontId="21"/>
  </si>
  <si>
    <t>Fc=100以上　かつF=590以上</t>
    <phoneticPr fontId="21"/>
  </si>
  <si>
    <t>F=355以上　440未満</t>
    <phoneticPr fontId="21"/>
  </si>
  <si>
    <t>F=440以上</t>
    <phoneticPr fontId="21"/>
  </si>
  <si>
    <t>主要構造躯体におけるその他の対策</t>
    <phoneticPr fontId="21"/>
  </si>
  <si>
    <t>節水</t>
    <rPh sb="0" eb="2">
      <t>セッスイ</t>
    </rPh>
    <phoneticPr fontId="21"/>
  </si>
  <si>
    <t>共用部</t>
    <rPh sb="0" eb="2">
      <t>キョウヨウ</t>
    </rPh>
    <rPh sb="2" eb="3">
      <t>ブ</t>
    </rPh>
    <phoneticPr fontId="21"/>
  </si>
  <si>
    <t>広さ感・景観</t>
    <rPh sb="0" eb="1">
      <t>ヒロ</t>
    </rPh>
    <rPh sb="2" eb="3">
      <t>カン</t>
    </rPh>
    <rPh sb="4" eb="6">
      <t>ケイカン</t>
    </rPh>
    <phoneticPr fontId="21"/>
  </si>
  <si>
    <t>2)風下となる地域への風通しに配慮し敷地外への熱的な影響を低減する</t>
  </si>
  <si>
    <t>①建築物の配置形状計画に当たっては風下となる地域への風の通り道を遮らないよう工夫する</t>
  </si>
  <si>
    <t>②夏期の卓越風向に対する建築物の見付け面積を小さくするよう努める</t>
  </si>
  <si>
    <t>③風を回復させるよう建築物の高さ形状建築物間の隣棟間隔等を工夫する</t>
  </si>
  <si>
    <t>3)地表面被覆材に配慮し敷地外への熱的な影響を低減する</t>
  </si>
  <si>
    <t>①地表面の被覆材に配慮する</t>
  </si>
  <si>
    <t>4)建築外装材料等に配慮し敷地外への熱的な影響を低減する</t>
  </si>
  <si>
    <t>①屋根面の緑化等と高反射材料を選定するように努める</t>
  </si>
  <si>
    <t>②外壁面の材料に配慮する</t>
  </si>
  <si>
    <t>5)建築設備から大気への排熱量を低減する</t>
  </si>
  <si>
    <t>①建築物の外壁窓等を通しての熱損失の防止及び空気調和設備等に係るエネルギーの効率的利用のための措置を講じる</t>
  </si>
  <si>
    <t>②建築設備に伴う排熱は低温排熱にすること等により気温上昇の抑制に努める</t>
  </si>
  <si>
    <t>III効果の確認</t>
  </si>
  <si>
    <t>6)シミュレーション等による温熱環境悪化改善の効果の確認</t>
  </si>
  <si>
    <t>②敷地周辺の地形建物緑地等の現況と計画建物に対して流体数値シミュレーション等を行って影響を予測している場合(2ポイント)</t>
  </si>
  <si>
    <t>水質汚濁防止法あるいは下水道法、または地方公共団体等で定める排出基準のうち厳しい基準を満たしている。</t>
    <rPh sb="37" eb="38">
      <t>キビ</t>
    </rPh>
    <rPh sb="40" eb="42">
      <t>キジュン</t>
    </rPh>
    <phoneticPr fontId="21"/>
  </si>
  <si>
    <t>対象外</t>
  </si>
  <si>
    <r>
      <t xml:space="preserve">2.3.4 </t>
    </r>
    <r>
      <rPr>
        <b/>
        <sz val="10"/>
        <rFont val="ＭＳ Ｐゴシック"/>
        <family val="3"/>
        <charset val="128"/>
      </rPr>
      <t>廃棄物処理負荷抑制</t>
    </r>
    <rPh sb="13" eb="15">
      <t>ヨクセイ</t>
    </rPh>
    <phoneticPr fontId="21"/>
  </si>
  <si>
    <t>既存は住の基準あり</t>
    <rPh sb="0" eb="2">
      <t>キソン</t>
    </rPh>
    <rPh sb="3" eb="4">
      <t>ジュウ</t>
    </rPh>
    <rPh sb="5" eb="7">
      <t>キジュン</t>
    </rPh>
    <phoneticPr fontId="21"/>
  </si>
  <si>
    <t>評価する取組み表の評価ポイントの合計値が2ポイント</t>
  </si>
  <si>
    <t>評価する取組み表の評価ポイントの合計値が3ポイント</t>
  </si>
  <si>
    <t>評価する取組み表の評価ポイントの合計値が4ポイント以上</t>
    <rPh sb="25" eb="27">
      <t>イジョウ</t>
    </rPh>
    <phoneticPr fontId="21"/>
  </si>
  <si>
    <t>新築なし</t>
    <rPh sb="0" eb="2">
      <t>シンチク</t>
    </rPh>
    <phoneticPr fontId="21"/>
  </si>
  <si>
    <t>5)年間の廃棄物の再利用率が
　50％以上75％未満である場合　1ポイント
　75％以上である場合　　　　　　　2ポイント</t>
    <rPh sb="2" eb="4">
      <t>ネンカン</t>
    </rPh>
    <rPh sb="5" eb="8">
      <t>ハイキブツ</t>
    </rPh>
    <rPh sb="9" eb="13">
      <t>サイリヨウリツ</t>
    </rPh>
    <rPh sb="19" eb="21">
      <t>イジョウ</t>
    </rPh>
    <rPh sb="24" eb="26">
      <t>ミマン</t>
    </rPh>
    <rPh sb="29" eb="31">
      <t>バアイ</t>
    </rPh>
    <rPh sb="42" eb="44">
      <t>イジョウ</t>
    </rPh>
    <rPh sb="47" eb="49">
      <t>バアイ</t>
    </rPh>
    <phoneticPr fontId="21"/>
  </si>
  <si>
    <t>騒音・振動・悪臭の防止</t>
    <rPh sb="0" eb="2">
      <t>ソウオン</t>
    </rPh>
    <rPh sb="3" eb="5">
      <t>シンドウ</t>
    </rPh>
    <rPh sb="6" eb="8">
      <t>アクシュウ</t>
    </rPh>
    <rPh sb="9" eb="11">
      <t>ボウシ</t>
    </rPh>
    <phoneticPr fontId="21"/>
  </si>
  <si>
    <r>
      <t xml:space="preserve">3.1.1 </t>
    </r>
    <r>
      <rPr>
        <b/>
        <sz val="10"/>
        <rFont val="ＭＳ Ｐゴシック"/>
        <family val="3"/>
        <charset val="128"/>
      </rPr>
      <t>騒音</t>
    </r>
    <rPh sb="6" eb="8">
      <t>ソウオン</t>
    </rPh>
    <phoneticPr fontId="21"/>
  </si>
  <si>
    <t>規制対象建物以外の場合</t>
    <rPh sb="0" eb="2">
      <t>キセイ</t>
    </rPh>
    <rPh sb="2" eb="4">
      <t>タイショウ</t>
    </rPh>
    <rPh sb="4" eb="6">
      <t>タテモノ</t>
    </rPh>
    <rPh sb="6" eb="8">
      <t>イガイ</t>
    </rPh>
    <rPh sb="9" eb="11">
      <t>バアイ</t>
    </rPh>
    <phoneticPr fontId="21"/>
  </si>
  <si>
    <t>騒音に関する規制基準値</t>
    <rPh sb="0" eb="2">
      <t>ソウオン</t>
    </rPh>
    <rPh sb="3" eb="4">
      <t>カン</t>
    </rPh>
    <rPh sb="6" eb="8">
      <t>キセイ</t>
    </rPh>
    <rPh sb="8" eb="11">
      <t>キジュンチ</t>
    </rPh>
    <phoneticPr fontId="21"/>
  </si>
  <si>
    <t>第1種区域</t>
    <rPh sb="0" eb="1">
      <t>ダイ</t>
    </rPh>
    <rPh sb="2" eb="3">
      <t>シュ</t>
    </rPh>
    <rPh sb="3" eb="5">
      <t>クイキ</t>
    </rPh>
    <phoneticPr fontId="21"/>
  </si>
  <si>
    <t>第２種区域</t>
    <rPh sb="3" eb="5">
      <t>クイキ</t>
    </rPh>
    <phoneticPr fontId="21"/>
  </si>
  <si>
    <t>　レベル 1</t>
  </si>
  <si>
    <t>レベル３を
満たさない</t>
  </si>
  <si>
    <t>45dB以下</t>
  </si>
  <si>
    <t>40dB以下</t>
  </si>
  <si>
    <t>35dB以下</t>
  </si>
  <si>
    <t>第３種区域</t>
    <rPh sb="0" eb="1">
      <t>ダイ</t>
    </rPh>
    <rPh sb="2" eb="3">
      <t>シュ</t>
    </rPh>
    <rPh sb="3" eb="5">
      <t>クイキ</t>
    </rPh>
    <phoneticPr fontId="21"/>
  </si>
  <si>
    <t>第４種区域</t>
    <rPh sb="0" eb="1">
      <t>ダイ</t>
    </rPh>
    <rPh sb="2" eb="3">
      <t>シュ</t>
    </rPh>
    <rPh sb="3" eb="5">
      <t>クイキ</t>
    </rPh>
    <phoneticPr fontId="21"/>
  </si>
  <si>
    <t>60dB以下</t>
  </si>
  <si>
    <t>55dB以下</t>
  </si>
  <si>
    <t>50dB以下</t>
  </si>
  <si>
    <t>70dB以下</t>
  </si>
  <si>
    <t>強風域の発生などについての事前調査や風害抑制対策を行っていない。</t>
  </si>
  <si>
    <t>事前調査や低減・回避対策等は行っているが、評価を行っていない。又は机上予測に基づいて風力階級による評価を行っているが、一部悪化している、又は立地に対応する風環境のランクを下回る測定点がある。</t>
  </si>
  <si>
    <t>光・視環境</t>
    <rPh sb="0" eb="1">
      <t>ヒカリ</t>
    </rPh>
    <rPh sb="2" eb="3">
      <t>シ</t>
    </rPh>
    <rPh sb="3" eb="5">
      <t>カンキョウ</t>
    </rPh>
    <phoneticPr fontId="21"/>
  </si>
  <si>
    <t>昼光利用</t>
    <rPh sb="0" eb="1">
      <t>ヒル</t>
    </rPh>
    <rPh sb="1" eb="2">
      <t>ヒカリ</t>
    </rPh>
    <rPh sb="2" eb="4">
      <t>リヨウ</t>
    </rPh>
    <phoneticPr fontId="21"/>
  </si>
  <si>
    <r>
      <t xml:space="preserve">3.1.1 </t>
    </r>
    <r>
      <rPr>
        <b/>
        <sz val="10"/>
        <rFont val="ＭＳ Ｐゴシック"/>
        <family val="3"/>
        <charset val="128"/>
      </rPr>
      <t>昼光率</t>
    </r>
    <rPh sb="6" eb="7">
      <t>ヒル</t>
    </rPh>
    <rPh sb="7" eb="8">
      <t>ヒカリ</t>
    </rPh>
    <rPh sb="8" eb="9">
      <t>リツ</t>
    </rPh>
    <phoneticPr fontId="21"/>
  </si>
  <si>
    <t>事・学・病・ホ・工・住</t>
    <rPh sb="10" eb="11">
      <t>ジュウ</t>
    </rPh>
    <phoneticPr fontId="21"/>
  </si>
  <si>
    <t>[昼光率] ＜1.0％</t>
  </si>
  <si>
    <t>[昼光率] ＜0.5％</t>
  </si>
  <si>
    <t>1.0％≦ [昼光率] ＜1.5％</t>
  </si>
  <si>
    <t>0.5%≦ [昼光率] ＜0.75％</t>
  </si>
  <si>
    <t>0.5％≦ [昼光率] ＜1.0％</t>
  </si>
  <si>
    <t>1.5％≦ [昼光率] ＜2.0％</t>
  </si>
  <si>
    <t>2.0％≦ [昼光率] ＜2.5％</t>
  </si>
  <si>
    <t>2.5％≦ [昼光率]</t>
  </si>
  <si>
    <r>
      <t xml:space="preserve">3.1.2 </t>
    </r>
    <r>
      <rPr>
        <b/>
        <sz val="10"/>
        <rFont val="ＭＳ Ｐゴシック"/>
        <family val="3"/>
        <charset val="128"/>
      </rPr>
      <t>方位別開口</t>
    </r>
    <rPh sb="6" eb="8">
      <t>ホウイ</t>
    </rPh>
    <rPh sb="8" eb="9">
      <t>ベツ</t>
    </rPh>
    <rPh sb="9" eb="11">
      <t>カイコウ</t>
    </rPh>
    <phoneticPr fontId="21"/>
  </si>
  <si>
    <t>南面に窓がない。</t>
  </si>
  <si>
    <t>南面に窓がある。</t>
  </si>
  <si>
    <t>南、東の両面に窓がある。</t>
  </si>
  <si>
    <r>
      <t xml:space="preserve">3.1.3 </t>
    </r>
    <r>
      <rPr>
        <b/>
        <sz val="10"/>
        <rFont val="ＭＳ Ｐゴシック"/>
        <family val="3"/>
        <charset val="128"/>
      </rPr>
      <t>昼光利用設備</t>
    </r>
    <rPh sb="6" eb="7">
      <t>ヒル</t>
    </rPh>
    <rPh sb="7" eb="8">
      <t>ヒカリ</t>
    </rPh>
    <rPh sb="8" eb="10">
      <t>リヨウ</t>
    </rPh>
    <rPh sb="10" eb="12">
      <t>セツビ</t>
    </rPh>
    <phoneticPr fontId="21"/>
  </si>
  <si>
    <t>事・学・工</t>
    <rPh sb="4" eb="5">
      <t>コウ</t>
    </rPh>
    <phoneticPr fontId="21"/>
  </si>
  <si>
    <t>病・ホ・住</t>
    <rPh sb="4" eb="5">
      <t>ジュウ</t>
    </rPh>
    <phoneticPr fontId="21"/>
  </si>
  <si>
    <t>昼光利用設備がない。</t>
  </si>
  <si>
    <t>昼光利用設備が１種類ある。</t>
  </si>
  <si>
    <t>グレア対策</t>
    <rPh sb="3" eb="5">
      <t>タイサク</t>
    </rPh>
    <phoneticPr fontId="21"/>
  </si>
  <si>
    <r>
      <t xml:space="preserve">3.2.1 </t>
    </r>
    <r>
      <rPr>
        <b/>
        <sz val="10"/>
        <rFont val="ＭＳ Ｐゴシック"/>
        <family val="3"/>
        <charset val="128"/>
      </rPr>
      <t>照明器具のグレア</t>
    </r>
    <rPh sb="6" eb="8">
      <t>ショウメイ</t>
    </rPh>
    <rPh sb="8" eb="10">
      <t>キグ</t>
    </rPh>
    <phoneticPr fontId="21"/>
  </si>
  <si>
    <t>教室の天井高がおおむね2.7mである。</t>
    <rPh sb="0" eb="2">
      <t>キョウシツ</t>
    </rPh>
    <rPh sb="3" eb="5">
      <t>テンジョウ</t>
    </rPh>
    <rPh sb="5" eb="6">
      <t>ダカ</t>
    </rPh>
    <phoneticPr fontId="21"/>
  </si>
  <si>
    <t>教室の天井高が2.7mを超えている。</t>
    <rPh sb="0" eb="2">
      <t>キョウシツ</t>
    </rPh>
    <rPh sb="3" eb="5">
      <t>テンジョウ</t>
    </rPh>
    <rPh sb="5" eb="6">
      <t>ダカ</t>
    </rPh>
    <rPh sb="12" eb="13">
      <t>コ</t>
    </rPh>
    <phoneticPr fontId="21"/>
  </si>
  <si>
    <r>
      <t xml:space="preserve">2.1.1 </t>
    </r>
    <r>
      <rPr>
        <b/>
        <sz val="10"/>
        <rFont val="ＭＳ Ｐゴシック"/>
        <family val="3"/>
        <charset val="128"/>
      </rPr>
      <t>室温</t>
    </r>
    <rPh sb="6" eb="8">
      <t>シツオン</t>
    </rPh>
    <phoneticPr fontId="21"/>
  </si>
  <si>
    <t>室温</t>
    <rPh sb="0" eb="2">
      <t>シツオン</t>
    </rPh>
    <phoneticPr fontId="21"/>
  </si>
  <si>
    <t>室温</t>
    <phoneticPr fontId="21"/>
  </si>
  <si>
    <t>事・学・物・会・ホ</t>
    <rPh sb="0" eb="1">
      <t>コト</t>
    </rPh>
    <rPh sb="2" eb="3">
      <t>ガク</t>
    </rPh>
    <rPh sb="4" eb="5">
      <t>モノ</t>
    </rPh>
    <rPh sb="6" eb="7">
      <t>カイ</t>
    </rPh>
    <phoneticPr fontId="21"/>
  </si>
  <si>
    <t>3つの設備管理業務の取り組みポイントが 0点</t>
    <rPh sb="3" eb="5">
      <t>セツビ</t>
    </rPh>
    <rPh sb="5" eb="7">
      <t>カンリ</t>
    </rPh>
    <rPh sb="7" eb="9">
      <t>ギョウム</t>
    </rPh>
    <rPh sb="10" eb="11">
      <t>ト</t>
    </rPh>
    <rPh sb="12" eb="13">
      <t>ク</t>
    </rPh>
    <rPh sb="21" eb="22">
      <t>テン</t>
    </rPh>
    <phoneticPr fontId="21"/>
  </si>
  <si>
    <t>3つの設備管理業務の取り組みポイントが 1～2点</t>
    <rPh sb="3" eb="5">
      <t>セツビ</t>
    </rPh>
    <rPh sb="5" eb="7">
      <t>カンリ</t>
    </rPh>
    <rPh sb="7" eb="9">
      <t>ギョウム</t>
    </rPh>
    <rPh sb="10" eb="11">
      <t>ト</t>
    </rPh>
    <rPh sb="12" eb="13">
      <t>ク</t>
    </rPh>
    <rPh sb="23" eb="24">
      <t>テン</t>
    </rPh>
    <phoneticPr fontId="21"/>
  </si>
  <si>
    <t>3つの設備管理業務の取り組みポイントが 3点</t>
    <rPh sb="3" eb="5">
      <t>セツビ</t>
    </rPh>
    <rPh sb="5" eb="7">
      <t>カンリ</t>
    </rPh>
    <rPh sb="7" eb="9">
      <t>ギョウム</t>
    </rPh>
    <rPh sb="10" eb="11">
      <t>ト</t>
    </rPh>
    <rPh sb="12" eb="13">
      <t>ク</t>
    </rPh>
    <rPh sb="21" eb="22">
      <t>テン</t>
    </rPh>
    <phoneticPr fontId="21"/>
  </si>
  <si>
    <t>Ⅰ 空調管理の評価</t>
  </si>
  <si>
    <t>建築物環境衛生管理基準の空調設備において不適切項目がある。</t>
    <rPh sb="0" eb="3">
      <t>ケンチクブツ</t>
    </rPh>
    <rPh sb="3" eb="5">
      <t>カンキョウ</t>
    </rPh>
    <rPh sb="5" eb="7">
      <t>エイセイ</t>
    </rPh>
    <rPh sb="7" eb="9">
      <t>カンリ</t>
    </rPh>
    <rPh sb="9" eb="11">
      <t>キジュン</t>
    </rPh>
    <rPh sb="12" eb="14">
      <t>クウチョウ</t>
    </rPh>
    <rPh sb="14" eb="16">
      <t>セツビ</t>
    </rPh>
    <rPh sb="20" eb="23">
      <t>フテキセツ</t>
    </rPh>
    <rPh sb="23" eb="25">
      <t>コウモク</t>
    </rPh>
    <phoneticPr fontId="21"/>
  </si>
  <si>
    <t>建築物環境衛生管理基準を満たし、フィルターの定期的な点検・清掃を行っている。</t>
    <rPh sb="0" eb="3">
      <t>ケンチクブツ</t>
    </rPh>
    <rPh sb="3" eb="5">
      <t>カンキョウ</t>
    </rPh>
    <rPh sb="5" eb="7">
      <t>エイセイ</t>
    </rPh>
    <rPh sb="7" eb="9">
      <t>カンリ</t>
    </rPh>
    <rPh sb="9" eb="11">
      <t>キジュン</t>
    </rPh>
    <rPh sb="12" eb="13">
      <t>ミ</t>
    </rPh>
    <rPh sb="22" eb="25">
      <t>テイキテキ</t>
    </rPh>
    <rPh sb="26" eb="28">
      <t>テンケン</t>
    </rPh>
    <rPh sb="29" eb="31">
      <t>セイソウ</t>
    </rPh>
    <rPh sb="32" eb="33">
      <t>オコナ</t>
    </rPh>
    <phoneticPr fontId="21"/>
  </si>
  <si>
    <t>建築物環境衛生管理基準を満たした以上に、特別な対策を行っている。</t>
    <rPh sb="0" eb="3">
      <t>ケンチクブツ</t>
    </rPh>
    <rPh sb="3" eb="5">
      <t>カンキョウ</t>
    </rPh>
    <rPh sb="5" eb="7">
      <t>エイセイ</t>
    </rPh>
    <rPh sb="7" eb="9">
      <t>カンリ</t>
    </rPh>
    <rPh sb="9" eb="11">
      <t>キジュン</t>
    </rPh>
    <rPh sb="12" eb="13">
      <t>ミ</t>
    </rPh>
    <rPh sb="16" eb="18">
      <t>イジョウ</t>
    </rPh>
    <rPh sb="20" eb="22">
      <t>トクベツ</t>
    </rPh>
    <rPh sb="23" eb="25">
      <t>タイサク</t>
    </rPh>
    <rPh sb="26" eb="27">
      <t>オコナ</t>
    </rPh>
    <phoneticPr fontId="21"/>
  </si>
  <si>
    <t>Ⅱ ねずみ等の点検・防除の評価</t>
    <rPh sb="5" eb="6">
      <t>トウ</t>
    </rPh>
    <rPh sb="7" eb="9">
      <t>テンケン</t>
    </rPh>
    <rPh sb="10" eb="12">
      <t>ボウジョ</t>
    </rPh>
    <rPh sb="13" eb="15">
      <t>ヒョウカ</t>
    </rPh>
    <phoneticPr fontId="21"/>
  </si>
  <si>
    <t>建築物環境衛生管理基準の害虫駆除において不適切項目がある。</t>
    <rPh sb="0" eb="3">
      <t>ケンチクブツ</t>
    </rPh>
    <rPh sb="3" eb="5">
      <t>カンキョウ</t>
    </rPh>
    <rPh sb="5" eb="7">
      <t>エイセイ</t>
    </rPh>
    <rPh sb="7" eb="9">
      <t>カンリ</t>
    </rPh>
    <rPh sb="9" eb="11">
      <t>キジュン</t>
    </rPh>
    <rPh sb="12" eb="14">
      <t>ガイチュウ</t>
    </rPh>
    <rPh sb="14" eb="16">
      <t>クジョ</t>
    </rPh>
    <rPh sb="20" eb="23">
      <t>フテキセツ</t>
    </rPh>
    <rPh sb="23" eb="25">
      <t>コウモク</t>
    </rPh>
    <phoneticPr fontId="21"/>
  </si>
  <si>
    <t>建物全体・共用部</t>
    <rPh sb="0" eb="2">
      <t>タテモノ</t>
    </rPh>
    <rPh sb="2" eb="4">
      <t>ゼンタイ</t>
    </rPh>
    <rPh sb="5" eb="7">
      <t>キョウヨウ</t>
    </rPh>
    <rPh sb="7" eb="8">
      <t>ブ</t>
    </rPh>
    <phoneticPr fontId="21"/>
  </si>
  <si>
    <t>小中高</t>
    <rPh sb="0" eb="3">
      <t>ショウチュウコウ</t>
    </rPh>
    <phoneticPr fontId="21"/>
  </si>
  <si>
    <t>住居・宿泊部</t>
    <rPh sb="0" eb="2">
      <t>ジュウキョ</t>
    </rPh>
    <rPh sb="3" eb="5">
      <t>シュクハク</t>
    </rPh>
    <rPh sb="5" eb="6">
      <t>ブ</t>
    </rPh>
    <phoneticPr fontId="21"/>
  </si>
  <si>
    <t>全体・共有</t>
    <rPh sb="0" eb="2">
      <t>ゼンタイ</t>
    </rPh>
    <rPh sb="3" eb="5">
      <t>キョウユウ</t>
    </rPh>
    <phoneticPr fontId="21"/>
  </si>
  <si>
    <t>住居・宿泊</t>
    <rPh sb="0" eb="2">
      <t>ジュウキョ</t>
    </rPh>
    <rPh sb="3" eb="5">
      <t>シュクハク</t>
    </rPh>
    <phoneticPr fontId="21"/>
  </si>
  <si>
    <t>項目名</t>
    <rPh sb="0" eb="2">
      <t>コウモク</t>
    </rPh>
    <rPh sb="2" eb="3">
      <t>メイ</t>
    </rPh>
    <phoneticPr fontId="21"/>
  </si>
  <si>
    <t>延面積</t>
    <rPh sb="0" eb="1">
      <t>ノ</t>
    </rPh>
    <rPh sb="1" eb="3">
      <t>メンセキ</t>
    </rPh>
    <phoneticPr fontId="21"/>
  </si>
  <si>
    <t>延面積比率</t>
    <rPh sb="0" eb="1">
      <t>ノ</t>
    </rPh>
    <rPh sb="1" eb="3">
      <t>メンセキ</t>
    </rPh>
    <rPh sb="3" eb="5">
      <t>ヒリツ</t>
    </rPh>
    <phoneticPr fontId="21"/>
  </si>
  <si>
    <r>
      <t>Q-1</t>
    </r>
    <r>
      <rPr>
        <sz val="11"/>
        <rFont val="ＭＳ Ｐゴシック"/>
        <family val="3"/>
        <charset val="128"/>
      </rPr>
      <t>　室内環境</t>
    </r>
    <rPh sb="4" eb="6">
      <t>シツナイ</t>
    </rPh>
    <rPh sb="6" eb="8">
      <t>カンキョウ</t>
    </rPh>
    <phoneticPr fontId="21"/>
  </si>
  <si>
    <r>
      <t xml:space="preserve">Q-3 </t>
    </r>
    <r>
      <rPr>
        <sz val="11"/>
        <rFont val="ＭＳ Ｐゴシック"/>
        <family val="3"/>
        <charset val="128"/>
      </rPr>
      <t>室外環境</t>
    </r>
    <r>
      <rPr>
        <sz val="11"/>
        <rFont val="Arial"/>
        <family val="2"/>
      </rPr>
      <t>(</t>
    </r>
    <r>
      <rPr>
        <sz val="11"/>
        <rFont val="ＭＳ Ｐゴシック"/>
        <family val="3"/>
        <charset val="128"/>
      </rPr>
      <t>敷地内</t>
    </r>
    <r>
      <rPr>
        <sz val="11"/>
        <rFont val="Arial"/>
        <family val="2"/>
      </rPr>
      <t>)</t>
    </r>
    <rPh sb="11" eb="12">
      <t>ナイ</t>
    </rPh>
    <phoneticPr fontId="21"/>
  </si>
  <si>
    <t>音環境</t>
  </si>
  <si>
    <t>機能性</t>
    <rPh sb="0" eb="3">
      <t>キノウセイ</t>
    </rPh>
    <phoneticPr fontId="21"/>
  </si>
  <si>
    <t>生物資源</t>
    <rPh sb="0" eb="2">
      <t>セイブツ</t>
    </rPh>
    <rPh sb="2" eb="4">
      <t>シゲン</t>
    </rPh>
    <phoneticPr fontId="21"/>
  </si>
  <si>
    <t>温熱環境</t>
  </si>
  <si>
    <t>耐用性・信頼性</t>
    <rPh sb="1" eb="2">
      <t>ヨウ</t>
    </rPh>
    <rPh sb="4" eb="7">
      <t>シンライセイ</t>
    </rPh>
    <phoneticPr fontId="21"/>
  </si>
  <si>
    <t>光・視環境</t>
  </si>
  <si>
    <t>対応性･更新性</t>
    <rPh sb="0" eb="3">
      <t>タイオウセイ</t>
    </rPh>
    <rPh sb="4" eb="6">
      <t>コウシン</t>
    </rPh>
    <rPh sb="6" eb="7">
      <t>セイ</t>
    </rPh>
    <phoneticPr fontId="21"/>
  </si>
  <si>
    <t>建築物の環境品質</t>
    <rPh sb="0" eb="3">
      <t>ケンチクブツ</t>
    </rPh>
    <rPh sb="4" eb="6">
      <t>カンキョウ</t>
    </rPh>
    <rPh sb="6" eb="8">
      <t>ヒンシツ</t>
    </rPh>
    <phoneticPr fontId="21"/>
  </si>
  <si>
    <t>住居宿泊・共用部面積比率</t>
    <rPh sb="0" eb="2">
      <t>ジュウキョ</t>
    </rPh>
    <rPh sb="2" eb="4">
      <t>シュクハク</t>
    </rPh>
    <rPh sb="5" eb="7">
      <t>キョウヨウ</t>
    </rPh>
    <rPh sb="7" eb="8">
      <t>ブ</t>
    </rPh>
    <rPh sb="8" eb="10">
      <t>メンセキ</t>
    </rPh>
    <rPh sb="10" eb="12">
      <t>ヒリツ</t>
    </rPh>
    <phoneticPr fontId="21"/>
  </si>
  <si>
    <t xml:space="preserve"> Q</t>
  </si>
  <si>
    <t xml:space="preserve"> Q1</t>
  </si>
  <si>
    <t xml:space="preserve"> Q1 1</t>
  </si>
  <si>
    <t>1.1.1</t>
  </si>
  <si>
    <t xml:space="preserve"> Q1 1.1</t>
  </si>
  <si>
    <t>室内騒音レベル</t>
    <rPh sb="0" eb="2">
      <t>シツナイ</t>
    </rPh>
    <rPh sb="2" eb="4">
      <t>ソウオン</t>
    </rPh>
    <phoneticPr fontId="21"/>
  </si>
  <si>
    <t>1.1.2</t>
  </si>
  <si>
    <t>設備騒音対策</t>
  </si>
  <si>
    <t xml:space="preserve"> Q1 1.2</t>
  </si>
  <si>
    <t xml:space="preserve"> Q1 2</t>
  </si>
  <si>
    <t>年間延床面積あたり削減量</t>
    <rPh sb="0" eb="2">
      <t>ネンカン</t>
    </rPh>
    <rPh sb="2" eb="3">
      <t>ノ</t>
    </rPh>
    <rPh sb="3" eb="6">
      <t>ユカメンセキ</t>
    </rPh>
    <rPh sb="9" eb="11">
      <t>サクゲン</t>
    </rPh>
    <rPh sb="11" eb="12">
      <t>リョウ</t>
    </rPh>
    <phoneticPr fontId="21"/>
  </si>
  <si>
    <t>削減率　％</t>
    <rPh sb="0" eb="2">
      <t>サクゲン</t>
    </rPh>
    <rPh sb="2" eb="3">
      <t>リツ</t>
    </rPh>
    <phoneticPr fontId="21"/>
  </si>
  <si>
    <t>%</t>
    <phoneticPr fontId="21"/>
  </si>
  <si>
    <t>運用エネルギー消費量</t>
    <rPh sb="0" eb="2">
      <t>ｳﾝﾖｳ</t>
    </rPh>
    <rPh sb="7" eb="10">
      <t>ｼｮｳﾋﾘｮｳ</t>
    </rPh>
    <phoneticPr fontId="34" type="noConversion"/>
  </si>
  <si>
    <r>
      <t>ＭＪ</t>
    </r>
    <r>
      <rPr>
        <sz val="10"/>
        <rFont val="Arial"/>
        <family val="2"/>
      </rPr>
      <t>/</t>
    </r>
    <r>
      <rPr>
        <sz val="10"/>
        <rFont val="ＭＳ Ｐゴシック"/>
        <family val="3"/>
        <charset val="128"/>
      </rPr>
      <t>年㎡</t>
    </r>
    <rPh sb="3" eb="4">
      <t>ネン</t>
    </rPh>
    <phoneticPr fontId="21"/>
  </si>
  <si>
    <r>
      <t>ＭＪ</t>
    </r>
    <r>
      <rPr>
        <sz val="10"/>
        <rFont val="Arial"/>
        <family val="2"/>
      </rPr>
      <t>/</t>
    </r>
    <r>
      <rPr>
        <sz val="10"/>
        <rFont val="ＭＳ Ｐゴシック"/>
        <family val="3"/>
        <charset val="128"/>
      </rPr>
      <t>人時</t>
    </r>
    <rPh sb="3" eb="4">
      <t>ニン</t>
    </rPh>
    <rPh sb="4" eb="5">
      <t>ジ</t>
    </rPh>
    <phoneticPr fontId="21"/>
  </si>
  <si>
    <r>
      <t>運用</t>
    </r>
    <r>
      <rPr>
        <sz val="10"/>
        <rFont val="Arial"/>
        <family val="2"/>
      </rPr>
      <t>CO</t>
    </r>
    <r>
      <rPr>
        <vertAlign val="subscript"/>
        <sz val="10"/>
        <rFont val="Arial"/>
        <family val="2"/>
      </rPr>
      <t>2</t>
    </r>
    <r>
      <rPr>
        <sz val="10"/>
        <rFont val="ＭＳ Ｐゴシック"/>
        <family val="3"/>
        <charset val="128"/>
      </rPr>
      <t>排出量</t>
    </r>
    <rPh sb="0" eb="2">
      <t>ｳﾝﾖｳ</t>
    </rPh>
    <rPh sb="5" eb="7">
      <t>ﾊｲｼｭﾂ</t>
    </rPh>
    <rPh sb="7" eb="8">
      <t>ﾘｮｳ</t>
    </rPh>
    <phoneticPr fontId="34" type="noConversion"/>
  </si>
  <si>
    <r>
      <t>kg-CO</t>
    </r>
    <r>
      <rPr>
        <vertAlign val="subscript"/>
        <sz val="10"/>
        <rFont val="Arial"/>
        <family val="2"/>
      </rPr>
      <t>2</t>
    </r>
    <r>
      <rPr>
        <sz val="10"/>
        <rFont val="Arial"/>
        <family val="2"/>
      </rPr>
      <t>/</t>
    </r>
    <r>
      <rPr>
        <sz val="10"/>
        <rFont val="ＭＳ Ｐゴシック"/>
        <family val="3"/>
        <charset val="128"/>
      </rPr>
      <t>年㎡</t>
    </r>
    <rPh sb="7" eb="8">
      <t>ネン</t>
    </rPh>
    <phoneticPr fontId="21"/>
  </si>
  <si>
    <r>
      <t>kg-CO</t>
    </r>
    <r>
      <rPr>
        <vertAlign val="subscript"/>
        <sz val="10"/>
        <rFont val="Arial"/>
        <family val="2"/>
      </rPr>
      <t>2</t>
    </r>
    <r>
      <rPr>
        <sz val="10"/>
        <rFont val="Arial"/>
        <family val="2"/>
      </rPr>
      <t>/</t>
    </r>
    <r>
      <rPr>
        <sz val="10"/>
        <rFont val="ＭＳ Ｐゴシック"/>
        <family val="3"/>
        <charset val="128"/>
      </rPr>
      <t>人時</t>
    </r>
    <rPh sb="7" eb="8">
      <t>ニン</t>
    </rPh>
    <rPh sb="8" eb="9">
      <t>ジ</t>
    </rPh>
    <phoneticPr fontId="21"/>
  </si>
  <si>
    <t>水消費量</t>
    <rPh sb="0" eb="1">
      <t>ﾐｽﾞ</t>
    </rPh>
    <rPh sb="1" eb="4">
      <t>ｼｮｳﾋﾘｮｳ</t>
    </rPh>
    <phoneticPr fontId="34" type="noConversion"/>
  </si>
  <si>
    <r>
      <t>m</t>
    </r>
    <r>
      <rPr>
        <vertAlign val="superscript"/>
        <sz val="10"/>
        <rFont val="Arial"/>
        <family val="2"/>
      </rPr>
      <t>3</t>
    </r>
    <r>
      <rPr>
        <sz val="10"/>
        <rFont val="Arial"/>
        <family val="2"/>
      </rPr>
      <t>/</t>
    </r>
    <r>
      <rPr>
        <sz val="10"/>
        <rFont val="ＭＳ Ｐゴシック"/>
        <family val="3"/>
        <charset val="128"/>
      </rPr>
      <t>年㎡</t>
    </r>
    <rPh sb="3" eb="4">
      <t>ネン</t>
    </rPh>
    <phoneticPr fontId="21"/>
  </si>
  <si>
    <r>
      <t>m</t>
    </r>
    <r>
      <rPr>
        <vertAlign val="superscript"/>
        <sz val="10"/>
        <rFont val="Arial"/>
        <family val="2"/>
      </rPr>
      <t>3</t>
    </r>
    <r>
      <rPr>
        <sz val="10"/>
        <rFont val="Arial"/>
        <family val="2"/>
      </rPr>
      <t>/</t>
    </r>
    <r>
      <rPr>
        <sz val="10"/>
        <rFont val="ＭＳ Ｐゴシック"/>
        <family val="3"/>
        <charset val="128"/>
      </rPr>
      <t>人時</t>
    </r>
    <rPh sb="3" eb="4">
      <t>ニン</t>
    </rPh>
    <rPh sb="4" eb="5">
      <t>ジ</t>
    </rPh>
    <phoneticPr fontId="21"/>
  </si>
  <si>
    <r>
      <t>LCCO</t>
    </r>
    <r>
      <rPr>
        <vertAlign val="subscript"/>
        <sz val="10"/>
        <rFont val="Arial"/>
        <family val="2"/>
      </rPr>
      <t>2</t>
    </r>
    <r>
      <rPr>
        <sz val="10"/>
        <rFont val="ＭＳ Ｐゴシック"/>
        <family val="3"/>
        <charset val="128"/>
      </rPr>
      <t>排出量</t>
    </r>
    <rPh sb="5" eb="7">
      <t>ハイシュツ</t>
    </rPh>
    <rPh sb="7" eb="8">
      <t>リョウ</t>
    </rPh>
    <phoneticPr fontId="21"/>
  </si>
  <si>
    <r>
      <t>LC</t>
    </r>
    <r>
      <rPr>
        <sz val="10"/>
        <rFont val="ＭＳ Ｐゴシック"/>
        <family val="3"/>
        <charset val="128"/>
      </rPr>
      <t>廃棄物量</t>
    </r>
    <rPh sb="2" eb="5">
      <t>ハイキブツ</t>
    </rPh>
    <rPh sb="5" eb="6">
      <t>リョウ</t>
    </rPh>
    <phoneticPr fontId="21"/>
  </si>
  <si>
    <r>
      <t>ｔ</t>
    </r>
    <r>
      <rPr>
        <sz val="10"/>
        <rFont val="Arial"/>
        <family val="2"/>
      </rPr>
      <t>/</t>
    </r>
    <r>
      <rPr>
        <sz val="10"/>
        <rFont val="ＭＳ Ｐゴシック"/>
        <family val="3"/>
        <charset val="128"/>
      </rPr>
      <t>年㎡</t>
    </r>
    <rPh sb="2" eb="3">
      <t>ネン</t>
    </rPh>
    <phoneticPr fontId="21"/>
  </si>
  <si>
    <r>
      <t>ｔ</t>
    </r>
    <r>
      <rPr>
        <sz val="10"/>
        <rFont val="Arial"/>
        <family val="2"/>
      </rPr>
      <t>/</t>
    </r>
    <r>
      <rPr>
        <sz val="10"/>
        <rFont val="ＭＳ Ｐゴシック"/>
        <family val="3"/>
        <charset val="128"/>
      </rPr>
      <t>人時</t>
    </r>
    <rPh sb="2" eb="3">
      <t>ニン</t>
    </rPh>
    <rPh sb="3" eb="4">
      <t>ジ</t>
    </rPh>
    <phoneticPr fontId="21"/>
  </si>
  <si>
    <r>
      <t>LC</t>
    </r>
    <r>
      <rPr>
        <sz val="10"/>
        <rFont val="ＭＳ Ｐゴシック"/>
        <family val="3"/>
        <charset val="128"/>
      </rPr>
      <t>資源消費量</t>
    </r>
    <rPh sb="2" eb="4">
      <t>シゲン</t>
    </rPh>
    <rPh sb="4" eb="6">
      <t>ショウヒ</t>
    </rPh>
    <rPh sb="6" eb="7">
      <t>リョウ</t>
    </rPh>
    <phoneticPr fontId="21"/>
  </si>
  <si>
    <r>
      <t>（</t>
    </r>
    <r>
      <rPr>
        <b/>
        <sz val="12"/>
        <color indexed="9"/>
        <rFont val="Arial"/>
        <family val="2"/>
      </rPr>
      <t>3</t>
    </r>
    <r>
      <rPr>
        <b/>
        <sz val="12"/>
        <color indexed="9"/>
        <rFont val="ＭＳ Ｐゴシック"/>
        <family val="3"/>
        <charset val="128"/>
      </rPr>
      <t>）</t>
    </r>
    <r>
      <rPr>
        <b/>
        <sz val="12"/>
        <color indexed="9"/>
        <rFont val="Arial"/>
        <family val="2"/>
      </rPr>
      <t>-2</t>
    </r>
    <r>
      <rPr>
        <b/>
        <sz val="12"/>
        <color indexed="9"/>
        <rFont val="ＭＳ Ｐゴシック"/>
        <family val="3"/>
        <charset val="128"/>
      </rPr>
      <t>　デザインプロセスの評価</t>
    </r>
    <rPh sb="15" eb="17">
      <t>ﾋｮｳｶ</t>
    </rPh>
    <phoneticPr fontId="34" type="noConversion"/>
  </si>
  <si>
    <t>設計段階</t>
    <rPh sb="0" eb="2">
      <t>ｾｯｹｲ</t>
    </rPh>
    <rPh sb="2" eb="4">
      <t>ﾀﾞﾝｶｲ</t>
    </rPh>
    <phoneticPr fontId="34" type="noConversion"/>
  </si>
  <si>
    <t>建設段階</t>
    <rPh sb="0" eb="2">
      <t>ｹﾝｾﾂ</t>
    </rPh>
    <rPh sb="2" eb="4">
      <t>ﾀﾞﾝｶｲ</t>
    </rPh>
    <phoneticPr fontId="34" type="noConversion"/>
  </si>
  <si>
    <t>有資格者による設計</t>
    <rPh sb="0" eb="4">
      <t>ﾕｳｼｶｸｼｬ</t>
    </rPh>
    <rPh sb="7" eb="9">
      <t>ｾｯｹｲ</t>
    </rPh>
    <phoneticPr fontId="34" type="noConversion"/>
  </si>
  <si>
    <t>環境管理計画</t>
    <rPh sb="0" eb="2">
      <t>ｶﾝｷｮｳ</t>
    </rPh>
    <rPh sb="2" eb="4">
      <t>ｶﾝﾘ</t>
    </rPh>
    <rPh sb="4" eb="6">
      <t>ｹｲｶｸ</t>
    </rPh>
    <phoneticPr fontId="34" type="noConversion"/>
  </si>
  <si>
    <r>
      <t>凡例　　　　　</t>
    </r>
    <r>
      <rPr>
        <sz val="8"/>
        <color indexed="10"/>
        <rFont val="Arial"/>
        <family val="2"/>
      </rPr>
      <t>Q</t>
    </r>
    <r>
      <rPr>
        <sz val="8"/>
        <color indexed="10"/>
        <rFont val="ＭＳ Ｐゴシック"/>
        <family val="3"/>
        <charset val="128"/>
      </rPr>
      <t>：</t>
    </r>
    <rPh sb="0" eb="2">
      <t>ハンレイ</t>
    </rPh>
    <phoneticPr fontId="21"/>
  </si>
  <si>
    <t>(該当するレベルなし)</t>
    <phoneticPr fontId="21"/>
  </si>
  <si>
    <t>制振装置を導入し、強風時の居住性向上に配慮している。</t>
    <phoneticPr fontId="21"/>
  </si>
  <si>
    <t>免震装置を導入している。</t>
    <phoneticPr fontId="21"/>
  </si>
  <si>
    <t>V建築設備に伴う排熱の位置等に配慮し、敷地内歩行者空間等の暑熱環境を緩和する</t>
    <phoneticPr fontId="21"/>
  </si>
  <si>
    <t>-</t>
    <phoneticPr fontId="21"/>
  </si>
  <si>
    <t>映り込み対策</t>
    <rPh sb="0" eb="1">
      <t>ウツ</t>
    </rPh>
    <rPh sb="2" eb="3">
      <t>コ</t>
    </rPh>
    <rPh sb="4" eb="6">
      <t>タイサク</t>
    </rPh>
    <phoneticPr fontId="21"/>
  </si>
  <si>
    <t>照度</t>
    <rPh sb="0" eb="2">
      <t>ｼｮｳﾄﾞ</t>
    </rPh>
    <phoneticPr fontId="34" type="noConversion"/>
  </si>
  <si>
    <t>照度</t>
    <rPh sb="0" eb="2">
      <t>ショウド</t>
    </rPh>
    <phoneticPr fontId="21"/>
  </si>
  <si>
    <t>照度均斉度</t>
    <rPh sb="0" eb="2">
      <t>ショウド</t>
    </rPh>
    <rPh sb="2" eb="3">
      <t>タモツ</t>
    </rPh>
    <rPh sb="3" eb="4">
      <t>サイ</t>
    </rPh>
    <rPh sb="4" eb="5">
      <t>タビ</t>
    </rPh>
    <phoneticPr fontId="21"/>
  </si>
  <si>
    <t>照明制御</t>
    <rPh sb="0" eb="2">
      <t>ショウメイ</t>
    </rPh>
    <rPh sb="2" eb="4">
      <t>セイギョ</t>
    </rPh>
    <phoneticPr fontId="21"/>
  </si>
  <si>
    <t>空気質環境</t>
    <rPh sb="0" eb="2">
      <t>クウキ</t>
    </rPh>
    <rPh sb="2" eb="3">
      <t>シツ</t>
    </rPh>
    <rPh sb="3" eb="5">
      <t>カンキョウ</t>
    </rPh>
    <phoneticPr fontId="21"/>
  </si>
  <si>
    <t>発生源対策</t>
    <rPh sb="0" eb="3">
      <t>ﾊｯｾｲｹﾞﾝ</t>
    </rPh>
    <rPh sb="3" eb="5">
      <t>ﾀｲｻｸ</t>
    </rPh>
    <phoneticPr fontId="34" type="noConversion"/>
  </si>
  <si>
    <t>化学汚染物質</t>
    <rPh sb="0" eb="2">
      <t>カガク</t>
    </rPh>
    <rPh sb="4" eb="6">
      <t>ブッシツ</t>
    </rPh>
    <phoneticPr fontId="21"/>
  </si>
  <si>
    <t>アスベスト対策</t>
    <rPh sb="5" eb="7">
      <t>タイサク</t>
    </rPh>
    <phoneticPr fontId="21"/>
  </si>
  <si>
    <t>ダニ・カビ等</t>
    <rPh sb="5" eb="6">
      <t>ナド</t>
    </rPh>
    <phoneticPr fontId="21"/>
  </si>
  <si>
    <t>レジオネラ対策</t>
    <rPh sb="5" eb="7">
      <t>タイサク</t>
    </rPh>
    <phoneticPr fontId="21"/>
  </si>
  <si>
    <t>換気</t>
    <rPh sb="0" eb="2">
      <t>ｶﾝｷ</t>
    </rPh>
    <phoneticPr fontId="34" type="noConversion"/>
  </si>
  <si>
    <t>換気量</t>
    <rPh sb="0" eb="3">
      <t>カンキリョウ</t>
    </rPh>
    <phoneticPr fontId="21"/>
  </si>
  <si>
    <t>廃棄物処理負荷抑制</t>
    <rPh sb="0" eb="3">
      <t>ﾊｲｷﾌﾞﾂ</t>
    </rPh>
    <rPh sb="3" eb="5">
      <t>ｼｮﾘ</t>
    </rPh>
    <rPh sb="5" eb="7">
      <t>ﾌｶ</t>
    </rPh>
    <rPh sb="7" eb="9">
      <t>ﾖｸｾｲ</t>
    </rPh>
    <phoneticPr fontId="34" type="noConversion"/>
  </si>
  <si>
    <t>周辺環境への配慮</t>
    <rPh sb="0" eb="2">
      <t>ｼｭｳﾍﾝ</t>
    </rPh>
    <rPh sb="2" eb="4">
      <t>ｶﾝｷｮｳ</t>
    </rPh>
    <rPh sb="6" eb="8">
      <t>ﾊｲﾘｮ</t>
    </rPh>
    <phoneticPr fontId="34" type="noConversion"/>
  </si>
  <si>
    <t>騒音・振動・悪臭の防止</t>
    <rPh sb="0" eb="2">
      <t>ｿｳｵﾝ</t>
    </rPh>
    <rPh sb="3" eb="5">
      <t>ｼﾝﾄﾞｳ</t>
    </rPh>
    <rPh sb="6" eb="8">
      <t>ｱｸｼｭｳ</t>
    </rPh>
    <rPh sb="9" eb="11">
      <t>ﾎﾞｳｼ</t>
    </rPh>
    <phoneticPr fontId="34" type="noConversion"/>
  </si>
  <si>
    <t>騒音</t>
    <rPh sb="0" eb="2">
      <t>ｿｳｵﾝ</t>
    </rPh>
    <phoneticPr fontId="34" type="noConversion"/>
  </si>
  <si>
    <t>砂塵の抑制</t>
    <rPh sb="0" eb="2">
      <t>ｻｼﾞﾝ</t>
    </rPh>
    <rPh sb="3" eb="5">
      <t>ﾖｸｾｲ</t>
    </rPh>
    <phoneticPr fontId="34" type="noConversion"/>
  </si>
  <si>
    <t>光害の抑制</t>
    <rPh sb="0" eb="2">
      <t>ﾋｶﾘｶﾞｲ</t>
    </rPh>
    <rPh sb="3" eb="5">
      <t>ﾖｸｾｲ</t>
    </rPh>
    <phoneticPr fontId="34" type="noConversion"/>
  </si>
  <si>
    <t>屋外照明及び屋内照明のうち外に漏れる光への対策</t>
    <rPh sb="0" eb="2">
      <t>ｵｸｶﾞｲ</t>
    </rPh>
    <rPh sb="2" eb="4">
      <t>ｼｮｳﾒｲ</t>
    </rPh>
    <rPh sb="4" eb="5">
      <t>ｵﾖ</t>
    </rPh>
    <rPh sb="6" eb="8">
      <t>ｵｸﾅｲ</t>
    </rPh>
    <rPh sb="8" eb="10">
      <t>ｼｮｳﾒｲ</t>
    </rPh>
    <rPh sb="13" eb="14">
      <t>ｿﾄ</t>
    </rPh>
    <rPh sb="15" eb="16">
      <t>ﾓ</t>
    </rPh>
    <rPh sb="18" eb="19">
      <t>ﾋｶﾘ</t>
    </rPh>
    <rPh sb="21" eb="23">
      <t>ﾀｲｻｸ</t>
    </rPh>
    <phoneticPr fontId="34" type="noConversion"/>
  </si>
  <si>
    <t>一次エネルギー消費量（規模別）　[MJ/年㎡]　　延床面積の区分</t>
    <rPh sb="0" eb="2">
      <t>イチジ</t>
    </rPh>
    <rPh sb="7" eb="10">
      <t>ショウヒリョウ</t>
    </rPh>
    <rPh sb="11" eb="13">
      <t>キボ</t>
    </rPh>
    <rPh sb="13" eb="14">
      <t>ベツ</t>
    </rPh>
    <rPh sb="20" eb="21">
      <t>ネン</t>
    </rPh>
    <rPh sb="25" eb="27">
      <t>ノベユカ</t>
    </rPh>
    <rPh sb="27" eb="29">
      <t>メンセキ</t>
    </rPh>
    <rPh sb="30" eb="32">
      <t>クブン</t>
    </rPh>
    <phoneticPr fontId="4"/>
  </si>
  <si>
    <t>出典：</t>
    <rPh sb="0" eb="2">
      <t>シュッテン</t>
    </rPh>
    <phoneticPr fontId="21"/>
  </si>
  <si>
    <t>モニタリング</t>
    <phoneticPr fontId="21"/>
  </si>
  <si>
    <t xml:space="preserve">※1) 概ね、エネルギー消費全体の半分以上の用途構成の把握が可能なモニタリングが計画されていること。
</t>
    <phoneticPr fontId="21"/>
  </si>
  <si>
    <t>※2) 概ね4種類以上の効率評価を行えること。また、空調や照明、換気など系統数が多い場合は、代表系統での評価から全体の推定を行なうことも可</t>
    <phoneticPr fontId="21"/>
  </si>
  <si>
    <t>定性評価</t>
    <rPh sb="0" eb="2">
      <t>テイセイ</t>
    </rPh>
    <rPh sb="2" eb="4">
      <t>ヒョウカ</t>
    </rPh>
    <phoneticPr fontId="21"/>
  </si>
  <si>
    <t>定量評価</t>
    <rPh sb="0" eb="2">
      <t>テイリョウ</t>
    </rPh>
    <rPh sb="2" eb="4">
      <t>ヒョウカ</t>
    </rPh>
    <phoneticPr fontId="21"/>
  </si>
  <si>
    <t>モニタリング</t>
    <phoneticPr fontId="3"/>
  </si>
  <si>
    <t>運用管理体制</t>
    <rPh sb="0" eb="2">
      <t>ウンヨウ</t>
    </rPh>
    <rPh sb="2" eb="4">
      <t>カンリ</t>
    </rPh>
    <rPh sb="4" eb="6">
      <t>タイセイ</t>
    </rPh>
    <phoneticPr fontId="21"/>
  </si>
  <si>
    <t>運用管理体制</t>
    <rPh sb="0" eb="2">
      <t>うんよう</t>
    </rPh>
    <rPh sb="2" eb="4">
      <t>かんり</t>
    </rPh>
    <rPh sb="4" eb="6">
      <t>たいせい</t>
    </rPh>
    <phoneticPr fontId="34" type="noConversion"/>
  </si>
  <si>
    <t>事・学（大学等）・物・飲・会・病・ホ・工</t>
    <rPh sb="4" eb="6">
      <t>ダイガク</t>
    </rPh>
    <rPh sb="6" eb="7">
      <t>トウ</t>
    </rPh>
    <rPh sb="19" eb="20">
      <t>コウ</t>
    </rPh>
    <phoneticPr fontId="21"/>
  </si>
  <si>
    <t>NO.</t>
    <phoneticPr fontId="21"/>
  </si>
  <si>
    <t>評価する取組み　</t>
    <phoneticPr fontId="21"/>
  </si>
  <si>
    <t>通風利用：空調設備に代わり、冷房負荷低減に有効な自然通風・自然換気システムが計画されている事。（例）自動ダンパや手動の開閉口または開閉窓（運用管理方法を計画したもの）、ナイトパージ、アトリウムと連携した換気システム、換気塔ソーラーチムニーなど</t>
    <phoneticPr fontId="21"/>
  </si>
  <si>
    <t>非住宅部分</t>
    <rPh sb="0" eb="1">
      <t>ひ</t>
    </rPh>
    <rPh sb="1" eb="3">
      <t>じゅうたく</t>
    </rPh>
    <rPh sb="3" eb="5">
      <t>ぶぶん</t>
    </rPh>
    <phoneticPr fontId="34" type="noConversion"/>
  </si>
  <si>
    <t>集合住宅以外の評価</t>
    <rPh sb="0" eb="2">
      <t>しゅうごう</t>
    </rPh>
    <rPh sb="2" eb="4">
      <t>じゅうたく</t>
    </rPh>
    <rPh sb="4" eb="6">
      <t>いがい</t>
    </rPh>
    <rPh sb="7" eb="9">
      <t>ひょうか</t>
    </rPh>
    <phoneticPr fontId="34" type="noConversion"/>
  </si>
  <si>
    <t>集合住宅の評価</t>
    <rPh sb="0" eb="2">
      <t>しゅうごう</t>
    </rPh>
    <rPh sb="2" eb="4">
      <t>じゅうたく</t>
    </rPh>
    <rPh sb="5" eb="7">
      <t>ひょうか</t>
    </rPh>
    <phoneticPr fontId="34" type="noConversion"/>
  </si>
  <si>
    <r>
      <t>エネルギーのCO</t>
    </r>
    <r>
      <rPr>
        <vertAlign val="subscript"/>
        <sz val="10"/>
        <rFont val="ＭＳ Ｐゴシック"/>
        <family val="3"/>
        <charset val="128"/>
      </rPr>
      <t>2</t>
    </r>
    <r>
      <rPr>
        <sz val="10"/>
        <rFont val="ＭＳ Ｐゴシック"/>
        <family val="3"/>
        <charset val="128"/>
      </rPr>
      <t>排出係数</t>
    </r>
    <rPh sb="11" eb="13">
      <t>ケイスウ</t>
    </rPh>
    <phoneticPr fontId="21"/>
  </si>
  <si>
    <t>通信機械室等</t>
    <rPh sb="2" eb="4">
      <t>キカイ</t>
    </rPh>
    <phoneticPr fontId="21"/>
  </si>
  <si>
    <t>ＴＶ中継室、リモートセンター、スタジオ、照明制御室、音響機器室、調整室、モニター室、放送機材室</t>
  </si>
  <si>
    <t>電力制御室、操作室､制御室、管制室、防災センター、動力計器室</t>
  </si>
  <si>
    <t>フィルム保管庫、調光室、中継台、ＶＴＲ室、テープ室、映写室、テープ保管庫</t>
  </si>
  <si>
    <t>危険物施設の計器室</t>
  </si>
  <si>
    <t>美術品展示室等</t>
  </si>
  <si>
    <t>重要文化財、美術品保管庫、展覧室、展示室</t>
  </si>
  <si>
    <t>加工・作業室等</t>
  </si>
  <si>
    <t>輪転機が存する印刷室</t>
  </si>
  <si>
    <t>駐車場</t>
    <rPh sb="0" eb="3">
      <t>チュウシャジョウ</t>
    </rPh>
    <phoneticPr fontId="21"/>
  </si>
  <si>
    <t>レベル３の基準に加え、定期的に掃除を行っている、などの運用面の取組を行っている。</t>
    <phoneticPr fontId="21"/>
  </si>
  <si>
    <t>冷却塔の水処理、飛散対策等が最低限施されており、給湯器も最低限の対策が施されている。</t>
    <phoneticPr fontId="21"/>
  </si>
  <si>
    <t>冷却塔がない。または、冷却塔の水処理、飛散対策等が十分に施されており、給湯器は最低限の対策が施されている。</t>
    <phoneticPr fontId="21"/>
  </si>
  <si>
    <r>
      <t>厚さが4</t>
    </r>
    <r>
      <rPr>
        <sz val="11"/>
        <rFont val="ＭＳ Ｐゴシック"/>
        <family val="3"/>
        <charset val="128"/>
      </rPr>
      <t>0mm</t>
    </r>
    <r>
      <rPr>
        <sz val="9"/>
        <rFont val="ＭＳ Ｐゴシック"/>
        <family val="3"/>
        <charset val="128"/>
      </rPr>
      <t>以上の吹付け硬質ｳﾚﾀﾝﾌｫｰﾑ断熱材その他これに相当する断熱性能を使用し、且つ低放射複層ガラスを使用している</t>
    </r>
    <rPh sb="45" eb="46">
      <t>カ</t>
    </rPh>
    <phoneticPr fontId="21"/>
  </si>
  <si>
    <t>高性能熱反ガラスを使用し、且つ水平庇１．０ｍ以上が計画されている。</t>
    <rPh sb="9" eb="11">
      <t>シヨウ</t>
    </rPh>
    <rPh sb="13" eb="14">
      <t>カ</t>
    </rPh>
    <rPh sb="15" eb="17">
      <t>スイヘイ</t>
    </rPh>
    <rPh sb="17" eb="18">
      <t>ヒサシ</t>
    </rPh>
    <rPh sb="25" eb="27">
      <t>ケイカク</t>
    </rPh>
    <phoneticPr fontId="21"/>
  </si>
  <si>
    <t>レベル４に加え、ダブルスキン等の断熱に有効な手法が採用されている。</t>
    <rPh sb="14" eb="15">
      <t>トウ</t>
    </rPh>
    <rPh sb="16" eb="18">
      <t>ダンネツ</t>
    </rPh>
    <rPh sb="19" eb="21">
      <t>ユウコウ</t>
    </rPh>
    <rPh sb="22" eb="24">
      <t>シュホウ</t>
    </rPh>
    <rPh sb="25" eb="27">
      <t>サイヨウ</t>
    </rPh>
    <phoneticPr fontId="21"/>
  </si>
  <si>
    <t>レベル４に加え、外ルーバー等の日射遮蔽に有効な手法が採用されている。</t>
    <rPh sb="8" eb="9">
      <t>ソト</t>
    </rPh>
    <rPh sb="13" eb="14">
      <t>トウ</t>
    </rPh>
    <rPh sb="15" eb="17">
      <t>ニッシャ</t>
    </rPh>
    <rPh sb="17" eb="19">
      <t>シャヘイ</t>
    </rPh>
    <rPh sb="20" eb="22">
      <t>ユウコウ</t>
    </rPh>
    <rPh sb="23" eb="25">
      <t>シュホウ</t>
    </rPh>
    <rPh sb="26" eb="28">
      <t>サイヨウ</t>
    </rPh>
    <phoneticPr fontId="21"/>
  </si>
  <si>
    <t>＜各レベル間を</t>
    <rPh sb="1" eb="2">
      <t>カク</t>
    </rPh>
    <rPh sb="5" eb="6">
      <t>カン</t>
    </rPh>
    <phoneticPr fontId="21"/>
  </si>
  <si>
    <t>　直線補完し</t>
    <rPh sb="1" eb="3">
      <t>チョクセン</t>
    </rPh>
    <rPh sb="3" eb="5">
      <t>ホカン</t>
    </rPh>
    <phoneticPr fontId="21"/>
  </si>
  <si>
    <t>　小数点を評価＞</t>
    <rPh sb="1" eb="4">
      <t>ショウスウテン</t>
    </rPh>
    <rPh sb="5" eb="7">
      <t>ヒョウカ</t>
    </rPh>
    <phoneticPr fontId="21"/>
  </si>
  <si>
    <t>直接入力</t>
    <rPh sb="0" eb="2">
      <t>チョクセツ</t>
    </rPh>
    <rPh sb="2" eb="4">
      <t>ニュウリョク</t>
    </rPh>
    <phoneticPr fontId="21"/>
  </si>
  <si>
    <t>-</t>
    <phoneticPr fontId="21"/>
  </si>
  <si>
    <t>手術室・病室</t>
    <rPh sb="0" eb="3">
      <t>シュジュツシツ</t>
    </rPh>
    <rPh sb="4" eb="6">
      <t>ビョウシツ</t>
    </rPh>
    <phoneticPr fontId="21"/>
  </si>
  <si>
    <t>ライフサイクルCO2排出率が、一般的な建物（参照値）に対して５０％以下</t>
    <rPh sb="19" eb="21">
      <t>タテモノ</t>
    </rPh>
    <phoneticPr fontId="21"/>
  </si>
  <si>
    <t>排出率</t>
    <rPh sb="0" eb="2">
      <t>ハイシュツ</t>
    </rPh>
    <rPh sb="2" eb="3">
      <t>リツ</t>
    </rPh>
    <phoneticPr fontId="21"/>
  </si>
  <si>
    <t>換算スコア＝</t>
    <rPh sb="0" eb="2">
      <t>カンサン</t>
    </rPh>
    <phoneticPr fontId="21"/>
  </si>
  <si>
    <t>大気汚染防止</t>
    <rPh sb="0" eb="2">
      <t>タイキ</t>
    </rPh>
    <rPh sb="2" eb="4">
      <t>オセン</t>
    </rPh>
    <rPh sb="4" eb="6">
      <t>ボウシ</t>
    </rPh>
    <phoneticPr fontId="21"/>
  </si>
  <si>
    <t>温熱環境悪化の改善</t>
    <rPh sb="0" eb="2">
      <t>オンネツ</t>
    </rPh>
    <rPh sb="2" eb="4">
      <t>カンキョウ</t>
    </rPh>
    <rPh sb="4" eb="6">
      <t>アッカ</t>
    </rPh>
    <rPh sb="7" eb="9">
      <t>カイゼン</t>
    </rPh>
    <phoneticPr fontId="21"/>
  </si>
  <si>
    <t>評価内容</t>
  </si>
  <si>
    <t>冬期18℃以上、夏期28℃以下の範囲を設定している。</t>
    <phoneticPr fontId="21"/>
  </si>
  <si>
    <t>各種発泡ガスのODPとGWP</t>
    <rPh sb="0" eb="2">
      <t>カクシュ</t>
    </rPh>
    <rPh sb="2" eb="4">
      <t>ハッポウ</t>
    </rPh>
    <phoneticPr fontId="28"/>
  </si>
  <si>
    <t>物質</t>
  </si>
  <si>
    <t>大気寿命</t>
  </si>
  <si>
    <t>１００年</t>
  </si>
  <si>
    <t>CFC－11</t>
  </si>
  <si>
    <t>CFC－12</t>
  </si>
  <si>
    <t>CFC－113</t>
  </si>
  <si>
    <t>CFC－114</t>
  </si>
  <si>
    <t>CFC－115</t>
  </si>
  <si>
    <t>HCFC－22</t>
  </si>
  <si>
    <t>HCFC－123</t>
  </si>
  <si>
    <t>機械室からの騒音（透過騒音）</t>
  </si>
  <si>
    <t>2,000㎡未満の建築物</t>
    <rPh sb="6" eb="8">
      <t>ミマン</t>
    </rPh>
    <rPh sb="9" eb="12">
      <t>ケンチクブツ</t>
    </rPh>
    <phoneticPr fontId="21"/>
  </si>
  <si>
    <t>同上（固体伝搬音）</t>
  </si>
  <si>
    <t>防振架台、防振支持など</t>
    <rPh sb="7" eb="9">
      <t>シジ</t>
    </rPh>
    <phoneticPr fontId="21"/>
  </si>
  <si>
    <t>ダクト・配管からの騒音（透過騒音）</t>
  </si>
  <si>
    <t>消音ダクト、消音エルボ、消音ボックス、防音管巻き、位置など</t>
  </si>
  <si>
    <t>2）地域性のある材料の使用
建物の構造材や内装材又は外構に地域性のある材料を一部使用している。（まちなみ・景観で評価している部分はここで重複して評価しない）</t>
    <rPh sb="53" eb="55">
      <t>ケイカン</t>
    </rPh>
    <rPh sb="56" eb="58">
      <t>ヒョウカ</t>
    </rPh>
    <rPh sb="62" eb="64">
      <t>ブブン</t>
    </rPh>
    <rPh sb="68" eb="70">
      <t>ジュウフク</t>
    </rPh>
    <rPh sb="72" eb="74">
      <t>ヒョウカ</t>
    </rPh>
    <phoneticPr fontId="21"/>
  </si>
  <si>
    <r>
      <t>kg-CO</t>
    </r>
    <r>
      <rPr>
        <vertAlign val="subscript"/>
        <sz val="10"/>
        <rFont val="ＭＳ Ｐゴシック"/>
        <family val="3"/>
        <charset val="128"/>
      </rPr>
      <t>2</t>
    </r>
    <r>
      <rPr>
        <sz val="10"/>
        <rFont val="ＭＳ Ｐゴシック"/>
        <family val="3"/>
        <charset val="128"/>
      </rPr>
      <t>/kWh</t>
    </r>
    <phoneticPr fontId="21"/>
  </si>
  <si>
    <t>余剰売電分</t>
    <phoneticPr fontId="21"/>
  </si>
  <si>
    <t>事・学・飲・工</t>
    <rPh sb="0" eb="1">
      <t>コト</t>
    </rPh>
    <rPh sb="2" eb="3">
      <t>ガク</t>
    </rPh>
    <rPh sb="4" eb="5">
      <t>イン</t>
    </rPh>
    <rPh sb="6" eb="7">
      <t>コウ</t>
    </rPh>
    <phoneticPr fontId="21"/>
  </si>
  <si>
    <t>病（診）</t>
    <rPh sb="0" eb="1">
      <t>ビョウ</t>
    </rPh>
    <rPh sb="2" eb="3">
      <t>ミ</t>
    </rPh>
    <phoneticPr fontId="21"/>
  </si>
  <si>
    <t>[照度] ＜300 lx</t>
    <phoneticPr fontId="21"/>
  </si>
  <si>
    <t>[照度] ＜150lx</t>
    <phoneticPr fontId="21"/>
  </si>
  <si>
    <t>[照度] ＜100 lx</t>
    <phoneticPr fontId="21"/>
  </si>
  <si>
    <t>[照度] ＜150 lx</t>
    <phoneticPr fontId="21"/>
  </si>
  <si>
    <t>300lx≦　[照度] ＜500lx、
または　750lx≦　[照度]</t>
    <phoneticPr fontId="21"/>
  </si>
  <si>
    <t>150 lx≦　[照度]</t>
    <phoneticPr fontId="21"/>
  </si>
  <si>
    <t>100 lx≦　[照度]</t>
    <phoneticPr fontId="21"/>
  </si>
  <si>
    <t>500lx≦　[照度] ＜750</t>
    <phoneticPr fontId="21"/>
  </si>
  <si>
    <t>病</t>
    <phoneticPr fontId="21"/>
  </si>
  <si>
    <t>LR1/1. 建物外皮の熱負荷抑制</t>
    <rPh sb="7" eb="9">
      <t>タテモノ</t>
    </rPh>
    <rPh sb="9" eb="11">
      <t>ガイヒ</t>
    </rPh>
    <rPh sb="12" eb="13">
      <t>ネツ</t>
    </rPh>
    <rPh sb="13" eb="15">
      <t>フカ</t>
    </rPh>
    <rPh sb="15" eb="17">
      <t>ヨクセイ</t>
    </rPh>
    <phoneticPr fontId="21"/>
  </si>
  <si>
    <t>[BPI]での評価</t>
    <rPh sb="7" eb="9">
      <t>ヒョウカ</t>
    </rPh>
    <phoneticPr fontId="21"/>
  </si>
  <si>
    <t>モデル建物法[BPIm]での評価</t>
    <rPh sb="3" eb="5">
      <t>タテモノ</t>
    </rPh>
    <rPh sb="5" eb="6">
      <t>ホウ</t>
    </rPh>
    <rPh sb="14" eb="16">
      <t>ヒョウカ</t>
    </rPh>
    <phoneticPr fontId="21"/>
  </si>
  <si>
    <t>調整後排出係数</t>
    <rPh sb="0" eb="3">
      <t>チョウセイゴ</t>
    </rPh>
    <rPh sb="3" eb="5">
      <t>ハイシュツ</t>
    </rPh>
    <rPh sb="5" eb="7">
      <t>ケイスウ</t>
    </rPh>
    <phoneticPr fontId="21"/>
  </si>
  <si>
    <t>イーレックス株式会社</t>
  </si>
  <si>
    <t>実排出係数との差</t>
    <rPh sb="0" eb="1">
      <t>ジツ</t>
    </rPh>
    <rPh sb="1" eb="3">
      <t>ハイシュツ</t>
    </rPh>
    <rPh sb="3" eb="5">
      <t>ケイスウ</t>
    </rPh>
    <rPh sb="7" eb="8">
      <t>サ</t>
    </rPh>
    <phoneticPr fontId="21"/>
  </si>
  <si>
    <t>エネサーブ株式会社</t>
  </si>
  <si>
    <t>サミットエナジー株式会社</t>
  </si>
  <si>
    <t>ダイヤモンドパワー株式会社</t>
  </si>
  <si>
    <t>パナソニック株式会社</t>
  </si>
  <si>
    <t>２５～３０</t>
    <phoneticPr fontId="21"/>
  </si>
  <si>
    <t>３０～３５</t>
    <phoneticPr fontId="21"/>
  </si>
  <si>
    <t>３５～４０</t>
    <phoneticPr fontId="21"/>
  </si>
  <si>
    <t>４０～４５</t>
    <phoneticPr fontId="21"/>
  </si>
  <si>
    <t>４５～５０</t>
    <phoneticPr fontId="21"/>
  </si>
  <si>
    <t>５０～５５</t>
    <phoneticPr fontId="21"/>
  </si>
  <si>
    <t>うるささ</t>
    <phoneticPr fontId="21"/>
  </si>
  <si>
    <t>やき声が聞こえる</t>
    <phoneticPr fontId="21"/>
  </si>
  <si>
    <t>電話は支障なし</t>
    <phoneticPr fontId="21"/>
  </si>
  <si>
    <t>――――――</t>
    <phoneticPr fontId="21"/>
  </si>
  <si>
    <t>電話は可能―</t>
    <phoneticPr fontId="21"/>
  </si>
  <si>
    <t>電話やや困難</t>
    <phoneticPr fontId="21"/>
  </si>
  <si>
    <t>スタジオ</t>
    <phoneticPr fontId="21"/>
  </si>
  <si>
    <t>アナウンススタジオ</t>
    <phoneticPr fontId="21"/>
  </si>
  <si>
    <t>ラジオスタジオ</t>
    <phoneticPr fontId="21"/>
  </si>
  <si>
    <t>テレビスタジオ</t>
    <phoneticPr fontId="21"/>
  </si>
  <si>
    <t>ホテルロビー</t>
    <phoneticPr fontId="21"/>
  </si>
  <si>
    <t>ロビー</t>
    <phoneticPr fontId="21"/>
  </si>
  <si>
    <t>宝石店・美術品店</t>
    <phoneticPr fontId="21"/>
  </si>
  <si>
    <t>銀行・レストラン</t>
    <phoneticPr fontId="21"/>
  </si>
  <si>
    <t>建物全体・共用部分</t>
    <phoneticPr fontId="21"/>
  </si>
  <si>
    <t>事・学・物・飲・会・病・ホ・工</t>
    <phoneticPr fontId="21"/>
  </si>
  <si>
    <t>事・学・物・飲・会・病・ホ・工（2000㎡未満）</t>
    <phoneticPr fontId="21"/>
  </si>
  <si>
    <t>病・ホ</t>
    <phoneticPr fontId="21"/>
  </si>
  <si>
    <t>病・ホ（2000㎡未満）</t>
    <phoneticPr fontId="21"/>
  </si>
  <si>
    <t>若干の対策を行っている（評価する取組みにおいて1項目以上を採用）</t>
    <phoneticPr fontId="21"/>
  </si>
  <si>
    <t>太陽光発電による削減分</t>
    <rPh sb="0" eb="2">
      <t>タイヨウ</t>
    </rPh>
    <rPh sb="2" eb="3">
      <t>ヒカリ</t>
    </rPh>
    <rPh sb="3" eb="5">
      <t>ハツデン</t>
    </rPh>
    <rPh sb="8" eb="10">
      <t>サクゲン</t>
    </rPh>
    <rPh sb="10" eb="11">
      <t>ブン</t>
    </rPh>
    <phoneticPr fontId="21"/>
  </si>
  <si>
    <t>(内訳）自家消費分</t>
    <rPh sb="1" eb="3">
      <t>ウチワケ</t>
    </rPh>
    <rPh sb="4" eb="6">
      <t>ジカ</t>
    </rPh>
    <rPh sb="6" eb="8">
      <t>ショウヒ</t>
    </rPh>
    <rPh sb="8" eb="9">
      <t>ブン</t>
    </rPh>
    <phoneticPr fontId="21"/>
  </si>
  <si>
    <t>余剰売電分</t>
    <rPh sb="0" eb="2">
      <t>ヨジョウ</t>
    </rPh>
    <rPh sb="2" eb="4">
      <t>バイデン</t>
    </rPh>
    <rPh sb="4" eb="5">
      <t>ブン</t>
    </rPh>
    <phoneticPr fontId="21"/>
  </si>
  <si>
    <t>その他再生可能エネルギー</t>
    <rPh sb="2" eb="3">
      <t>ホカ</t>
    </rPh>
    <rPh sb="3" eb="5">
      <t>サイセイ</t>
    </rPh>
    <rPh sb="5" eb="7">
      <t>カノウ</t>
    </rPh>
    <phoneticPr fontId="21"/>
  </si>
  <si>
    <t>エネルギー
消費量の算定方法</t>
    <rPh sb="6" eb="9">
      <t>ショウヒリョウ</t>
    </rPh>
    <rPh sb="10" eb="12">
      <t>サンテイ</t>
    </rPh>
    <rPh sb="12" eb="14">
      <t>ホウホウ</t>
    </rPh>
    <phoneticPr fontId="21"/>
  </si>
  <si>
    <r>
      <t>*1</t>
    </r>
    <r>
      <rPr>
        <sz val="8"/>
        <rFont val="ＭＳ Ｐゴシック"/>
        <family val="3"/>
        <charset val="128"/>
      </rPr>
      <t xml:space="preserve">）規制基準は現行の値とし、現行基準以前に設置された施設についても現行の基準で評価する（昼間、夜間とも）。
</t>
    </r>
    <r>
      <rPr>
        <sz val="8"/>
        <rFont val="Arial"/>
        <family val="2"/>
      </rPr>
      <t>*2)</t>
    </r>
    <r>
      <rPr>
        <sz val="8"/>
        <rFont val="ＭＳ Ｐゴシック"/>
        <family val="3"/>
        <charset val="128"/>
      </rPr>
      <t>レベル５については、（現行の基準値－</t>
    </r>
    <r>
      <rPr>
        <sz val="8"/>
        <rFont val="Arial"/>
        <family val="2"/>
      </rPr>
      <t>5dB</t>
    </r>
    <r>
      <rPr>
        <sz val="8"/>
        <rFont val="ＭＳ Ｐゴシック"/>
        <family val="3"/>
        <charset val="128"/>
      </rPr>
      <t>）以下に抑えられている場合とする（昼間、夜間とも）。</t>
    </r>
    <phoneticPr fontId="21"/>
  </si>
  <si>
    <t>昼間（am8時～pm7時）、夜間（pm7時～翌朝8時）のいずれの時間も下記の基準を満たしていること</t>
    <phoneticPr fontId="21"/>
  </si>
  <si>
    <r>
      <t xml:space="preserve">3.1.3 </t>
    </r>
    <r>
      <rPr>
        <b/>
        <sz val="10"/>
        <rFont val="ＭＳ Ｐゴシック"/>
        <family val="3"/>
        <charset val="128"/>
      </rPr>
      <t>悪臭</t>
    </r>
    <phoneticPr fontId="21"/>
  </si>
  <si>
    <t>悪臭防止法に定める現行の特定悪臭物質の濃度の許容限度及び臭気指数の許容限度を下回るレベルである</t>
    <phoneticPr fontId="21"/>
  </si>
  <si>
    <t>悪臭防止法に定める特定悪臭物質の濃度の許容限度及び臭気指数の許容限度を満たしている</t>
    <phoneticPr fontId="21"/>
  </si>
  <si>
    <t>風害・砂塵、日照阻害の抑制</t>
    <phoneticPr fontId="21"/>
  </si>
  <si>
    <r>
      <t xml:space="preserve">3.2.1 </t>
    </r>
    <r>
      <rPr>
        <b/>
        <sz val="10"/>
        <rFont val="ＭＳ Ｐゴシック"/>
        <family val="3"/>
        <charset val="128"/>
      </rPr>
      <t>風害の抑制</t>
    </r>
    <phoneticPr fontId="21"/>
  </si>
  <si>
    <t>校庭からの砂塵に対する取組みが十分ではない。（評価ポイント1）</t>
    <phoneticPr fontId="21"/>
  </si>
  <si>
    <t>校庭からの砂塵に対して、標準的な取組みが行われている。（評価ポイント2）</t>
    <phoneticPr fontId="21"/>
  </si>
  <si>
    <t>評価内容</t>
    <phoneticPr fontId="21"/>
  </si>
  <si>
    <t>I 校庭からの砂塵の飛散を抑制する取組み</t>
    <phoneticPr fontId="21"/>
  </si>
  <si>
    <t>1）校庭の周囲に防砂林や防砂ネットを整備し、砂塵の飛散を抑制している。</t>
    <phoneticPr fontId="21"/>
  </si>
  <si>
    <t>2)校庭の周囲を建物で囲い、砂塵の発生や飛散を抑制している。</t>
    <phoneticPr fontId="21"/>
  </si>
  <si>
    <t>II 校庭を砂塵が発生しない仕上げとする。</t>
    <phoneticPr fontId="21"/>
  </si>
  <si>
    <t>1）校庭にスプリンクラーを設置し、砂塵の発生を抑制している。</t>
    <phoneticPr fontId="21"/>
  </si>
  <si>
    <t>2）校庭を砂塵が発生しにくい舗装としている。</t>
    <phoneticPr fontId="21"/>
  </si>
  <si>
    <t>3.1.1</t>
    <phoneticPr fontId="21"/>
  </si>
  <si>
    <t>3.1.2</t>
    <phoneticPr fontId="21"/>
  </si>
  <si>
    <t>3.1.3</t>
    <phoneticPr fontId="21"/>
  </si>
  <si>
    <t>3.2.1</t>
    <phoneticPr fontId="21"/>
  </si>
  <si>
    <t>3.2.2</t>
    <phoneticPr fontId="21"/>
  </si>
  <si>
    <t>3.2.3</t>
    <phoneticPr fontId="21"/>
  </si>
  <si>
    <t>3.2.3</t>
    <phoneticPr fontId="21"/>
  </si>
  <si>
    <t>はい</t>
    <phoneticPr fontId="21"/>
  </si>
  <si>
    <t>いいえ</t>
    <phoneticPr fontId="21"/>
  </si>
  <si>
    <t>　レベル　1</t>
    <phoneticPr fontId="21"/>
  </si>
  <si>
    <t>■レベル　1</t>
    <phoneticPr fontId="21"/>
  </si>
  <si>
    <t>レベル</t>
    <phoneticPr fontId="21"/>
  </si>
  <si>
    <t>1.2.1</t>
    <phoneticPr fontId="21"/>
  </si>
  <si>
    <t>1.2.2</t>
    <phoneticPr fontId="21"/>
  </si>
  <si>
    <t>-</t>
    <phoneticPr fontId="21"/>
  </si>
  <si>
    <t>-</t>
    <phoneticPr fontId="21"/>
  </si>
  <si>
    <r>
      <t>主要構造躯体のコンクリート基準強度Fc及び主筋鉄筋の基準強度F&gt;単位:N/mm</t>
    </r>
    <r>
      <rPr>
        <vertAlign val="superscript"/>
        <sz val="9"/>
        <rFont val="ＭＳ Ｐゴシック"/>
        <family val="3"/>
        <charset val="128"/>
      </rPr>
      <t>2</t>
    </r>
    <rPh sb="13" eb="15">
      <t>キジュン</t>
    </rPh>
    <rPh sb="26" eb="28">
      <t>キジュン</t>
    </rPh>
    <rPh sb="32" eb="34">
      <t>タンイ</t>
    </rPh>
    <phoneticPr fontId="21"/>
  </si>
  <si>
    <t>-</t>
    <phoneticPr fontId="21"/>
  </si>
  <si>
    <t>-</t>
    <phoneticPr fontId="21"/>
  </si>
  <si>
    <t>-</t>
    <phoneticPr fontId="21"/>
  </si>
  <si>
    <r>
      <t>LR3</t>
    </r>
    <r>
      <rPr>
        <b/>
        <sz val="14"/>
        <rFont val="ＭＳ Ｐゴシック"/>
        <family val="3"/>
        <charset val="128"/>
      </rPr>
      <t>　敷地外環境</t>
    </r>
    <rPh sb="4" eb="6">
      <t>シキチ</t>
    </rPh>
    <rPh sb="6" eb="7">
      <t>ガイ</t>
    </rPh>
    <phoneticPr fontId="21"/>
  </si>
  <si>
    <r>
      <t xml:space="preserve">2.2.2 </t>
    </r>
    <r>
      <rPr>
        <b/>
        <sz val="10"/>
        <rFont val="ＭＳ Ｐゴシック"/>
        <family val="3"/>
        <charset val="128"/>
      </rPr>
      <t>外壁仕上げ材の補修必要間隔</t>
    </r>
    <phoneticPr fontId="21"/>
  </si>
  <si>
    <r>
      <t xml:space="preserve">2.2.3 </t>
    </r>
    <r>
      <rPr>
        <b/>
        <sz val="10"/>
        <rFont val="ＭＳ Ｐゴシック"/>
        <family val="3"/>
        <charset val="128"/>
      </rPr>
      <t>主要内装仕上げ材の更新必要間隔</t>
    </r>
    <phoneticPr fontId="21"/>
  </si>
  <si>
    <t>住</t>
    <phoneticPr fontId="21"/>
  </si>
  <si>
    <t>5年未満</t>
    <phoneticPr fontId="21"/>
  </si>
  <si>
    <t>16年以上～25年未満</t>
    <phoneticPr fontId="21"/>
  </si>
  <si>
    <t>20年以上</t>
    <phoneticPr fontId="21"/>
  </si>
  <si>
    <t>採用項目</t>
    <rPh sb="0" eb="2">
      <t>サイヨウ</t>
    </rPh>
    <rPh sb="2" eb="4">
      <t>コウモク</t>
    </rPh>
    <phoneticPr fontId="21"/>
  </si>
  <si>
    <t>（屋外）吸込み口・排気口からの騒音</t>
    <phoneticPr fontId="21"/>
  </si>
  <si>
    <t>建物全体・共用部分</t>
    <phoneticPr fontId="21"/>
  </si>
  <si>
    <t>病・ホ・住</t>
    <phoneticPr fontId="21"/>
  </si>
  <si>
    <t>騒音が気になる。</t>
    <phoneticPr fontId="21"/>
  </si>
  <si>
    <t>騒音がほとんど気にならない。</t>
    <phoneticPr fontId="21"/>
  </si>
  <si>
    <t>T-1未満</t>
    <phoneticPr fontId="21"/>
  </si>
  <si>
    <t>T-1</t>
    <phoneticPr fontId="21"/>
  </si>
  <si>
    <t>T-2以上</t>
    <phoneticPr fontId="21"/>
  </si>
  <si>
    <r>
      <t xml:space="preserve">1.2.2 </t>
    </r>
    <r>
      <rPr>
        <b/>
        <sz val="10"/>
        <rFont val="ＭＳ Ｐゴシック"/>
        <family val="3"/>
        <charset val="128"/>
      </rPr>
      <t>界壁遮音性能</t>
    </r>
    <phoneticPr fontId="21"/>
  </si>
  <si>
    <t>住</t>
    <phoneticPr fontId="21"/>
  </si>
  <si>
    <t>人の話し声が気になる。</t>
    <phoneticPr fontId="21"/>
  </si>
  <si>
    <t>実排出係数の場合</t>
    <rPh sb="0" eb="1">
      <t>ジツ</t>
    </rPh>
    <rPh sb="1" eb="3">
      <t>ハイシュツ</t>
    </rPh>
    <rPh sb="3" eb="5">
      <t>ケイスウ</t>
    </rPh>
    <rPh sb="6" eb="8">
      <t>バアイ</t>
    </rPh>
    <phoneticPr fontId="21"/>
  </si>
  <si>
    <t>調整後排出係数を用いた場合の実排出量との差</t>
    <rPh sb="0" eb="3">
      <t>チョウセイゴ</t>
    </rPh>
    <rPh sb="3" eb="5">
      <t>ハイシュツ</t>
    </rPh>
    <rPh sb="5" eb="7">
      <t>ケイスウ</t>
    </rPh>
    <rPh sb="8" eb="9">
      <t>モチ</t>
    </rPh>
    <rPh sb="11" eb="13">
      <t>バアイ</t>
    </rPh>
    <rPh sb="14" eb="15">
      <t>ジツ</t>
    </rPh>
    <rPh sb="15" eb="17">
      <t>ハイシュツ</t>
    </rPh>
    <rPh sb="17" eb="18">
      <t>リョウ</t>
    </rPh>
    <rPh sb="20" eb="21">
      <t>サ</t>
    </rPh>
    <phoneticPr fontId="21"/>
  </si>
  <si>
    <t>実排出係数</t>
    <rPh sb="0" eb="1">
      <t>ジツ</t>
    </rPh>
    <rPh sb="1" eb="3">
      <t>ハイシュツ</t>
    </rPh>
    <rPh sb="3" eb="5">
      <t>ケイスウ</t>
    </rPh>
    <phoneticPr fontId="21"/>
  </si>
  <si>
    <t>延床面積あたり　[2]</t>
    <rPh sb="0" eb="2">
      <t>ノベユカ</t>
    </rPh>
    <rPh sb="2" eb="4">
      <t>メンセキ</t>
    </rPh>
    <phoneticPr fontId="21"/>
  </si>
  <si>
    <t>重み係数</t>
    <rPh sb="0" eb="1">
      <t>オモ</t>
    </rPh>
    <rPh sb="2" eb="4">
      <t>ケイスウ</t>
    </rPh>
    <phoneticPr fontId="21"/>
  </si>
  <si>
    <t>重み係数（既定）</t>
    <rPh sb="0" eb="1">
      <t>オモ</t>
    </rPh>
    <rPh sb="2" eb="4">
      <t>ケイスウ</t>
    </rPh>
    <rPh sb="5" eb="7">
      <t>キテイ</t>
    </rPh>
    <phoneticPr fontId="21"/>
  </si>
  <si>
    <t>0.　既存</t>
    <rPh sb="3" eb="5">
      <t>キソン</t>
    </rPh>
    <phoneticPr fontId="21"/>
  </si>
  <si>
    <t>１．基本設計</t>
    <rPh sb="2" eb="4">
      <t>キホン</t>
    </rPh>
    <rPh sb="4" eb="6">
      <t>セッケイ</t>
    </rPh>
    <phoneticPr fontId="21"/>
  </si>
  <si>
    <t>２．実施・竣工段階</t>
    <rPh sb="2" eb="4">
      <t>ジッシ</t>
    </rPh>
    <rPh sb="5" eb="7">
      <t>シュンコウ</t>
    </rPh>
    <rPh sb="7" eb="9">
      <t>ダンカイ</t>
    </rPh>
    <phoneticPr fontId="21"/>
  </si>
  <si>
    <t>補正後</t>
    <rPh sb="0" eb="2">
      <t>ホセイ</t>
    </rPh>
    <rPh sb="2" eb="3">
      <t>ゴ</t>
    </rPh>
    <phoneticPr fontId="21"/>
  </si>
  <si>
    <t>補正前</t>
    <rPh sb="0" eb="2">
      <t>ホセイ</t>
    </rPh>
    <rPh sb="2" eb="3">
      <t>マエ</t>
    </rPh>
    <phoneticPr fontId="21"/>
  </si>
  <si>
    <t>補正前計</t>
    <rPh sb="0" eb="2">
      <t>ホセイ</t>
    </rPh>
    <rPh sb="2" eb="3">
      <t>マエ</t>
    </rPh>
    <rPh sb="3" eb="4">
      <t>ケイ</t>
    </rPh>
    <phoneticPr fontId="21"/>
  </si>
  <si>
    <t>対象外の選択</t>
    <rPh sb="0" eb="3">
      <t>タイショウガイ</t>
    </rPh>
    <rPh sb="4" eb="6">
      <t>センタク</t>
    </rPh>
    <phoneticPr fontId="21"/>
  </si>
  <si>
    <t>既定重み</t>
    <rPh sb="0" eb="2">
      <t>キテイ</t>
    </rPh>
    <rPh sb="2" eb="3">
      <t>オモ</t>
    </rPh>
    <phoneticPr fontId="21"/>
  </si>
  <si>
    <t>中庭やテラス、バルコニー、サンルーム、アルコーブ、屋根付広場、風光ボイド、アトリウム、等のように風や光が通り抜ける開放的な空間をうまく内部空間と連続させている。
または、</t>
    <phoneticPr fontId="21"/>
  </si>
  <si>
    <t>玄関廻り、バルコニー廻り等のプライバシーと公共性の接点の部分に、風光ボイド、花台、パーゴラ、奥行きのあるバルコニー等のしつらえによって、生活感が滲み出るような豊かな中間領域を形成している。</t>
    <phoneticPr fontId="21"/>
  </si>
  <si>
    <t>6）防犯性の配慮</t>
    <phoneticPr fontId="21"/>
  </si>
  <si>
    <t>建物外部の広場などのスペースにおいて、視線を遮らない様な樹木の配置、夜間照明の設置、防犯カメラの設置、防犯に役立つ窓の配置などを行い、防犯性に配慮している。
または、</t>
    <phoneticPr fontId="21"/>
  </si>
  <si>
    <t>広場や歩道状空地がない場合、建物周囲において、視線の行き届かない袋小路や通路などの死角空間を作らないようにし、また防犯に役立つ窓の配置をするなどして、防犯性に配慮している。</t>
    <phoneticPr fontId="21"/>
  </si>
  <si>
    <t>または、
敷地周囲に境界壁等を設ける場合、視線を遮るような連続した塀等を作らず，見通しの良いフェンスや背の低い生垣等を設けて防犯性・防災性に配慮している。</t>
    <phoneticPr fontId="21"/>
  </si>
  <si>
    <t>燃焼機器を使用しておらず、対象建築物の仮想閉空間から外部空間に対して大気汚染物質を全く発生しない。</t>
    <phoneticPr fontId="21"/>
  </si>
  <si>
    <t>評価する取組み表の評価ポイントの合計値が0ポイント</t>
    <phoneticPr fontId="21"/>
  </si>
  <si>
    <t>評価する取組み表の評価ポイントの合計値が1～5ポイント</t>
    <phoneticPr fontId="21"/>
  </si>
  <si>
    <t>緑被率、水被率、中・高木の水平投影面積率の合計が、
　　・10％以上20％未満の場合  (1ポイント)
　　・20％以上30％未満の場合 (2ポイント)
　　・30％以上の場合 (3ポイント)</t>
    <phoneticPr fontId="21"/>
  </si>
  <si>
    <t>待合室</t>
    <rPh sb="0" eb="3">
      <t>マチアイシツ</t>
    </rPh>
    <phoneticPr fontId="21"/>
  </si>
  <si>
    <t>ホテル・住宅</t>
    <rPh sb="4" eb="6">
      <t>ジュウタク</t>
    </rPh>
    <phoneticPr fontId="21"/>
  </si>
  <si>
    <t>書斎</t>
    <rPh sb="0" eb="2">
      <t>ショサイ</t>
    </rPh>
    <phoneticPr fontId="21"/>
  </si>
  <si>
    <t>寝室・客室</t>
    <rPh sb="0" eb="2">
      <t>シンシツ</t>
    </rPh>
    <rPh sb="3" eb="5">
      <t>キャクシツ</t>
    </rPh>
    <phoneticPr fontId="21"/>
  </si>
  <si>
    <t>気温上昇の抑制に努めるため
　・標準的な工夫をしている場合(1ポイント)
　・中間的な工夫をしている場合(2ポイント)
　・全面的な工夫をしている場合(3ポイント)</t>
    <phoneticPr fontId="21"/>
  </si>
  <si>
    <t>①風向きに対する配置や形状の工夫を机上で検討(机上予測)している場合(1ポイント)</t>
    <phoneticPr fontId="21"/>
  </si>
  <si>
    <r>
      <t>2.3.1</t>
    </r>
    <r>
      <rPr>
        <b/>
        <sz val="10"/>
        <rFont val="ＭＳ Ｐゴシック"/>
        <family val="3"/>
        <charset val="128"/>
      </rPr>
      <t>　雨水排水負荷低減</t>
    </r>
    <phoneticPr fontId="21"/>
  </si>
  <si>
    <t>事・学・物・飲・会・病・ホ・工・住　　　&lt;行政指導がある場合&gt;</t>
    <phoneticPr fontId="21"/>
  </si>
  <si>
    <t>行政指導がない場合</t>
    <phoneticPr fontId="21"/>
  </si>
  <si>
    <t>評価対象外</t>
    <phoneticPr fontId="21"/>
  </si>
  <si>
    <r>
      <t xml:space="preserve">2.3.2 </t>
    </r>
    <r>
      <rPr>
        <b/>
        <sz val="10"/>
        <rFont val="ＭＳ Ｐゴシック"/>
        <family val="3"/>
        <charset val="128"/>
      </rPr>
      <t>汚水処理負荷抑制</t>
    </r>
    <phoneticPr fontId="21"/>
  </si>
  <si>
    <t>排出基準を満たした上でそれ以上の特別な工夫を実施し、汚水処理負荷を高く抑制している。</t>
    <phoneticPr fontId="21"/>
  </si>
  <si>
    <r>
      <t xml:space="preserve">2.3.3 </t>
    </r>
    <r>
      <rPr>
        <b/>
        <sz val="10"/>
        <rFont val="ＭＳ Ｐゴシック"/>
        <family val="3"/>
        <charset val="128"/>
      </rPr>
      <t>交通負荷抑制</t>
    </r>
    <phoneticPr fontId="21"/>
  </si>
  <si>
    <t>評価する取組み表の評価ポイントの合計値が0ポイント</t>
    <phoneticPr fontId="21"/>
  </si>
  <si>
    <r>
      <t>ライフサイクルCO</t>
    </r>
    <r>
      <rPr>
        <b/>
        <vertAlign val="subscript"/>
        <sz val="9"/>
        <rFont val="ＭＳ Ｐゴシック"/>
        <family val="3"/>
        <charset val="128"/>
      </rPr>
      <t>2</t>
    </r>
    <r>
      <rPr>
        <b/>
        <sz val="9"/>
        <rFont val="ＭＳ Ｐゴシック"/>
        <family val="3"/>
        <charset val="128"/>
      </rPr>
      <t>排出率に基づくスコア換算</t>
    </r>
    <rPh sb="10" eb="12">
      <t>ハイシュツ</t>
    </rPh>
    <rPh sb="12" eb="13">
      <t>リツ</t>
    </rPh>
    <rPh sb="14" eb="15">
      <t>モト</t>
    </rPh>
    <rPh sb="20" eb="22">
      <t>カンサン</t>
    </rPh>
    <phoneticPr fontId="21"/>
  </si>
  <si>
    <t>レベル</t>
    <phoneticPr fontId="21"/>
  </si>
  <si>
    <t>N.A.</t>
    <phoneticPr fontId="21"/>
  </si>
  <si>
    <t>-</t>
    <phoneticPr fontId="21"/>
  </si>
  <si>
    <t>35＜ [騒音レベル] ≦40</t>
  </si>
  <si>
    <t>　レベル　4</t>
  </si>
  <si>
    <t>■レベル　4</t>
  </si>
  <si>
    <t>[騒音レベル] ≦40</t>
  </si>
  <si>
    <t>[騒音レベル] ≦35</t>
  </si>
  <si>
    <t>[騒音レベル] ≦45</t>
  </si>
  <si>
    <t>[騒音レベル] ≦30</t>
  </si>
  <si>
    <t>[騒音レベル] ≦35</t>
    <phoneticPr fontId="21"/>
  </si>
  <si>
    <t>　レベル　5</t>
  </si>
  <si>
    <t>■レベル　5</t>
  </si>
  <si>
    <t>騒音：　室内許容騒音レベル＊</t>
    <rPh sb="4" eb="6">
      <t>シツナイ</t>
    </rPh>
    <rPh sb="6" eb="8">
      <t>キョヨウ</t>
    </rPh>
    <rPh sb="8" eb="10">
      <t>ソウオン</t>
    </rPh>
    <phoneticPr fontId="21"/>
  </si>
  <si>
    <t>無音感―――</t>
    <rPh sb="0" eb="2">
      <t>ムオン</t>
    </rPh>
    <rPh sb="2" eb="3">
      <t>カン</t>
    </rPh>
    <phoneticPr fontId="21"/>
  </si>
  <si>
    <t>―――――――――非常に静か―――――――――</t>
    <rPh sb="9" eb="11">
      <t>ヒジョウ</t>
    </rPh>
    <rPh sb="12" eb="13">
      <t>シズ</t>
    </rPh>
    <phoneticPr fontId="21"/>
  </si>
  <si>
    <t>―特に気にならない――――――</t>
    <rPh sb="1" eb="2">
      <t>トク</t>
    </rPh>
    <rPh sb="3" eb="4">
      <t>キ</t>
    </rPh>
    <phoneticPr fontId="21"/>
  </si>
  <si>
    <t>騒音を感じる―</t>
    <rPh sb="0" eb="2">
      <t>ソウオン</t>
    </rPh>
    <rPh sb="3" eb="4">
      <t>カン</t>
    </rPh>
    <phoneticPr fontId="21"/>
  </si>
  <si>
    <t xml:space="preserve">              ――――――騒音を無視できない</t>
    <rPh sb="20" eb="22">
      <t>ソウオン</t>
    </rPh>
    <rPh sb="23" eb="25">
      <t>ムシ</t>
    </rPh>
    <phoneticPr fontId="21"/>
  </si>
  <si>
    <t>会話・電話への影響</t>
    <rPh sb="0" eb="2">
      <t>カイワ</t>
    </rPh>
    <rPh sb="3" eb="5">
      <t>デンワ</t>
    </rPh>
    <rPh sb="7" eb="9">
      <t>エイキョウ</t>
    </rPh>
    <phoneticPr fontId="21"/>
  </si>
  <si>
    <t>５ｍ離れてささ</t>
    <rPh sb="2" eb="3">
      <t>ハナ</t>
    </rPh>
    <phoneticPr fontId="21"/>
  </si>
  <si>
    <t>――――１０ｍ離れて会議可能――――</t>
    <rPh sb="7" eb="8">
      <t>ハナ</t>
    </rPh>
    <rPh sb="10" eb="12">
      <t>カイギ</t>
    </rPh>
    <rPh sb="12" eb="14">
      <t>カノウ</t>
    </rPh>
    <phoneticPr fontId="21"/>
  </si>
  <si>
    <t>――普通会話（３ｍ以内）――――</t>
    <rPh sb="2" eb="4">
      <t>フツウ</t>
    </rPh>
    <rPh sb="4" eb="6">
      <t>カイワ</t>
    </rPh>
    <rPh sb="9" eb="11">
      <t>イナイ</t>
    </rPh>
    <phoneticPr fontId="21"/>
  </si>
  <si>
    <t>大声会話（３ｍ）</t>
    <rPh sb="0" eb="2">
      <t>オオゴエ</t>
    </rPh>
    <rPh sb="2" eb="4">
      <t>カイワ</t>
    </rPh>
    <phoneticPr fontId="21"/>
  </si>
  <si>
    <t>　・風下地域への風の通り道と特に関係しない場合(1ポイント)
　・風下地域への風の通り道を遮らないよう配慮している場合(2ポイント)</t>
    <phoneticPr fontId="21"/>
  </si>
  <si>
    <t>卓越風向に対する建築物の見付面積比が
　・60％以上80％未満の場合(1ポイント)
　・40％以上60％未満の場合(2ポイント)
　・40％未満の場合(3ポイント)</t>
    <phoneticPr fontId="21"/>
  </si>
  <si>
    <t>機械・配管支持方法</t>
    <rPh sb="0" eb="2">
      <t>キカイ</t>
    </rPh>
    <rPh sb="3" eb="5">
      <t>ハイカン</t>
    </rPh>
    <rPh sb="5" eb="7">
      <t>シジ</t>
    </rPh>
    <rPh sb="7" eb="9">
      <t>ホウホウ</t>
    </rPh>
    <phoneticPr fontId="21"/>
  </si>
  <si>
    <t>通信・情報設備</t>
    <rPh sb="0" eb="2">
      <t>ツウシン</t>
    </rPh>
    <rPh sb="3" eb="5">
      <t>ジョウホウ</t>
    </rPh>
    <rPh sb="5" eb="7">
      <t>セツビ</t>
    </rPh>
    <phoneticPr fontId="21"/>
  </si>
  <si>
    <t>対応性・更新性</t>
    <rPh sb="0" eb="3">
      <t>タイオウセイ</t>
    </rPh>
    <rPh sb="4" eb="6">
      <t>コウシン</t>
    </rPh>
    <rPh sb="6" eb="7">
      <t>セイ</t>
    </rPh>
    <phoneticPr fontId="21"/>
  </si>
  <si>
    <t>空間のゆとり</t>
  </si>
  <si>
    <t>階高のゆとり</t>
    <rPh sb="0" eb="1">
      <t>カイ</t>
    </rPh>
    <rPh sb="1" eb="2">
      <t>ダカ</t>
    </rPh>
    <phoneticPr fontId="21"/>
  </si>
  <si>
    <t>空間の形状・自由さ</t>
    <rPh sb="0" eb="2">
      <t>クウカン</t>
    </rPh>
    <rPh sb="3" eb="5">
      <t>ケイジョウ</t>
    </rPh>
    <rPh sb="6" eb="8">
      <t>ジユウ</t>
    </rPh>
    <phoneticPr fontId="21"/>
  </si>
  <si>
    <t>荷重のゆとり</t>
  </si>
  <si>
    <t>設備の更新性</t>
  </si>
  <si>
    <t>給排水管の更新性</t>
    <rPh sb="0" eb="1">
      <t>キュウ</t>
    </rPh>
    <rPh sb="1" eb="4">
      <t>ハイスイカン</t>
    </rPh>
    <rPh sb="5" eb="7">
      <t>コウシン</t>
    </rPh>
    <rPh sb="7" eb="8">
      <t>セイ</t>
    </rPh>
    <phoneticPr fontId="21"/>
  </si>
  <si>
    <t>電気配線の更新性</t>
    <rPh sb="0" eb="2">
      <t>デンキ</t>
    </rPh>
    <rPh sb="2" eb="4">
      <t>ハイセン</t>
    </rPh>
    <rPh sb="5" eb="7">
      <t>コウシン</t>
    </rPh>
    <rPh sb="7" eb="8">
      <t>セイ</t>
    </rPh>
    <phoneticPr fontId="21"/>
  </si>
  <si>
    <t>通信配線の更新性</t>
    <rPh sb="0" eb="2">
      <t>ツウシン</t>
    </rPh>
    <rPh sb="2" eb="4">
      <t>ハイセン</t>
    </rPh>
    <rPh sb="5" eb="7">
      <t>コウシン</t>
    </rPh>
    <rPh sb="7" eb="8">
      <t>セイ</t>
    </rPh>
    <phoneticPr fontId="21"/>
  </si>
  <si>
    <t>設備機器の更新性</t>
    <rPh sb="0" eb="2">
      <t>セツビ</t>
    </rPh>
    <rPh sb="2" eb="4">
      <t>キキ</t>
    </rPh>
    <rPh sb="5" eb="7">
      <t>コウシン</t>
    </rPh>
    <rPh sb="7" eb="8">
      <t>セイ</t>
    </rPh>
    <phoneticPr fontId="21"/>
  </si>
  <si>
    <t>バックアップスペースの確保</t>
    <rPh sb="11" eb="13">
      <t>カクホ</t>
    </rPh>
    <phoneticPr fontId="21"/>
  </si>
  <si>
    <t>生物環境の保全と創出</t>
    <rPh sb="0" eb="2">
      <t>セイブツ</t>
    </rPh>
    <rPh sb="2" eb="4">
      <t>カンキョウ</t>
    </rPh>
    <rPh sb="5" eb="7">
      <t>ホゼン</t>
    </rPh>
    <rPh sb="8" eb="10">
      <t>ソウシュツ</t>
    </rPh>
    <phoneticPr fontId="21"/>
  </si>
  <si>
    <t>まちなみ・景観への配慮</t>
    <rPh sb="5" eb="7">
      <t>ケイカン</t>
    </rPh>
    <rPh sb="9" eb="11">
      <t>ハイリョ</t>
    </rPh>
    <phoneticPr fontId="21"/>
  </si>
  <si>
    <t>地域性・アメニティへの配慮</t>
    <rPh sb="0" eb="3">
      <t>ﾁｲｷｾｲ</t>
    </rPh>
    <rPh sb="11" eb="13">
      <t>ﾊｲﾘｮ</t>
    </rPh>
    <phoneticPr fontId="34" type="noConversion"/>
  </si>
  <si>
    <t>地域性への配慮、快適性の向上</t>
  </si>
  <si>
    <t>敷地内温熱環境の向上</t>
    <rPh sb="0" eb="2">
      <t>シキチ</t>
    </rPh>
    <rPh sb="2" eb="3">
      <t>ナイ</t>
    </rPh>
    <rPh sb="3" eb="5">
      <t>オンネツ</t>
    </rPh>
    <rPh sb="8" eb="10">
      <t>コウジョウ</t>
    </rPh>
    <phoneticPr fontId="21"/>
  </si>
  <si>
    <t>LR　建築物の環境負荷低減性</t>
    <phoneticPr fontId="21"/>
  </si>
  <si>
    <t>LR1</t>
    <phoneticPr fontId="34" type="noConversion"/>
  </si>
  <si>
    <t>エネルギー</t>
    <phoneticPr fontId="21"/>
  </si>
  <si>
    <t>自然エネルギー利用</t>
    <rPh sb="0" eb="2">
      <t>ｼｾﾞﾝ</t>
    </rPh>
    <rPh sb="7" eb="9">
      <t>ﾘﾖｳ</t>
    </rPh>
    <phoneticPr fontId="34" type="noConversion"/>
  </si>
  <si>
    <t>実施・竣工</t>
    <rPh sb="0" eb="2">
      <t>ジッシ</t>
    </rPh>
    <rPh sb="3" eb="5">
      <t>シュンコウ</t>
    </rPh>
    <phoneticPr fontId="21"/>
  </si>
  <si>
    <t>基本</t>
    <rPh sb="0" eb="2">
      <t>キホン</t>
    </rPh>
    <phoneticPr fontId="21"/>
  </si>
  <si>
    <t>自然エネルギーの直接利用</t>
  </si>
  <si>
    <t>自然エネルギーの変換利用</t>
  </si>
  <si>
    <t>設備システムの高効率化</t>
    <rPh sb="0" eb="2">
      <t>ｾﾂﾋﾞ</t>
    </rPh>
    <rPh sb="7" eb="8">
      <t>ｺｳ</t>
    </rPh>
    <rPh sb="8" eb="10">
      <t>ｺｳﾘﾂ</t>
    </rPh>
    <rPh sb="10" eb="11">
      <t>ｶ</t>
    </rPh>
    <phoneticPr fontId="34" type="noConversion"/>
  </si>
  <si>
    <t>空調設備</t>
  </si>
  <si>
    <t>換気設備</t>
  </si>
  <si>
    <t>照明設備</t>
  </si>
  <si>
    <t>給湯設備</t>
  </si>
  <si>
    <t>昇降機設備</t>
  </si>
  <si>
    <t>効率的運用</t>
    <rPh sb="0" eb="3">
      <t>ｺｳﾘﾂﾃｷ</t>
    </rPh>
    <rPh sb="3" eb="5">
      <t>ｳﾝﾖｳ</t>
    </rPh>
    <phoneticPr fontId="34" type="noConversion"/>
  </si>
  <si>
    <t>運用管理体制</t>
    <rPh sb="0" eb="2">
      <t>ｳﾝﾖｳ</t>
    </rPh>
    <rPh sb="2" eb="4">
      <t>ｶﾝﾘ</t>
    </rPh>
    <rPh sb="4" eb="6">
      <t>ﾀｲｾｲ</t>
    </rPh>
    <phoneticPr fontId="34" type="noConversion"/>
  </si>
  <si>
    <t>水資源保護</t>
    <rPh sb="0" eb="1">
      <t>ﾐｽﾞ</t>
    </rPh>
    <rPh sb="1" eb="3">
      <t>ｼｹﾞﾝ</t>
    </rPh>
    <rPh sb="3" eb="5">
      <t>ﾎｺﾞ</t>
    </rPh>
    <phoneticPr fontId="34" type="noConversion"/>
  </si>
  <si>
    <t>節水</t>
    <rPh sb="0" eb="2">
      <t>ｾｯｽｲ</t>
    </rPh>
    <phoneticPr fontId="34" type="noConversion"/>
  </si>
  <si>
    <t>雨水利用・雑排水等の利用</t>
    <rPh sb="0" eb="2">
      <t>ｳｽｲ</t>
    </rPh>
    <rPh sb="2" eb="4">
      <t>ﾘﾖｳ</t>
    </rPh>
    <rPh sb="5" eb="8">
      <t>ｻﾞﾂﾊｲｽｲ</t>
    </rPh>
    <rPh sb="8" eb="9">
      <t>ﾄｳ</t>
    </rPh>
    <rPh sb="10" eb="12">
      <t>ﾘﾖｳ</t>
    </rPh>
    <phoneticPr fontId="34" type="noConversion"/>
  </si>
  <si>
    <t>雨水利用システム導入の有無</t>
    <rPh sb="0" eb="2">
      <t>ウスイ</t>
    </rPh>
    <rPh sb="2" eb="4">
      <t>リヨウ</t>
    </rPh>
    <rPh sb="8" eb="10">
      <t>ドウニュウ</t>
    </rPh>
    <rPh sb="11" eb="13">
      <t>ウム</t>
    </rPh>
    <phoneticPr fontId="21"/>
  </si>
  <si>
    <t>雑排水等利用システム導入の有無</t>
  </si>
  <si>
    <t>非再生性資源の使用量削減</t>
    <rPh sb="0" eb="1">
      <t>ヒ</t>
    </rPh>
    <rPh sb="1" eb="3">
      <t>サイセイ</t>
    </rPh>
    <rPh sb="3" eb="4">
      <t>セイ</t>
    </rPh>
    <rPh sb="4" eb="6">
      <t>シゲン</t>
    </rPh>
    <rPh sb="7" eb="10">
      <t>シヨウリョウ</t>
    </rPh>
    <rPh sb="10" eb="12">
      <t>サクゲン</t>
    </rPh>
    <phoneticPr fontId="21"/>
  </si>
  <si>
    <t>材料使用量の削減</t>
    <rPh sb="0" eb="2">
      <t>ザイリョウ</t>
    </rPh>
    <rPh sb="2" eb="4">
      <t>シヨウ</t>
    </rPh>
    <rPh sb="4" eb="5">
      <t>リョウ</t>
    </rPh>
    <rPh sb="6" eb="8">
      <t>サクゲン</t>
    </rPh>
    <phoneticPr fontId="21"/>
  </si>
  <si>
    <t>既存建築躯体等の継続使用</t>
    <rPh sb="6" eb="7">
      <t>トウ</t>
    </rPh>
    <rPh sb="8" eb="10">
      <t>ケイゾク</t>
    </rPh>
    <rPh sb="10" eb="12">
      <t>シヨウ</t>
    </rPh>
    <phoneticPr fontId="21"/>
  </si>
  <si>
    <t>躯体材料におけるリサイクル材の使用</t>
    <rPh sb="0" eb="2">
      <t>クタイ</t>
    </rPh>
    <rPh sb="2" eb="4">
      <t>ザイリョウ</t>
    </rPh>
    <rPh sb="13" eb="14">
      <t>ザイ</t>
    </rPh>
    <rPh sb="15" eb="17">
      <t>シヨウ</t>
    </rPh>
    <phoneticPr fontId="21"/>
  </si>
  <si>
    <t>持続可能な森林から産出された木材</t>
  </si>
  <si>
    <t>部材の再利用可能性向上への取組み</t>
    <rPh sb="9" eb="11">
      <t>コウジョウ</t>
    </rPh>
    <rPh sb="13" eb="15">
      <t>トリク</t>
    </rPh>
    <phoneticPr fontId="21"/>
  </si>
  <si>
    <t>汚染物質含有材料の使用回避</t>
    <rPh sb="0" eb="2">
      <t>オセン</t>
    </rPh>
    <rPh sb="2" eb="4">
      <t>ブッシツ</t>
    </rPh>
    <rPh sb="4" eb="6">
      <t>ガンユウ</t>
    </rPh>
    <rPh sb="6" eb="8">
      <t>ザイリョウ</t>
    </rPh>
    <rPh sb="9" eb="11">
      <t>シヨウ</t>
    </rPh>
    <rPh sb="11" eb="13">
      <t>カイヒ</t>
    </rPh>
    <phoneticPr fontId="21"/>
  </si>
  <si>
    <t>有害物質を含まない材料の使用</t>
    <rPh sb="0" eb="2">
      <t>ユウガイ</t>
    </rPh>
    <rPh sb="2" eb="4">
      <t>ブッシツ</t>
    </rPh>
    <rPh sb="5" eb="6">
      <t>フク</t>
    </rPh>
    <rPh sb="12" eb="14">
      <t>シヨウ</t>
    </rPh>
    <phoneticPr fontId="21"/>
  </si>
  <si>
    <t>フロン・ハロンの回避</t>
    <rPh sb="8" eb="10">
      <t>カイヒ</t>
    </rPh>
    <phoneticPr fontId="21"/>
  </si>
  <si>
    <t>事務室の天井高2.9m以上となっており、かつ、すべての執務者が十分な屋外の情報を得られるように窓が設置されている。</t>
    <phoneticPr fontId="21"/>
  </si>
  <si>
    <t>売場の天井高3.6m以上。</t>
    <phoneticPr fontId="21"/>
  </si>
  <si>
    <t>住居・宿泊部の天井高2.7m以上。</t>
    <phoneticPr fontId="21"/>
  </si>
  <si>
    <r>
      <t xml:space="preserve">1.2.2 </t>
    </r>
    <r>
      <rPr>
        <b/>
        <sz val="10"/>
        <rFont val="ＭＳ Ｐゴシック"/>
        <family val="3"/>
        <charset val="128"/>
      </rPr>
      <t>リフレッシュスペース</t>
    </r>
    <phoneticPr fontId="21"/>
  </si>
  <si>
    <t>-</t>
    <phoneticPr fontId="21"/>
  </si>
  <si>
    <t>レストスペースが売り場面積の2％以上</t>
    <phoneticPr fontId="21"/>
  </si>
  <si>
    <t>レストスペースが売り場面積の3％以上</t>
    <phoneticPr fontId="21"/>
  </si>
  <si>
    <t>レストスペースが売り場面積の4％以上</t>
    <phoneticPr fontId="21"/>
  </si>
  <si>
    <t>評価する取り組みのうち２つの項目に該当する。</t>
    <phoneticPr fontId="21"/>
  </si>
  <si>
    <t>評価する取り組みのうち３つの項目に該当する。</t>
    <phoneticPr fontId="21"/>
  </si>
  <si>
    <t>評価する取り組みのうち４つの項目に該当する。</t>
    <phoneticPr fontId="21"/>
  </si>
  <si>
    <t>住居宿泊部分</t>
    <phoneticPr fontId="21"/>
  </si>
  <si>
    <t>モックアップ（実物大模型）やインテリアパースによる内装計画の事前検証を実施している。</t>
    <phoneticPr fontId="21"/>
  </si>
  <si>
    <t>①　内装仕上げ：内壁面は防汚性の高い仕上げ方法や建材、塗装、コーティングを採用している。</t>
    <phoneticPr fontId="21"/>
  </si>
  <si>
    <t>⑤　内装設計：風除室の１次扉と２次扉が同時に開かないように距離を確保し、または土砂などの進入を防ぐ為の設計をしている。</t>
    <phoneticPr fontId="21"/>
  </si>
  <si>
    <t>⑦　外装仕上げ：外壁面やガラスは防汚性の高い建材や耐候性塗料や親水性塗料などを施した仕上げを採用している。</t>
    <phoneticPr fontId="21"/>
  </si>
  <si>
    <t>⑨　外装設計：害鳥（鳩・烏・椋鳥など）への糞害予防、対策を実施している。</t>
    <phoneticPr fontId="21"/>
  </si>
  <si>
    <t>⑫　その他：上記以外の部分にて維持管理に配慮した設計の取り組みをしている。</t>
    <phoneticPr fontId="21"/>
  </si>
  <si>
    <t>合計＝</t>
    <phoneticPr fontId="21"/>
  </si>
  <si>
    <t>合計＝</t>
    <phoneticPr fontId="21"/>
  </si>
  <si>
    <t>建築物衛生法における特定建築物</t>
    <phoneticPr fontId="21"/>
  </si>
  <si>
    <t>冷却塔がない。または、冷却塔の水処理、飛散対策等が十分に施されており、給湯器は最低限の対策が施されている。</t>
  </si>
  <si>
    <t>換気</t>
    <rPh sb="0" eb="2">
      <t>カンキ</t>
    </rPh>
    <phoneticPr fontId="21"/>
  </si>
  <si>
    <r>
      <t xml:space="preserve">4.2.1 </t>
    </r>
    <r>
      <rPr>
        <b/>
        <sz val="10"/>
        <rFont val="ＭＳ Ｐゴシック"/>
        <family val="3"/>
        <charset val="128"/>
      </rPr>
      <t>換気量</t>
    </r>
    <rPh sb="6" eb="9">
      <t>カンキリョウ</t>
    </rPh>
    <phoneticPr fontId="21"/>
  </si>
  <si>
    <t>事・学(大学等)・物・飲・会・病・ホ・工・住</t>
    <rPh sb="0" eb="1">
      <t>コト</t>
    </rPh>
    <rPh sb="2" eb="3">
      <t>ガク</t>
    </rPh>
    <rPh sb="9" eb="10">
      <t>モノ</t>
    </rPh>
    <rPh sb="11" eb="12">
      <t>イン</t>
    </rPh>
    <rPh sb="13" eb="14">
      <t>カイ</t>
    </rPh>
    <rPh sb="15" eb="16">
      <t>ヤマイ</t>
    </rPh>
    <rPh sb="21" eb="22">
      <t>ジュウ</t>
    </rPh>
    <phoneticPr fontId="21"/>
  </si>
  <si>
    <r>
      <t xml:space="preserve">4.2.2 </t>
    </r>
    <r>
      <rPr>
        <b/>
        <sz val="10"/>
        <rFont val="ＭＳ Ｐゴシック"/>
        <family val="3"/>
        <charset val="128"/>
      </rPr>
      <t>自然換気性能</t>
    </r>
    <rPh sb="6" eb="8">
      <t>シゼン</t>
    </rPh>
    <rPh sb="8" eb="10">
      <t>カンキ</t>
    </rPh>
    <rPh sb="10" eb="12">
      <t>セイノウ</t>
    </rPh>
    <phoneticPr fontId="21"/>
  </si>
  <si>
    <t>地域区分Ⅱ</t>
  </si>
  <si>
    <t>照明計画と内装計画が一体として計画されるよう、内装計画の段階で、具体的な取り組みがある。（例えば、用途に適した雰囲気を演出するための間接照明の採用や光源の色温度の計画を内装計画と合わせて実施している等）</t>
    <rPh sb="45" eb="46">
      <t>タト</t>
    </rPh>
    <rPh sb="49" eb="51">
      <t>ヨウト</t>
    </rPh>
    <rPh sb="52" eb="53">
      <t>テキ</t>
    </rPh>
    <rPh sb="55" eb="58">
      <t>フンイキ</t>
    </rPh>
    <rPh sb="59" eb="61">
      <t>エンシュツ</t>
    </rPh>
    <rPh sb="66" eb="68">
      <t>カンセツ</t>
    </rPh>
    <rPh sb="68" eb="70">
      <t>ショウメイ</t>
    </rPh>
    <rPh sb="71" eb="73">
      <t>サイヨウ</t>
    </rPh>
    <rPh sb="74" eb="75">
      <t>ヒカリ</t>
    </rPh>
    <rPh sb="75" eb="76">
      <t>ゲン</t>
    </rPh>
    <rPh sb="77" eb="78">
      <t>イロ</t>
    </rPh>
    <rPh sb="78" eb="80">
      <t>オンド</t>
    </rPh>
    <rPh sb="81" eb="83">
      <t>ケイカク</t>
    </rPh>
    <rPh sb="84" eb="86">
      <t>ナイソウ</t>
    </rPh>
    <rPh sb="86" eb="88">
      <t>ケイカク</t>
    </rPh>
    <rPh sb="89" eb="90">
      <t>ア</t>
    </rPh>
    <rPh sb="93" eb="95">
      <t>ジッシ</t>
    </rPh>
    <rPh sb="99" eb="100">
      <t>トウ</t>
    </rPh>
    <phoneticPr fontId="21"/>
  </si>
  <si>
    <t>建物全体・共用部分</t>
    <phoneticPr fontId="21"/>
  </si>
  <si>
    <t>延床面積＝</t>
    <rPh sb="0" eb="1">
      <t>ノベ</t>
    </rPh>
    <rPh sb="1" eb="4">
      <t>ユカメンセキ</t>
    </rPh>
    <phoneticPr fontId="21"/>
  </si>
  <si>
    <t>備考</t>
    <rPh sb="0" eb="2">
      <t>ビコウ</t>
    </rPh>
    <phoneticPr fontId="21"/>
  </si>
  <si>
    <t>式設定</t>
    <rPh sb="0" eb="1">
      <t>シキ</t>
    </rPh>
    <rPh sb="1" eb="3">
      <t>セッテイ</t>
    </rPh>
    <phoneticPr fontId="21"/>
  </si>
  <si>
    <t>評価する取組み表の評価ポイントの合計値が18ポイント以上</t>
  </si>
  <si>
    <t>2～3</t>
  </si>
  <si>
    <t>学校版基準</t>
    <rPh sb="0" eb="2">
      <t>ガッコウ</t>
    </rPh>
    <rPh sb="2" eb="3">
      <t>バン</t>
    </rPh>
    <rPh sb="3" eb="5">
      <t>キジュン</t>
    </rPh>
    <phoneticPr fontId="21"/>
  </si>
  <si>
    <t>一般地域</t>
    <rPh sb="0" eb="2">
      <t>イッパン</t>
    </rPh>
    <rPh sb="2" eb="4">
      <t>チイキ</t>
    </rPh>
    <phoneticPr fontId="2"/>
  </si>
  <si>
    <r>
      <t>厚さが</t>
    </r>
    <r>
      <rPr>
        <sz val="11"/>
        <rFont val="ＭＳ Ｐゴシック"/>
        <family val="3"/>
        <charset val="128"/>
      </rPr>
      <t>20mm</t>
    </r>
    <r>
      <rPr>
        <sz val="9"/>
        <rFont val="ＭＳ Ｐゴシック"/>
        <family val="3"/>
        <charset val="128"/>
      </rPr>
      <t>以上の吹付け硬質ｳﾚﾀﾝﾌｫｰﾑ断熱材その他これに相当する断熱性能を使用し、且つ複層ガラスを使用している</t>
    </r>
    <rPh sb="45" eb="46">
      <t>カ</t>
    </rPh>
    <phoneticPr fontId="21"/>
  </si>
  <si>
    <r>
      <t>厚さが4</t>
    </r>
    <r>
      <rPr>
        <sz val="11"/>
        <rFont val="ＭＳ Ｐゴシック"/>
        <family val="3"/>
        <charset val="128"/>
      </rPr>
      <t>0mm</t>
    </r>
    <r>
      <rPr>
        <sz val="9"/>
        <rFont val="ＭＳ Ｐゴシック"/>
        <family val="3"/>
        <charset val="128"/>
      </rPr>
      <t>以上の吹付け硬質ｳﾚﾀﾝﾌｫｰﾑ断熱材その他これに相当する断熱性能を使用し、且つ複層ガラスを使用している</t>
    </r>
    <rPh sb="45" eb="46">
      <t>カ</t>
    </rPh>
    <phoneticPr fontId="21"/>
  </si>
  <si>
    <r>
      <t>（</t>
    </r>
    <r>
      <rPr>
        <b/>
        <sz val="12"/>
        <color indexed="9"/>
        <rFont val="Arial"/>
        <family val="2"/>
      </rPr>
      <t>3</t>
    </r>
    <r>
      <rPr>
        <b/>
        <sz val="12"/>
        <color indexed="9"/>
        <rFont val="ＭＳ Ｐゴシック"/>
        <family val="3"/>
        <charset val="128"/>
      </rPr>
      <t>）</t>
    </r>
    <r>
      <rPr>
        <b/>
        <sz val="12"/>
        <color indexed="9"/>
        <rFont val="Arial"/>
        <family val="2"/>
      </rPr>
      <t>-1</t>
    </r>
    <r>
      <rPr>
        <b/>
        <sz val="12"/>
        <color indexed="9"/>
        <rFont val="ＭＳ Ｐゴシック"/>
        <family val="3"/>
        <charset val="128"/>
      </rPr>
      <t>　建築物の代表的な環境負荷に関する定量的な評価指標</t>
    </r>
    <rPh sb="6" eb="9">
      <t>ｹﾝﾁｸﾌﾞﾂ</t>
    </rPh>
    <rPh sb="10" eb="13">
      <t>ﾀﾞｲﾋｮｳﾃｷ</t>
    </rPh>
    <rPh sb="14" eb="16">
      <t>ｶﾝｷｮｳ</t>
    </rPh>
    <rPh sb="16" eb="18">
      <t>ﾌｶ</t>
    </rPh>
    <rPh sb="19" eb="20">
      <t>ｶﾝ</t>
    </rPh>
    <rPh sb="22" eb="25">
      <t>ﾃｲﾘｮｳﾃｷ</t>
    </rPh>
    <rPh sb="26" eb="28">
      <t>ﾋｮｳｶ</t>
    </rPh>
    <rPh sb="28" eb="30">
      <t>ｼﾋｮｳ</t>
    </rPh>
    <phoneticPr fontId="34" type="noConversion"/>
  </si>
  <si>
    <t>年間延床面積あたり指標</t>
    <rPh sb="0" eb="2">
      <t>ネンカン</t>
    </rPh>
    <rPh sb="2" eb="3">
      <t>ノ</t>
    </rPh>
    <rPh sb="3" eb="6">
      <t>ユカメンセキ</t>
    </rPh>
    <rPh sb="9" eb="11">
      <t>シヒョウ</t>
    </rPh>
    <phoneticPr fontId="21"/>
  </si>
  <si>
    <t>プルダウン選択肢</t>
    <rPh sb="5" eb="8">
      <t>センタクシ</t>
    </rPh>
    <phoneticPr fontId="21"/>
  </si>
  <si>
    <t>　レベル　2</t>
  </si>
  <si>
    <t>■レベル　2</t>
  </si>
  <si>
    <t>45＜ [騒音レベル] ≦50</t>
    <phoneticPr fontId="21"/>
  </si>
  <si>
    <t>40＜ [騒音レベル] ≦45</t>
    <phoneticPr fontId="21"/>
  </si>
  <si>
    <t>35＜ [騒音レベル] ≦40</t>
    <phoneticPr fontId="21"/>
  </si>
  <si>
    <t>　レベル　3</t>
  </si>
  <si>
    <t>■レベル　3</t>
  </si>
  <si>
    <t>30＜ [騒音レベル] ≦35</t>
    <phoneticPr fontId="21"/>
  </si>
  <si>
    <t>35＜ [騒音レベル] ≦45</t>
    <phoneticPr fontId="21"/>
  </si>
  <si>
    <t>ISS 、設備階の設置などによって、仕上げ材を痛めることなく空調配管の更新・修繕が容易にできる。</t>
    <phoneticPr fontId="21"/>
  </si>
  <si>
    <t>構造部材、仕上げ材を痛めることなく修繕、更新できる。</t>
    <phoneticPr fontId="21"/>
  </si>
  <si>
    <t>小中（北海道）</t>
    <rPh sb="0" eb="1">
      <t>ショウ</t>
    </rPh>
    <rPh sb="1" eb="2">
      <t>チュウ</t>
    </rPh>
    <rPh sb="3" eb="6">
      <t>ホッカイドウ</t>
    </rPh>
    <phoneticPr fontId="21"/>
  </si>
  <si>
    <t>小中（その他）</t>
    <rPh sb="0" eb="2">
      <t>ショウチュウ</t>
    </rPh>
    <rPh sb="5" eb="6">
      <t>ホカ</t>
    </rPh>
    <phoneticPr fontId="21"/>
  </si>
  <si>
    <t>平成２４年度の電気事業者別実排出係数等の公表値</t>
    <phoneticPr fontId="21"/>
  </si>
  <si>
    <t>実排出係数及び代替値</t>
    <phoneticPr fontId="21"/>
  </si>
  <si>
    <t>調整後排出係数</t>
    <phoneticPr fontId="21"/>
  </si>
  <si>
    <t>kg-CO2/MJ</t>
    <phoneticPr fontId="21"/>
  </si>
  <si>
    <t>評価ﾚﾍﾞﾙ</t>
    <phoneticPr fontId="21"/>
  </si>
  <si>
    <t>Ａａ1</t>
    <phoneticPr fontId="21"/>
  </si>
  <si>
    <t>Ａｂ1</t>
    <phoneticPr fontId="21"/>
  </si>
  <si>
    <t>Ｂａ1</t>
    <phoneticPr fontId="21"/>
  </si>
  <si>
    <t>Ｂｂ1</t>
    <phoneticPr fontId="21"/>
  </si>
  <si>
    <t>Ｃａ1</t>
    <phoneticPr fontId="21"/>
  </si>
  <si>
    <t>ratio</t>
    <phoneticPr fontId="21"/>
  </si>
  <si>
    <t>住宅（専有部）</t>
    <rPh sb="0" eb="2">
      <t>ジュウタク</t>
    </rPh>
    <rPh sb="3" eb="5">
      <t>センユウ</t>
    </rPh>
    <rPh sb="5" eb="6">
      <t>ブ</t>
    </rPh>
    <phoneticPr fontId="21"/>
  </si>
  <si>
    <t>日本建築学会による2005年産業連関表分析による日本の平均値</t>
    <rPh sb="0" eb="2">
      <t>ニホン</t>
    </rPh>
    <rPh sb="2" eb="4">
      <t>ケンチク</t>
    </rPh>
    <rPh sb="4" eb="6">
      <t>ガッカイ</t>
    </rPh>
    <rPh sb="13" eb="14">
      <t>ネン</t>
    </rPh>
    <rPh sb="14" eb="16">
      <t>サンギョウ</t>
    </rPh>
    <rPh sb="16" eb="18">
      <t>レンカン</t>
    </rPh>
    <rPh sb="18" eb="19">
      <t>ヒョウ</t>
    </rPh>
    <rPh sb="19" eb="21">
      <t>ブンセキ</t>
    </rPh>
    <rPh sb="24" eb="26">
      <t>ニホン</t>
    </rPh>
    <rPh sb="27" eb="30">
      <t>ヘイキンチ</t>
    </rPh>
    <phoneticPr fontId="21"/>
  </si>
  <si>
    <t>日本建築学会による2005年産業連関表分析による分析結果</t>
    <rPh sb="0" eb="2">
      <t>ニホン</t>
    </rPh>
    <rPh sb="2" eb="4">
      <t>ケンチク</t>
    </rPh>
    <rPh sb="4" eb="6">
      <t>ガッカイ</t>
    </rPh>
    <rPh sb="13" eb="14">
      <t>ネン</t>
    </rPh>
    <rPh sb="14" eb="16">
      <t>サンギョウ</t>
    </rPh>
    <rPh sb="16" eb="18">
      <t>レンカン</t>
    </rPh>
    <rPh sb="18" eb="19">
      <t>ヒョウ</t>
    </rPh>
    <rPh sb="19" eb="21">
      <t>ブンセキ</t>
    </rPh>
    <rPh sb="24" eb="26">
      <t>ブンセキ</t>
    </rPh>
    <rPh sb="26" eb="28">
      <t>ケッカ</t>
    </rPh>
    <phoneticPr fontId="21"/>
  </si>
  <si>
    <t>&lt;評価しない&gt;</t>
    <rPh sb="1" eb="3">
      <t>ヒョウカ</t>
    </rPh>
    <phoneticPr fontId="21"/>
  </si>
  <si>
    <t>音環境</t>
    <rPh sb="0" eb="1">
      <t>オト</t>
    </rPh>
    <rPh sb="1" eb="3">
      <t>カンキョウ</t>
    </rPh>
    <phoneticPr fontId="21"/>
  </si>
  <si>
    <t>騒音</t>
    <rPh sb="0" eb="2">
      <t>ソウオン</t>
    </rPh>
    <phoneticPr fontId="21"/>
  </si>
  <si>
    <t>建物全体・共用部分</t>
    <phoneticPr fontId="21"/>
  </si>
  <si>
    <t>重み係数(既定）＝</t>
    <rPh sb="0" eb="1">
      <t>オモ</t>
    </rPh>
    <rPh sb="2" eb="4">
      <t>ケイスウ</t>
    </rPh>
    <rPh sb="5" eb="7">
      <t>キテイ</t>
    </rPh>
    <phoneticPr fontId="21"/>
  </si>
  <si>
    <t>事・病(待)・ホ・工・住</t>
    <rPh sb="4" eb="5">
      <t>マツ</t>
    </rPh>
    <rPh sb="11" eb="12">
      <t>ジュウ</t>
    </rPh>
    <phoneticPr fontId="21"/>
  </si>
  <si>
    <t>学(小中高)</t>
    <rPh sb="0" eb="1">
      <t>ガク</t>
    </rPh>
    <rPh sb="2" eb="5">
      <t>ショウチュウコウ</t>
    </rPh>
    <phoneticPr fontId="21"/>
  </si>
  <si>
    <t>病・ホ・住</t>
    <rPh sb="0" eb="1">
      <t>ビョウ</t>
    </rPh>
    <rPh sb="4" eb="5">
      <t>ジュウ</t>
    </rPh>
    <phoneticPr fontId="21"/>
  </si>
  <si>
    <t>ON</t>
    <phoneticPr fontId="21"/>
  </si>
  <si>
    <r>
      <t>ライフサイクルCO</t>
    </r>
    <r>
      <rPr>
        <b/>
        <vertAlign val="subscript"/>
        <sz val="10"/>
        <rFont val="ＭＳ Ｐゴシック"/>
        <family val="3"/>
        <charset val="128"/>
      </rPr>
      <t>2</t>
    </r>
    <r>
      <rPr>
        <b/>
        <sz val="10"/>
        <rFont val="ＭＳ Ｐゴシック"/>
        <family val="3"/>
        <charset val="128"/>
      </rPr>
      <t>概算値</t>
    </r>
    <rPh sb="10" eb="12">
      <t>ガイサン</t>
    </rPh>
    <rPh sb="12" eb="13">
      <t>チ</t>
    </rPh>
    <phoneticPr fontId="21"/>
  </si>
  <si>
    <r>
      <t>kg-CO</t>
    </r>
    <r>
      <rPr>
        <vertAlign val="subscript"/>
        <sz val="9"/>
        <rFont val="ＭＳ Ｐゴシック"/>
        <family val="3"/>
        <charset val="128"/>
      </rPr>
      <t>2</t>
    </r>
    <r>
      <rPr>
        <sz val="9"/>
        <rFont val="ＭＳ Ｐゴシック"/>
        <family val="3"/>
        <charset val="128"/>
      </rPr>
      <t>/年㎡</t>
    </r>
    <rPh sb="7" eb="8">
      <t>ネン</t>
    </rPh>
    <phoneticPr fontId="21"/>
  </si>
  <si>
    <t>HFC－245ca</t>
  </si>
  <si>
    <t>FC－14</t>
  </si>
  <si>
    <t>FC－116</t>
  </si>
  <si>
    <t>FC－218</t>
  </si>
  <si>
    <t>FC－C318</t>
  </si>
  <si>
    <t>対象外</t>
    <rPh sb="0" eb="2">
      <t>タイショウ</t>
    </rPh>
    <rPh sb="2" eb="3">
      <t>ガイ</t>
    </rPh>
    <phoneticPr fontId="21"/>
  </si>
  <si>
    <t>ライフサイクルCO2排出率が、一般的な建物（参照値）に対して１２５％以上</t>
    <rPh sb="19" eb="21">
      <t>タテモノ</t>
    </rPh>
    <phoneticPr fontId="21"/>
  </si>
  <si>
    <t>ライフサイクルCO2排出率が、一般的な建物（参照値）と同等</t>
    <rPh sb="19" eb="21">
      <t>タテモノ</t>
    </rPh>
    <phoneticPr fontId="21"/>
  </si>
  <si>
    <t>自走式駐車場、機械式駐車場（防護区画内に人が乗り入れるものに限る。）</t>
    <rPh sb="0" eb="3">
      <t>ジソウシキ</t>
    </rPh>
    <rPh sb="3" eb="6">
      <t>チュウシャジョウ</t>
    </rPh>
    <rPh sb="7" eb="10">
      <t>キカイシキ</t>
    </rPh>
    <rPh sb="10" eb="13">
      <t>チュウシャジョウ</t>
    </rPh>
    <rPh sb="14" eb="16">
      <t>ボウゴ</t>
    </rPh>
    <rPh sb="16" eb="18">
      <t>クカク</t>
    </rPh>
    <rPh sb="18" eb="19">
      <t>ナイ</t>
    </rPh>
    <rPh sb="20" eb="21">
      <t>ヒト</t>
    </rPh>
    <rPh sb="22" eb="23">
      <t>ノ</t>
    </rPh>
    <rPh sb="24" eb="25">
      <t>イ</t>
    </rPh>
    <rPh sb="30" eb="31">
      <t>カギ</t>
    </rPh>
    <phoneticPr fontId="21"/>
  </si>
  <si>
    <t>発泡断熱材種別</t>
    <rPh sb="0" eb="2">
      <t>ハッポウ</t>
    </rPh>
    <rPh sb="2" eb="5">
      <t>ダンネツザイ</t>
    </rPh>
    <rPh sb="5" eb="7">
      <t>シュベツ</t>
    </rPh>
    <phoneticPr fontId="21"/>
  </si>
  <si>
    <t>使用年代</t>
    <rPh sb="0" eb="2">
      <t>シヨウ</t>
    </rPh>
    <rPh sb="2" eb="4">
      <t>ネンダイ</t>
    </rPh>
    <phoneticPr fontId="21"/>
  </si>
  <si>
    <t>発泡剤物質名</t>
    <rPh sb="0" eb="2">
      <t>ハッポウ</t>
    </rPh>
    <rPh sb="2" eb="3">
      <t>ザイ</t>
    </rPh>
    <rPh sb="3" eb="5">
      <t>ブッシツ</t>
    </rPh>
    <rPh sb="5" eb="6">
      <t>メイ</t>
    </rPh>
    <phoneticPr fontId="21"/>
  </si>
  <si>
    <r>
      <t>ＧＷＰ</t>
    </r>
    <r>
      <rPr>
        <sz val="6"/>
        <rFont val="ＭＳ Ｐゴシック"/>
        <family val="3"/>
        <charset val="128"/>
      </rPr>
      <t>（100年値）</t>
    </r>
    <rPh sb="7" eb="8">
      <t>ネン</t>
    </rPh>
    <rPh sb="8" eb="9">
      <t>アタイ</t>
    </rPh>
    <phoneticPr fontId="21"/>
  </si>
  <si>
    <t>ウレタンフォーム</t>
  </si>
  <si>
    <t>1995年以前</t>
    <rPh sb="4" eb="5">
      <t>ネン</t>
    </rPh>
    <rPh sb="5" eb="7">
      <t>イゼン</t>
    </rPh>
    <phoneticPr fontId="21"/>
  </si>
  <si>
    <t>2.3.2</t>
    <phoneticPr fontId="21"/>
  </si>
  <si>
    <t>2.3.3</t>
    <phoneticPr fontId="21"/>
  </si>
  <si>
    <t xml:space="preserve"> Q2 2.3</t>
    <phoneticPr fontId="21"/>
  </si>
  <si>
    <t>2.3.3</t>
    <phoneticPr fontId="21"/>
  </si>
  <si>
    <t>2.4.1</t>
    <phoneticPr fontId="21"/>
  </si>
  <si>
    <t>3.1.1</t>
    <phoneticPr fontId="21"/>
  </si>
  <si>
    <t>3.1.2</t>
    <phoneticPr fontId="21"/>
  </si>
  <si>
    <t>3.3.1</t>
    <phoneticPr fontId="21"/>
  </si>
  <si>
    <t>3.3.2</t>
    <phoneticPr fontId="21"/>
  </si>
  <si>
    <t>3.3.3</t>
    <phoneticPr fontId="21"/>
  </si>
  <si>
    <t>3.3.4</t>
    <phoneticPr fontId="21"/>
  </si>
  <si>
    <t>3.3.5</t>
    <phoneticPr fontId="21"/>
  </si>
  <si>
    <t>3.3.6</t>
    <phoneticPr fontId="21"/>
  </si>
  <si>
    <t>Q3</t>
    <phoneticPr fontId="21"/>
  </si>
  <si>
    <t>室外環境（敷地内）</t>
    <phoneticPr fontId="21"/>
  </si>
  <si>
    <t>まちなみ・景観への配慮</t>
    <phoneticPr fontId="21"/>
  </si>
  <si>
    <t>地域性・アメニティへの配慮</t>
    <phoneticPr fontId="21"/>
  </si>
  <si>
    <t>3.1</t>
    <phoneticPr fontId="21"/>
  </si>
  <si>
    <t>地域性への配慮、快適性の向上</t>
    <phoneticPr fontId="21"/>
  </si>
  <si>
    <t>3.2</t>
    <phoneticPr fontId="21"/>
  </si>
  <si>
    <t>敷地内温熱環境の向上</t>
    <phoneticPr fontId="21"/>
  </si>
  <si>
    <t>LR</t>
    <phoneticPr fontId="34" type="noConversion"/>
  </si>
  <si>
    <t>LR</t>
    <phoneticPr fontId="34" type="noConversion"/>
  </si>
  <si>
    <t>LR1</t>
    <phoneticPr fontId="34" type="noConversion"/>
  </si>
  <si>
    <t>LR</t>
    <phoneticPr fontId="21"/>
  </si>
  <si>
    <t>エネルギー</t>
    <phoneticPr fontId="21"/>
  </si>
  <si>
    <t>2.1</t>
    <phoneticPr fontId="21"/>
  </si>
  <si>
    <t>2.2</t>
    <phoneticPr fontId="21"/>
  </si>
  <si>
    <t>3a</t>
    <phoneticPr fontId="21"/>
  </si>
  <si>
    <t>LR1 3</t>
    <phoneticPr fontId="21"/>
  </si>
  <si>
    <t>LR1 3b</t>
    <phoneticPr fontId="21"/>
  </si>
  <si>
    <t>LR</t>
    <phoneticPr fontId="21"/>
  </si>
  <si>
    <t>地域区分Ⅰ</t>
    <phoneticPr fontId="21"/>
  </si>
  <si>
    <t xml:space="preserve"> 飲食店、食堂、喫茶店 など</t>
    <rPh sb="1" eb="3">
      <t>インショク</t>
    </rPh>
    <rPh sb="3" eb="4">
      <t>テン</t>
    </rPh>
    <rPh sb="5" eb="7">
      <t>ショクドウ</t>
    </rPh>
    <rPh sb="8" eb="11">
      <t>キッサテン</t>
    </rPh>
    <phoneticPr fontId="21"/>
  </si>
  <si>
    <t xml:space="preserve"> 工場、車庫、倉庫、観覧場、卸売市場 、電算室など</t>
    <rPh sb="1" eb="3">
      <t>コウジョウ</t>
    </rPh>
    <rPh sb="4" eb="6">
      <t>シャコ</t>
    </rPh>
    <rPh sb="7" eb="9">
      <t>ソウコ</t>
    </rPh>
    <rPh sb="10" eb="12">
      <t>カンラン</t>
    </rPh>
    <rPh sb="12" eb="13">
      <t>バ</t>
    </rPh>
    <rPh sb="14" eb="16">
      <t>オロシウリ</t>
    </rPh>
    <rPh sb="16" eb="18">
      <t>シジョウ</t>
    </rPh>
    <rPh sb="20" eb="23">
      <t>デンサンシツ</t>
    </rPh>
    <phoneticPr fontId="21"/>
  </si>
  <si>
    <t xml:space="preserve"> 病院、老人ホーム、身体障害者福祉ホームなど</t>
    <rPh sb="1" eb="3">
      <t>ビョウイン</t>
    </rPh>
    <rPh sb="4" eb="6">
      <t>ロウジン</t>
    </rPh>
    <rPh sb="10" eb="12">
      <t>シンタイ</t>
    </rPh>
    <rPh sb="12" eb="15">
      <t>ショウガイシャ</t>
    </rPh>
    <rPh sb="15" eb="17">
      <t>フクシ</t>
    </rPh>
    <phoneticPr fontId="21"/>
  </si>
  <si>
    <t xml:space="preserve"> ホテル、旅館など</t>
    <rPh sb="5" eb="7">
      <t>リョカン</t>
    </rPh>
    <phoneticPr fontId="21"/>
  </si>
  <si>
    <t>2.6</t>
    <phoneticPr fontId="21"/>
  </si>
  <si>
    <t>3.1</t>
    <phoneticPr fontId="21"/>
  </si>
  <si>
    <t>3.1</t>
    <phoneticPr fontId="21"/>
  </si>
  <si>
    <t>3.2</t>
    <phoneticPr fontId="21"/>
  </si>
  <si>
    <t>3.2.1</t>
    <phoneticPr fontId="21"/>
  </si>
  <si>
    <t>消火剤</t>
    <phoneticPr fontId="21"/>
  </si>
  <si>
    <t>3.2.2</t>
    <phoneticPr fontId="21"/>
  </si>
  <si>
    <t>発泡剤（断熱材等）</t>
    <phoneticPr fontId="21"/>
  </si>
  <si>
    <t>(blank star)</t>
    <phoneticPr fontId="21"/>
  </si>
  <si>
    <t>LCCO2(kg-CO2/ym2)</t>
    <phoneticPr fontId="21"/>
  </si>
  <si>
    <t>オンサイト</t>
    <phoneticPr fontId="21"/>
  </si>
  <si>
    <t>オフサイト</t>
    <phoneticPr fontId="21"/>
  </si>
  <si>
    <t>％</t>
    <phoneticPr fontId="21"/>
  </si>
  <si>
    <t>Sum</t>
    <phoneticPr fontId="21"/>
  </si>
  <si>
    <r>
      <t>2-4</t>
    </r>
    <r>
      <rPr>
        <b/>
        <sz val="12"/>
        <color indexed="9"/>
        <rFont val="ＭＳ Ｐゴシック"/>
        <family val="3"/>
        <charset val="128"/>
      </rPr>
      <t>　中項目の評価（バーチャート）</t>
    </r>
    <phoneticPr fontId="21"/>
  </si>
  <si>
    <t>Q-2 サービス性能</t>
    <phoneticPr fontId="21"/>
  </si>
  <si>
    <t>Score(RoundDown)</t>
    <phoneticPr fontId="21"/>
  </si>
  <si>
    <t>NA</t>
    <phoneticPr fontId="21"/>
  </si>
  <si>
    <t>まちなみ景観</t>
    <phoneticPr fontId="21"/>
  </si>
  <si>
    <r>
      <t>LR</t>
    </r>
    <r>
      <rPr>
        <b/>
        <sz val="11"/>
        <color indexed="42"/>
        <rFont val="ＭＳ Ｐゴシック"/>
        <family val="3"/>
        <charset val="128"/>
      </rPr>
      <t>　環境負荷低減性</t>
    </r>
    <phoneticPr fontId="21"/>
  </si>
  <si>
    <r>
      <t>LR</t>
    </r>
    <r>
      <rPr>
        <b/>
        <i/>
        <sz val="14"/>
        <color indexed="9"/>
        <rFont val="ＭＳ Ｐゴシック"/>
        <family val="3"/>
        <charset val="128"/>
      </rPr>
      <t>のスコア</t>
    </r>
    <r>
      <rPr>
        <b/>
        <i/>
        <sz val="14"/>
        <color indexed="9"/>
        <rFont val="Arial"/>
        <family val="2"/>
      </rPr>
      <t>=</t>
    </r>
    <phoneticPr fontId="21"/>
  </si>
  <si>
    <t>Score(RoundDown)</t>
    <phoneticPr fontId="21"/>
  </si>
  <si>
    <t>Score</t>
    <phoneticPr fontId="21"/>
  </si>
  <si>
    <t>LR-1 エネルギー</t>
    <phoneticPr fontId="21"/>
  </si>
  <si>
    <t>Score(RoundDown)</t>
    <phoneticPr fontId="21"/>
  </si>
  <si>
    <t>NA</t>
    <phoneticPr fontId="21"/>
  </si>
  <si>
    <t>集成材</t>
    <rPh sb="0" eb="3">
      <t>シュウセイザイ</t>
    </rPh>
    <phoneticPr fontId="21"/>
  </si>
  <si>
    <t>鉄鋼スラグ混入路盤材</t>
    <rPh sb="0" eb="2">
      <t>テッコウ</t>
    </rPh>
    <rPh sb="5" eb="7">
      <t>コンニュウ</t>
    </rPh>
    <rPh sb="7" eb="10">
      <t>ロバンザイ</t>
    </rPh>
    <phoneticPr fontId="21"/>
  </si>
  <si>
    <t>木質系セメント板</t>
    <rPh sb="0" eb="2">
      <t>モクシツ</t>
    </rPh>
    <rPh sb="2" eb="3">
      <t>ケイ</t>
    </rPh>
    <rPh sb="7" eb="8">
      <t>イタ</t>
    </rPh>
    <phoneticPr fontId="21"/>
  </si>
  <si>
    <t>タイル</t>
  </si>
  <si>
    <t>れんが</t>
  </si>
  <si>
    <t>ブロック</t>
  </si>
  <si>
    <r>
      <t>エコマークを取得した木材などを使用したボード（エコマーク商品類型</t>
    </r>
    <r>
      <rPr>
        <sz val="9"/>
        <rFont val="Arial"/>
        <family val="2"/>
      </rPr>
      <t>111</t>
    </r>
    <r>
      <rPr>
        <sz val="9"/>
        <rFont val="ＭＳ Ｐゴシック"/>
        <family val="3"/>
        <charset val="128"/>
      </rPr>
      <t>）</t>
    </r>
  </si>
  <si>
    <r>
      <t>エコマークを取得した間伐材、再・未利用材などを使用した製品（エコマーク商品類型</t>
    </r>
    <r>
      <rPr>
        <sz val="9"/>
        <rFont val="Arial"/>
        <family val="2"/>
      </rPr>
      <t>115</t>
    </r>
    <r>
      <rPr>
        <sz val="9"/>
        <rFont val="ＭＳ Ｐゴシック"/>
        <family val="3"/>
        <charset val="128"/>
      </rPr>
      <t>）</t>
    </r>
  </si>
  <si>
    <t>屋外用品（土木建築用品：小丸太）</t>
  </si>
  <si>
    <t>屋内用品（ドア）</t>
  </si>
  <si>
    <t>屋外用品（土木建築用品：集成材）</t>
  </si>
  <si>
    <t>屋外用品（土木建築用品：合板）</t>
  </si>
  <si>
    <t>屋外用品（エクステリア）</t>
  </si>
  <si>
    <t>屋内用品（床材）</t>
  </si>
  <si>
    <t>活性炭（調湿材）</t>
  </si>
  <si>
    <t>屋内用品（ふすま枠）</t>
  </si>
  <si>
    <r>
      <t>エコマークを取得した建築製品（内装工事関係用資材）（エコマーク商品類型</t>
    </r>
    <r>
      <rPr>
        <sz val="9"/>
        <rFont val="Arial"/>
        <family val="2"/>
      </rPr>
      <t>123</t>
    </r>
    <r>
      <rPr>
        <sz val="9"/>
        <rFont val="ＭＳ Ｐゴシック"/>
        <family val="3"/>
        <charset val="128"/>
      </rPr>
      <t>）</t>
    </r>
  </si>
  <si>
    <t>木質フローリング</t>
  </si>
  <si>
    <t>断熱材</t>
  </si>
  <si>
    <t>障子・襖</t>
  </si>
  <si>
    <t>吸音材料・防音防振マット</t>
  </si>
  <si>
    <t>障子紙・襖紙</t>
  </si>
  <si>
    <t>ビニル床材</t>
  </si>
  <si>
    <t>ボード</t>
  </si>
  <si>
    <t>階段滑り止め</t>
  </si>
  <si>
    <t>畳</t>
  </si>
  <si>
    <t>点字鋲</t>
  </si>
  <si>
    <t>アコーディオンドア</t>
  </si>
  <si>
    <r>
      <t>エコマークを取得した建築製品（外装、外溝関係用資材）（エコマーク商品類型</t>
    </r>
    <r>
      <rPr>
        <sz val="9"/>
        <rFont val="Arial"/>
        <family val="2"/>
      </rPr>
      <t>137</t>
    </r>
    <r>
      <rPr>
        <sz val="9"/>
        <rFont val="ＭＳ Ｐゴシック"/>
        <family val="3"/>
        <charset val="128"/>
      </rPr>
      <t>）</t>
    </r>
  </si>
  <si>
    <t>ルーフィング</t>
  </si>
  <si>
    <t>プラスチックデッキ材</t>
  </si>
  <si>
    <t>屋根材</t>
  </si>
  <si>
    <t>木材・プラスチック再生複合</t>
  </si>
  <si>
    <t>外装材</t>
  </si>
  <si>
    <r>
      <t>エコマークを取得した建築製品（材料系の資材）（エコマーク商品類型</t>
    </r>
    <r>
      <rPr>
        <sz val="9"/>
        <rFont val="Arial"/>
        <family val="2"/>
      </rPr>
      <t>138</t>
    </r>
    <r>
      <rPr>
        <sz val="9"/>
        <rFont val="ＭＳ Ｐゴシック"/>
        <family val="3"/>
        <charset val="128"/>
      </rPr>
      <t>）</t>
    </r>
  </si>
  <si>
    <t>建築用石材</t>
  </si>
  <si>
    <t>宅地ます</t>
  </si>
  <si>
    <t>排水・通気用硬質ポリ塩化ビニル管</t>
  </si>
  <si>
    <t>持続可能な森林から産出された木材</t>
    <rPh sb="0" eb="2">
      <t>ジゾク</t>
    </rPh>
    <rPh sb="2" eb="4">
      <t>カノウ</t>
    </rPh>
    <rPh sb="5" eb="7">
      <t>シンリン</t>
    </rPh>
    <rPh sb="9" eb="11">
      <t>サンシュツ</t>
    </rPh>
    <rPh sb="14" eb="16">
      <t>モクザイ</t>
    </rPh>
    <phoneticPr fontId="21"/>
  </si>
  <si>
    <t>部材の再利用可能性向上への取組み</t>
    <rPh sb="0" eb="2">
      <t>ブザイ</t>
    </rPh>
    <rPh sb="3" eb="11">
      <t>サイリヨウカノウセイコウジョウ</t>
    </rPh>
    <rPh sb="13" eb="15">
      <t>トリク</t>
    </rPh>
    <phoneticPr fontId="21"/>
  </si>
  <si>
    <t>解体時におけるリサイクルを促進する対策として、評価する取組みをひとつも行っていない。</t>
  </si>
  <si>
    <t>解体時におけるリサイクルを促進する対策として、評価する取組みを1ポイント以上実施している。</t>
  </si>
  <si>
    <t>解体時におけるリサイクルを促進する対策として、評価する取組みを2ポイント以上実施している。</t>
  </si>
  <si>
    <t>躯体と仕上げ材が容易に分別可能となっている</t>
  </si>
  <si>
    <t>学(小中高)・住</t>
    <rPh sb="0" eb="1">
      <t>ガク</t>
    </rPh>
    <rPh sb="2" eb="3">
      <t>ショウ</t>
    </rPh>
    <rPh sb="3" eb="4">
      <t>チュウ</t>
    </rPh>
    <rPh sb="4" eb="5">
      <t>コウ</t>
    </rPh>
    <rPh sb="7" eb="8">
      <t>ジュウ</t>
    </rPh>
    <phoneticPr fontId="21"/>
  </si>
  <si>
    <t>レベル３に対する、採光・通風が行えない。</t>
    <rPh sb="5" eb="6">
      <t>タイ</t>
    </rPh>
    <phoneticPr fontId="21"/>
  </si>
  <si>
    <t>建物全体・共用部分</t>
    <phoneticPr fontId="21"/>
  </si>
  <si>
    <t>事・学・物・飲・会・病・ホ・工・住</t>
    <phoneticPr fontId="21"/>
  </si>
  <si>
    <t>昼光利用設備が２種類以上ある、または高度な機能を有する。</t>
    <phoneticPr fontId="21"/>
  </si>
  <si>
    <t>昼光利用設備がある。</t>
    <phoneticPr fontId="21"/>
  </si>
  <si>
    <t>建物全体・共用部分</t>
    <phoneticPr fontId="21"/>
  </si>
  <si>
    <t>-</t>
    <phoneticPr fontId="21"/>
  </si>
  <si>
    <t>水平方向から見て光源が露出せずグレアを制限している器具。G2分類の器具。</t>
    <phoneticPr fontId="21"/>
  </si>
  <si>
    <t>反射板形状の工夫、ルーバー・透光性カバーなどにより十分にグレアを制限している器具。G1、G0、V分類の器具。</t>
    <phoneticPr fontId="21"/>
  </si>
  <si>
    <t>何もない。</t>
    <phoneticPr fontId="21"/>
  </si>
  <si>
    <t>スクリーン、オーニング、庇によりグレアを制御。</t>
    <phoneticPr fontId="21"/>
  </si>
  <si>
    <t>ブラインドによりグレアを制御、もしくはスクリーン、オーニング、庇のうち2種類を組み合わせてグレアを制御。</t>
    <phoneticPr fontId="21"/>
  </si>
  <si>
    <t>カーテン、スクリーン、オーニング、庇によりグレアを制御。</t>
    <phoneticPr fontId="21"/>
  </si>
  <si>
    <t>ブラインドに、スクリーン、オーニング、庇のうち１種類以上を組合せてグレアを制御。</t>
    <phoneticPr fontId="21"/>
  </si>
  <si>
    <t>ブラインドによりグレアを制御、もしくはカーテン、スクリーン、オーニング、庇のうち、２種類以上を組み合わせて制御。</t>
    <phoneticPr fontId="21"/>
  </si>
  <si>
    <t>ブラインドに、カーテン、スクリーン、オーニング、庇のうち、１種類以上を組み合わせて制御。</t>
    <phoneticPr fontId="21"/>
  </si>
  <si>
    <t>レベル３を満たさない。</t>
    <phoneticPr fontId="21"/>
  </si>
  <si>
    <t>教室内で視界に見え方を妨害するような「まぶしさ」を感じさせる強い光源がないこと。
（解説（ア）～（ウ））</t>
    <phoneticPr fontId="21"/>
  </si>
  <si>
    <t>レベル３を満たし、かつ、カーテンを使用する、などの運用面の取り組みを行っている。</t>
    <phoneticPr fontId="21"/>
  </si>
  <si>
    <t>判定基準</t>
    <phoneticPr fontId="21"/>
  </si>
  <si>
    <t>建物全体・共用部分</t>
    <phoneticPr fontId="21"/>
  </si>
  <si>
    <t>学</t>
    <phoneticPr fontId="21"/>
  </si>
  <si>
    <t>病(待)</t>
    <phoneticPr fontId="21"/>
  </si>
  <si>
    <t>ホ</t>
    <phoneticPr fontId="21"/>
  </si>
  <si>
    <t>病</t>
    <phoneticPr fontId="21"/>
  </si>
  <si>
    <t>予備スリーブを用いれば構造部材を痛めることなく空調配管の更新・修繕ができる場合もあるが全ての配管の更新・修繕には対応できない。</t>
  </si>
  <si>
    <t>構造部材を痛めることなく修繕できるが、更新できない。</t>
  </si>
  <si>
    <t>構造部材、仕上げ材を痛めることなく修繕できるが、仕上げ材、構造部材を痛めないと更新できない。</t>
  </si>
  <si>
    <t>外部空調配管、天井スペースが確保されることによって、構造部材だけでなく仕上げ材を痛めることなく空調配管の更新・修繕ができる。</t>
  </si>
  <si>
    <t>構造部材を痛めることなく修繕、更新できる。</t>
  </si>
  <si>
    <r>
      <t xml:space="preserve">3.3.3 </t>
    </r>
    <r>
      <rPr>
        <b/>
        <sz val="10"/>
        <rFont val="ＭＳ Ｐゴシック"/>
        <family val="3"/>
        <charset val="128"/>
      </rPr>
      <t>電気配線の更新性</t>
    </r>
    <rPh sb="6" eb="8">
      <t>デンキ</t>
    </rPh>
    <rPh sb="8" eb="10">
      <t>ハイセン</t>
    </rPh>
    <rPh sb="11" eb="13">
      <t>コウシン</t>
    </rPh>
    <rPh sb="13" eb="14">
      <t>セイ</t>
    </rPh>
    <phoneticPr fontId="21"/>
  </si>
  <si>
    <t>構造部材を痛めなければ電気配線の更新・修繕ができない。</t>
  </si>
  <si>
    <t>構造部材を痛めなければ通信配線の更新・修繕ができない。</t>
  </si>
  <si>
    <t>構造部材だけでなく、仕上げ材を痛めることなく電気配線の更新・修繕ができる。</t>
  </si>
  <si>
    <t>仕上げ材を痛めることなく通信配線の更新・修繕ができる。</t>
  </si>
  <si>
    <r>
      <t xml:space="preserve">3.3.5 </t>
    </r>
    <r>
      <rPr>
        <b/>
        <sz val="10"/>
        <rFont val="ＭＳ Ｐゴシック"/>
        <family val="3"/>
        <charset val="128"/>
      </rPr>
      <t>設備機器の更新性</t>
    </r>
    <rPh sb="6" eb="8">
      <t>セツビ</t>
    </rPh>
    <rPh sb="8" eb="10">
      <t>キキ</t>
    </rPh>
    <rPh sb="11" eb="13">
      <t>コウシン</t>
    </rPh>
    <rPh sb="13" eb="14">
      <t>セイ</t>
    </rPh>
    <phoneticPr fontId="21"/>
  </si>
  <si>
    <r>
      <t xml:space="preserve">3.3.6 </t>
    </r>
    <r>
      <rPr>
        <b/>
        <sz val="10"/>
        <rFont val="ＭＳ Ｐゴシック"/>
        <family val="3"/>
        <charset val="128"/>
      </rPr>
      <t>バックアップスペースの確保</t>
    </r>
    <rPh sb="17" eb="19">
      <t>カクホ</t>
    </rPh>
    <phoneticPr fontId="21"/>
  </si>
  <si>
    <t>バックアップ設備のためのスペースが計画的に確保されていない。</t>
  </si>
  <si>
    <t>11年以上～20年未満</t>
  </si>
  <si>
    <t>屋外露出ダクト、厨房排気ダクト、高湿系排気ダクトなど亜鉛鉄板では耐用年数が一般空調換気と比較して短くなると考えられる系統にステンレスダクトやガルバリウムダクトなど長寿命化を図っている。または、内部結露水を適切に排水できるようになっている。</t>
    <rPh sb="0" eb="2">
      <t>オクガイ</t>
    </rPh>
    <rPh sb="2" eb="4">
      <t>ロシュツ</t>
    </rPh>
    <rPh sb="8" eb="10">
      <t>チュウボウ</t>
    </rPh>
    <rPh sb="10" eb="12">
      <t>ハイキ</t>
    </rPh>
    <rPh sb="16" eb="18">
      <t>コウシツ</t>
    </rPh>
    <rPh sb="18" eb="19">
      <t>ケイ</t>
    </rPh>
    <rPh sb="19" eb="21">
      <t>ハイキ</t>
    </rPh>
    <rPh sb="26" eb="28">
      <t>アエン</t>
    </rPh>
    <rPh sb="28" eb="30">
      <t>テッパン</t>
    </rPh>
    <rPh sb="32" eb="34">
      <t>タイヨウ</t>
    </rPh>
    <rPh sb="34" eb="36">
      <t>ネンスウ</t>
    </rPh>
    <rPh sb="37" eb="39">
      <t>イッパン</t>
    </rPh>
    <rPh sb="39" eb="41">
      <t>クウチョウ</t>
    </rPh>
    <rPh sb="41" eb="43">
      <t>カンキ</t>
    </rPh>
    <rPh sb="44" eb="46">
      <t>ヒカク</t>
    </rPh>
    <rPh sb="48" eb="49">
      <t>ミジカ</t>
    </rPh>
    <rPh sb="53" eb="54">
      <t>カンガ</t>
    </rPh>
    <rPh sb="58" eb="60">
      <t>ケイトウ</t>
    </rPh>
    <rPh sb="81" eb="82">
      <t>チョウ</t>
    </rPh>
    <rPh sb="82" eb="85">
      <t>ジュミョウカ</t>
    </rPh>
    <rPh sb="86" eb="87">
      <t>ハカ</t>
    </rPh>
    <rPh sb="96" eb="98">
      <t>ナイブ</t>
    </rPh>
    <rPh sb="98" eb="100">
      <t>ケツロ</t>
    </rPh>
    <rPh sb="100" eb="101">
      <t>スイ</t>
    </rPh>
    <rPh sb="102" eb="104">
      <t>テキセツ</t>
    </rPh>
    <rPh sb="105" eb="107">
      <t>ハイスイ</t>
    </rPh>
    <phoneticPr fontId="21"/>
  </si>
  <si>
    <t>25年以上</t>
  </si>
  <si>
    <t>屋外露出ダクト、厨房排気ダクト、高湿系排気ダクトなど亜鉛鉄板では耐用年数が一般空調換気と比較して短くなると考えられる系統の90％以上の範囲にステンレスダクトやガルバリウムダクトなど長寿命化を図っている。</t>
    <rPh sb="0" eb="2">
      <t>オクガイ</t>
    </rPh>
    <rPh sb="2" eb="4">
      <t>ロシュツ</t>
    </rPh>
    <rPh sb="8" eb="10">
      <t>チュウボウ</t>
    </rPh>
    <rPh sb="10" eb="12">
      <t>ハイキ</t>
    </rPh>
    <rPh sb="16" eb="18">
      <t>コウシツ</t>
    </rPh>
    <rPh sb="18" eb="19">
      <t>ケイ</t>
    </rPh>
    <rPh sb="19" eb="21">
      <t>ハイキ</t>
    </rPh>
    <rPh sb="26" eb="28">
      <t>アエン</t>
    </rPh>
    <rPh sb="28" eb="30">
      <t>テッパン</t>
    </rPh>
    <rPh sb="32" eb="34">
      <t>タイヨウ</t>
    </rPh>
    <rPh sb="34" eb="36">
      <t>ネンスウ</t>
    </rPh>
    <rPh sb="37" eb="39">
      <t>イッパン</t>
    </rPh>
    <rPh sb="39" eb="41">
      <t>クウチョウ</t>
    </rPh>
    <rPh sb="41" eb="43">
      <t>カンキ</t>
    </rPh>
    <rPh sb="44" eb="46">
      <t>ヒカク</t>
    </rPh>
    <rPh sb="48" eb="49">
      <t>ミジカ</t>
    </rPh>
    <rPh sb="53" eb="54">
      <t>カンガ</t>
    </rPh>
    <rPh sb="58" eb="60">
      <t>ケイトウ</t>
    </rPh>
    <rPh sb="64" eb="66">
      <t>イジョウ</t>
    </rPh>
    <rPh sb="67" eb="69">
      <t>ハンイ</t>
    </rPh>
    <rPh sb="90" eb="91">
      <t>チョウ</t>
    </rPh>
    <rPh sb="91" eb="94">
      <t>ジュミョウカ</t>
    </rPh>
    <rPh sb="95" eb="96">
      <t>ハカ</t>
    </rPh>
    <phoneticPr fontId="21"/>
  </si>
  <si>
    <r>
      <t>*1</t>
    </r>
    <r>
      <rPr>
        <sz val="8"/>
        <rFont val="ＭＳ Ｐゴシック"/>
        <family val="3"/>
        <charset val="128"/>
      </rPr>
      <t xml:space="preserve">）規制基準は現行の値とし、現行基準以前に設置された施設についても現行の基準で評価する（昼間、朝・夕、夜間とも）。
</t>
    </r>
    <r>
      <rPr>
        <sz val="8"/>
        <rFont val="Arial"/>
        <family val="2"/>
      </rPr>
      <t>*2)</t>
    </r>
    <r>
      <rPr>
        <sz val="8"/>
        <rFont val="ＭＳ Ｐゴシック"/>
        <family val="3"/>
        <charset val="128"/>
      </rPr>
      <t>レベル５については、</t>
    </r>
    <r>
      <rPr>
        <sz val="8"/>
        <rFont val="Arial"/>
        <family val="2"/>
      </rPr>
      <t>[</t>
    </r>
    <r>
      <rPr>
        <sz val="8"/>
        <rFont val="ＭＳ Ｐゴシック"/>
        <family val="3"/>
        <charset val="128"/>
      </rPr>
      <t>現行の基準値－</t>
    </r>
    <r>
      <rPr>
        <sz val="8"/>
        <rFont val="Arial"/>
        <family val="2"/>
      </rPr>
      <t>10dB]</t>
    </r>
    <r>
      <rPr>
        <sz val="8"/>
        <rFont val="ＭＳ Ｐゴシック"/>
        <family val="3"/>
        <charset val="128"/>
      </rPr>
      <t>以下に抑えられている場合とする（昼間、朝・夕、夜間とも）。</t>
    </r>
    <phoneticPr fontId="21"/>
  </si>
  <si>
    <t>昼間（am8時～pm7時）、朝・夕（am6時～am8時、pm7時～pm10時）、夜間（pm10時～翌朝6時）のいずれの計測時も下記を満たしていること</t>
    <phoneticPr fontId="21"/>
  </si>
  <si>
    <t>昼間</t>
    <phoneticPr fontId="21"/>
  </si>
  <si>
    <t>朝・夕</t>
    <phoneticPr fontId="21"/>
  </si>
  <si>
    <t>夜間</t>
    <phoneticPr fontId="21"/>
  </si>
  <si>
    <t>50dB以下</t>
    <phoneticPr fontId="21"/>
  </si>
  <si>
    <t>35dB以下</t>
    <phoneticPr fontId="21"/>
  </si>
  <si>
    <t>30dB以下</t>
    <phoneticPr fontId="21"/>
  </si>
  <si>
    <t>昼間</t>
    <phoneticPr fontId="21"/>
  </si>
  <si>
    <t>朝・夕</t>
    <phoneticPr fontId="21"/>
  </si>
  <si>
    <t>夜間</t>
    <phoneticPr fontId="21"/>
  </si>
  <si>
    <r>
      <t xml:space="preserve">3.1.2 </t>
    </r>
    <r>
      <rPr>
        <b/>
        <sz val="10"/>
        <rFont val="ＭＳ Ｐゴシック"/>
        <family val="3"/>
        <charset val="128"/>
      </rPr>
      <t>振動</t>
    </r>
    <phoneticPr fontId="21"/>
  </si>
  <si>
    <t>①光ケーブル、メタルケーブル、携帯電話網、PHS網など、通信手段の多様化を図っている。</t>
    <phoneticPr fontId="21"/>
  </si>
  <si>
    <t>②異なる電話局からの引き込みなどの、引き込みの2ルート化を図っている。</t>
    <phoneticPr fontId="21"/>
  </si>
  <si>
    <r>
      <t xml:space="preserve">3.1.1 </t>
    </r>
    <r>
      <rPr>
        <b/>
        <sz val="10"/>
        <rFont val="ＭＳ Ｐゴシック"/>
        <family val="3"/>
        <charset val="128"/>
      </rPr>
      <t>階高のゆとり</t>
    </r>
    <phoneticPr fontId="21"/>
  </si>
  <si>
    <t>病・ホ</t>
    <phoneticPr fontId="21"/>
  </si>
  <si>
    <t>住</t>
    <phoneticPr fontId="21"/>
  </si>
  <si>
    <t>3.3ｍ未満</t>
    <phoneticPr fontId="21"/>
  </si>
  <si>
    <t>3.1ｍ未満</t>
    <phoneticPr fontId="21"/>
  </si>
  <si>
    <t>2.7ｍ未満</t>
    <phoneticPr fontId="21"/>
  </si>
  <si>
    <t>3.3ｍ以上、3.5ｍ未満</t>
    <phoneticPr fontId="21"/>
  </si>
  <si>
    <t>3.1ｍ以上、3.3ｍ未満</t>
    <phoneticPr fontId="21"/>
  </si>
  <si>
    <t>3.5ｍ以上、3.7ｍ未満</t>
    <phoneticPr fontId="21"/>
  </si>
  <si>
    <t>2.8ｍ以上、2.9ｍ未満</t>
    <phoneticPr fontId="21"/>
  </si>
  <si>
    <t>3.7ｍ以上、3.9ｍ未満</t>
    <phoneticPr fontId="21"/>
  </si>
  <si>
    <t>3.9ｍ以上</t>
    <phoneticPr fontId="21"/>
  </si>
  <si>
    <t>3.7ｍ以上</t>
    <phoneticPr fontId="21"/>
  </si>
  <si>
    <t>3.0ｍ以上</t>
    <phoneticPr fontId="21"/>
  </si>
  <si>
    <r>
      <t xml:space="preserve">3.1.2 </t>
    </r>
    <r>
      <rPr>
        <b/>
        <sz val="10"/>
        <rFont val="ＭＳ Ｐゴシック"/>
        <family val="3"/>
        <charset val="128"/>
      </rPr>
      <t>空間の形状・自由さ</t>
    </r>
    <phoneticPr fontId="21"/>
  </si>
  <si>
    <t>建物全体・共用部分</t>
    <phoneticPr fontId="21"/>
  </si>
  <si>
    <t>設備システムの高効率化</t>
    <rPh sb="0" eb="2">
      <t>セツビ</t>
    </rPh>
    <rPh sb="7" eb="11">
      <t>コウコウリツカ</t>
    </rPh>
    <phoneticPr fontId="21"/>
  </si>
  <si>
    <r>
      <t xml:space="preserve">1.1.3 </t>
    </r>
    <r>
      <rPr>
        <b/>
        <sz val="10"/>
        <rFont val="ＭＳ Ｐゴシック"/>
        <family val="3"/>
        <charset val="128"/>
      </rPr>
      <t>バリアフリー計画</t>
    </r>
    <rPh sb="12" eb="14">
      <t>ケイカク</t>
    </rPh>
    <phoneticPr fontId="21"/>
  </si>
  <si>
    <t>物・飲・会・病・ホ</t>
    <rPh sb="0" eb="1">
      <t>モノ</t>
    </rPh>
    <rPh sb="2" eb="3">
      <t>イン</t>
    </rPh>
    <rPh sb="4" eb="5">
      <t>カイ</t>
    </rPh>
    <rPh sb="6" eb="7">
      <t>ヤマイ</t>
    </rPh>
    <phoneticPr fontId="21"/>
  </si>
  <si>
    <t>事・学・工・住</t>
    <rPh sb="0" eb="1">
      <t>コト</t>
    </rPh>
    <rPh sb="2" eb="3">
      <t>ガク</t>
    </rPh>
    <phoneticPr fontId="21"/>
  </si>
  <si>
    <t>物・飲・会・病・ホ【&lt;2000㎡】</t>
    <rPh sb="0" eb="1">
      <t>モノ</t>
    </rPh>
    <rPh sb="2" eb="3">
      <t>イン</t>
    </rPh>
    <rPh sb="4" eb="5">
      <t>カイ</t>
    </rPh>
    <rPh sb="6" eb="7">
      <t>ヤマイ</t>
    </rPh>
    <phoneticPr fontId="21"/>
  </si>
  <si>
    <t>バリアフリー新法の建築物移動等円滑化基準項目の半分以上を満たしている。</t>
  </si>
  <si>
    <t>バリアフリー新法の建築物移動等円滑化基準（最低限のレベル）を満たしている。</t>
  </si>
  <si>
    <t>バリアフリー新法の建築物移動等円滑化誘導基準（望ましいレベル）を満たしている。</t>
  </si>
  <si>
    <t>心理性・快適性</t>
    <rPh sb="0" eb="2">
      <t>シンリ</t>
    </rPh>
    <rPh sb="2" eb="3">
      <t>セイ</t>
    </rPh>
    <rPh sb="4" eb="6">
      <t>カイテキ</t>
    </rPh>
    <rPh sb="6" eb="7">
      <t>セイ</t>
    </rPh>
    <phoneticPr fontId="21"/>
  </si>
  <si>
    <t>既存は事務所のみ評価</t>
    <rPh sb="0" eb="2">
      <t>キソン</t>
    </rPh>
    <rPh sb="3" eb="5">
      <t>ジム</t>
    </rPh>
    <rPh sb="5" eb="6">
      <t>ショ</t>
    </rPh>
    <rPh sb="8" eb="10">
      <t>ヒョウカ</t>
    </rPh>
    <phoneticPr fontId="21"/>
  </si>
  <si>
    <t>物・飲</t>
    <rPh sb="0" eb="1">
      <t>モノ</t>
    </rPh>
    <rPh sb="2" eb="3">
      <t>イン</t>
    </rPh>
    <phoneticPr fontId="21"/>
  </si>
  <si>
    <t>主要な用途上位3種の、2種類以上にB以上を使用し、Eは不使用。</t>
    <rPh sb="0" eb="2">
      <t>シュヨウ</t>
    </rPh>
    <rPh sb="3" eb="5">
      <t>ヨウト</t>
    </rPh>
    <rPh sb="5" eb="7">
      <t>ジョウイ</t>
    </rPh>
    <rPh sb="8" eb="9">
      <t>シュ</t>
    </rPh>
    <rPh sb="12" eb="16">
      <t>シュルイイジョウ</t>
    </rPh>
    <rPh sb="18" eb="20">
      <t>イジョウ</t>
    </rPh>
    <rPh sb="21" eb="23">
      <t>シヨウ</t>
    </rPh>
    <rPh sb="27" eb="30">
      <t>フシヨウ</t>
    </rPh>
    <phoneticPr fontId="21"/>
  </si>
  <si>
    <t>３０年以上</t>
  </si>
  <si>
    <t>既存で評価</t>
    <rPh sb="0" eb="2">
      <t>キソン</t>
    </rPh>
    <rPh sb="3" eb="5">
      <t>ヒョウカ</t>
    </rPh>
    <phoneticPr fontId="21"/>
  </si>
  <si>
    <t>メンテナンス記録がなく判定不可能。</t>
  </si>
  <si>
    <t>全て耐用年数を超えている。</t>
  </si>
  <si>
    <t>全て耐用年数以内である。</t>
  </si>
  <si>
    <t>空調居住域の上下温度差、気流速度の目標値をおおよそ4℃以内、0.4m/s程度に設定している。トイレ・浴室などを含めた非空調部分でもスポット的空調対応が可能で、室間温度差を軽減することができる。</t>
    <phoneticPr fontId="21"/>
  </si>
  <si>
    <r>
      <t>居住域の上下温度差や気流速度が少なくなるように配慮された空調方式</t>
    </r>
    <r>
      <rPr>
        <vertAlign val="superscript"/>
        <sz val="9"/>
        <rFont val="ＭＳ Ｐゴシック"/>
        <family val="3"/>
        <charset val="128"/>
      </rPr>
      <t>＊</t>
    </r>
    <r>
      <rPr>
        <sz val="9"/>
        <rFont val="ＭＳ Ｐゴシック"/>
        <family val="3"/>
        <charset val="128"/>
      </rPr>
      <t>が採用されている。あるいは、その他の空調方式で、上下温度差および気流速度の目標値をおおよそ2℃以内、0.15m/s程度に設定している。</t>
    </r>
    <rPh sb="49" eb="50">
      <t>タ</t>
    </rPh>
    <rPh sb="51" eb="53">
      <t>クウチョウ</t>
    </rPh>
    <rPh sb="53" eb="55">
      <t>ホウシキ</t>
    </rPh>
    <phoneticPr fontId="21"/>
  </si>
  <si>
    <t>居住域の上下温度差や気流速度が少なくなるように配慮された空調方式＊が採用されている。上下温度差および気流速度の目標値をおおよそ2℃以内、0.15m/s程度に設定している。</t>
    <phoneticPr fontId="21"/>
  </si>
  <si>
    <t>空調居住域の上下温度差、気流速度の目標値をおおよそ2℃以内、0.2m/s程度に設定している。トイレ・浴室などを含めた全室が空調可能とし、室間温度差を無くすことができる。</t>
    <phoneticPr fontId="21"/>
  </si>
  <si>
    <t>＊　例えば、天井・床輻射冷暖房方式や床吹出し方式などを指す。</t>
    <phoneticPr fontId="21"/>
  </si>
  <si>
    <t>建物全体・共用部分</t>
    <phoneticPr fontId="21"/>
  </si>
  <si>
    <t>5℃＜ [上下温度差]</t>
    <phoneticPr fontId="21"/>
  </si>
  <si>
    <t>2℃＜ [上下温度差] ≦5℃</t>
    <phoneticPr fontId="21"/>
  </si>
  <si>
    <t>[昼光率] ＜0.5％</t>
    <phoneticPr fontId="21"/>
  </si>
  <si>
    <t>0.75％≦ [昼光率] ＜1.0％</t>
    <phoneticPr fontId="21"/>
  </si>
  <si>
    <t>集合住宅の評価</t>
    <rPh sb="0" eb="2">
      <t>シュウゴウ</t>
    </rPh>
    <rPh sb="2" eb="4">
      <t>ジュウタク</t>
    </rPh>
    <rPh sb="5" eb="7">
      <t>ヒョウカ</t>
    </rPh>
    <phoneticPr fontId="21"/>
  </si>
  <si>
    <t>LR2</t>
  </si>
  <si>
    <t>LR3</t>
  </si>
  <si>
    <t>〃</t>
  </si>
  <si>
    <t>代表的な資材の環境負荷</t>
    <rPh sb="0" eb="3">
      <t>ダイヒョウテキ</t>
    </rPh>
    <rPh sb="4" eb="6">
      <t>シザイ</t>
    </rPh>
    <rPh sb="7" eb="9">
      <t>カンキョウ</t>
    </rPh>
    <rPh sb="9" eb="11">
      <t>フカ</t>
    </rPh>
    <phoneticPr fontId="21"/>
  </si>
  <si>
    <t>建設
段階</t>
    <rPh sb="0" eb="2">
      <t>ケンセツ</t>
    </rPh>
    <rPh sb="3" eb="5">
      <t>ダンカイ</t>
    </rPh>
    <phoneticPr fontId="21"/>
  </si>
  <si>
    <r>
      <t>エンボディドCO</t>
    </r>
    <r>
      <rPr>
        <vertAlign val="subscript"/>
        <sz val="10"/>
        <rFont val="ＭＳ Ｐゴシック"/>
        <family val="3"/>
        <charset val="128"/>
      </rPr>
      <t>2</t>
    </r>
    <r>
      <rPr>
        <sz val="10"/>
        <rFont val="ＭＳ Ｐゴシック"/>
        <family val="3"/>
        <charset val="128"/>
      </rPr>
      <t>の
算定方法</t>
    </r>
    <rPh sb="11" eb="13">
      <t>サンテイ</t>
    </rPh>
    <rPh sb="13" eb="15">
      <t>ホウホウ</t>
    </rPh>
    <phoneticPr fontId="21"/>
  </si>
  <si>
    <t>左記からの、リサイクル建材の採用による削減量を推定して算定</t>
    <rPh sb="0" eb="2">
      <t>サキ</t>
    </rPh>
    <rPh sb="11" eb="13">
      <t>ケンザイ</t>
    </rPh>
    <rPh sb="14" eb="16">
      <t>サイヨウ</t>
    </rPh>
    <rPh sb="19" eb="21">
      <t>サクゲン</t>
    </rPh>
    <rPh sb="21" eb="22">
      <t>リョウ</t>
    </rPh>
    <rPh sb="23" eb="25">
      <t>スイテイ</t>
    </rPh>
    <rPh sb="27" eb="29">
      <t>サンテイ</t>
    </rPh>
    <phoneticPr fontId="21"/>
  </si>
  <si>
    <r>
      <t>CO</t>
    </r>
    <r>
      <rPr>
        <vertAlign val="subscript"/>
        <sz val="10"/>
        <rFont val="ＭＳ Ｐゴシック"/>
        <family val="3"/>
        <charset val="128"/>
      </rPr>
      <t>2</t>
    </r>
    <r>
      <rPr>
        <sz val="10"/>
        <rFont val="ＭＳ Ｐゴシック"/>
        <family val="3"/>
        <charset val="128"/>
      </rPr>
      <t>排出量原単位の
出典</t>
    </r>
    <rPh sb="3" eb="5">
      <t>ハイシュツ</t>
    </rPh>
    <rPh sb="5" eb="6">
      <t>リョウ</t>
    </rPh>
    <rPh sb="6" eb="9">
      <t>ゲンタンイ</t>
    </rPh>
    <rPh sb="11" eb="13">
      <t>シュッテン</t>
    </rPh>
    <phoneticPr fontId="21"/>
  </si>
  <si>
    <t>住まい方の提示</t>
    <rPh sb="5" eb="7">
      <t>テイジ</t>
    </rPh>
    <phoneticPr fontId="3"/>
  </si>
  <si>
    <t>エネルギーの管理と制御</t>
  </si>
  <si>
    <t>取組みなし。</t>
  </si>
  <si>
    <t>設備毎の取扱説明書が居住者に手渡されている。</t>
  </si>
  <si>
    <t>レベル３に加え、省エネに関する住まい方について一般的な説明がすまい手になされている。</t>
    <rPh sb="5" eb="6">
      <t>クワ</t>
    </rPh>
    <phoneticPr fontId="21"/>
  </si>
  <si>
    <t>レベル３に加え、当該住宅に採用された設備や仕様に関して、個別の建物・生活スタイルごとに対応した適切な説明がすまい手になされている。</t>
    <rPh sb="5" eb="6">
      <t>クワ</t>
    </rPh>
    <phoneticPr fontId="21"/>
  </si>
  <si>
    <t>4.1.1</t>
    <phoneticPr fontId="21"/>
  </si>
  <si>
    <t>4.1.2</t>
    <phoneticPr fontId="21"/>
  </si>
  <si>
    <t>4.2.1</t>
    <phoneticPr fontId="21"/>
  </si>
  <si>
    <t>4.2.2</t>
    <phoneticPr fontId="21"/>
  </si>
  <si>
    <t>LR1 4.1</t>
    <phoneticPr fontId="21"/>
  </si>
  <si>
    <t>LR1 4.1</t>
    <phoneticPr fontId="21"/>
  </si>
  <si>
    <t>LR1 4.2</t>
    <phoneticPr fontId="21"/>
  </si>
  <si>
    <t>住宅以外の評価</t>
    <rPh sb="0" eb="2">
      <t>じゅうたく</t>
    </rPh>
    <rPh sb="2" eb="4">
      <t>いがい</t>
    </rPh>
    <rPh sb="5" eb="7">
      <t>ひょうか</t>
    </rPh>
    <phoneticPr fontId="34" type="noConversion"/>
  </si>
  <si>
    <t>住宅の評価</t>
    <rPh sb="0" eb="2">
      <t>じゅうたく</t>
    </rPh>
    <rPh sb="3" eb="5">
      <t>ひょうか</t>
    </rPh>
    <phoneticPr fontId="34" type="noConversion"/>
  </si>
  <si>
    <t>躯体材料以外におけるリサイクル材の使用</t>
  </si>
  <si>
    <t>LPG</t>
  </si>
  <si>
    <t>LPG</t>
    <phoneticPr fontId="21"/>
  </si>
  <si>
    <t>kg-CO2/MJ</t>
    <phoneticPr fontId="21"/>
  </si>
  <si>
    <t>⑩　天井隠蔽機器の点検口は600mm×600mm以上としている。</t>
    <phoneticPr fontId="21"/>
  </si>
  <si>
    <t>⑫　専用部以外の諸設備は共用部での維持管理作業が可能となっている。</t>
    <phoneticPr fontId="21"/>
  </si>
  <si>
    <t>⑪　専用部以外の諸設備は共用部での維持管理作業が可能となっている。</t>
    <phoneticPr fontId="21"/>
  </si>
  <si>
    <t>⑬　上記以外に維持管理用機能の確保を考慮したポイントを明確にし、実施している。</t>
    <phoneticPr fontId="21"/>
  </si>
  <si>
    <t>⑫　上記以外に維持管理用機能の確保を考慮したポイントを明確にし、実施している。</t>
    <phoneticPr fontId="21"/>
  </si>
  <si>
    <t>合計＝</t>
    <phoneticPr fontId="21"/>
  </si>
  <si>
    <t>（１）</t>
    <phoneticPr fontId="1"/>
  </si>
  <si>
    <t>（２）</t>
    <phoneticPr fontId="1"/>
  </si>
  <si>
    <t>（３）</t>
    <phoneticPr fontId="1"/>
  </si>
  <si>
    <t>延床面積比率</t>
    <rPh sb="0" eb="4">
      <t>ノベユカメンセキ</t>
    </rPh>
    <rPh sb="4" eb="6">
      <t>ヒリツ</t>
    </rPh>
    <phoneticPr fontId="21"/>
  </si>
  <si>
    <t>ﾚﾍﾞﾙ３</t>
  </si>
  <si>
    <t>ﾚﾍﾞﾙ４</t>
  </si>
  <si>
    <t>ﾚﾍﾞﾙ５</t>
  </si>
  <si>
    <t>同一フロアで、売り場・テナント用に細かくゾーニングがなされており、それを細かく監視するために制御センサとは別に複数の監視・計測用センサがある監視システムが設置されている。</t>
    <phoneticPr fontId="21"/>
  </si>
  <si>
    <t>建物全体・共用部分</t>
    <phoneticPr fontId="21"/>
  </si>
  <si>
    <t>住</t>
    <phoneticPr fontId="21"/>
  </si>
  <si>
    <t>レベル３を満たさない。</t>
    <phoneticPr fontId="21"/>
  </si>
  <si>
    <t>加湿機能を有し、かつ一般的な冬期40％、夏期50％の設定で計画されている。</t>
    <phoneticPr fontId="21"/>
  </si>
  <si>
    <t>加湿機能を有し、かつ一般的な冬期40～70％、夏期50～65％。の範囲で計画されている。　　　　　　　　　　</t>
    <phoneticPr fontId="21"/>
  </si>
  <si>
    <t>評価する取組み表の評価ポイントの合計値が1ポイント</t>
    <phoneticPr fontId="21"/>
  </si>
  <si>
    <t>評価する取組み表の評価ポイントの合計値が2ポイント</t>
    <phoneticPr fontId="21"/>
  </si>
  <si>
    <t>評価する取組み表の評価ポイントの合計値が3ポイント</t>
    <phoneticPr fontId="21"/>
  </si>
  <si>
    <t>評価する取組み表の評価ポイントの合計値が4ポイント以上</t>
    <phoneticPr fontId="21"/>
  </si>
  <si>
    <t>I 自転車の利用（代替交通手段の利用）に関する取組み</t>
    <phoneticPr fontId="21"/>
  </si>
  <si>
    <t>1) 建物利用者のための適切な量の自転車置場（バイク置場を含む）の確保、駐輪場利用者の利便性への配慮（出し入れし易さ、利用し易い位置にあるなど）</t>
    <phoneticPr fontId="21"/>
  </si>
  <si>
    <t>2) その他（記述）</t>
    <phoneticPr fontId="21"/>
  </si>
  <si>
    <t>II 駐車場の確保に関する取組み</t>
    <phoneticPr fontId="21"/>
  </si>
  <si>
    <t>1) 適切な量の駐車スペースの確保（周辺道路に渋滞や路上駐車などを発生させないための措置として）</t>
    <phoneticPr fontId="21"/>
  </si>
  <si>
    <t>2) 管理用車両や荷捌き用車両の駐車施設の確保</t>
    <rPh sb="3" eb="6">
      <t>カンリヨウ</t>
    </rPh>
    <rPh sb="6" eb="8">
      <t>シャリョウ</t>
    </rPh>
    <phoneticPr fontId="21"/>
  </si>
  <si>
    <t>3) 駐車場の導入路（出入り口など）の位置や形状・数への配慮（周辺道路の渋滞緩和に資するもの）</t>
    <phoneticPr fontId="21"/>
  </si>
  <si>
    <t>4) その他（記述）</t>
    <phoneticPr fontId="21"/>
  </si>
  <si>
    <t>評価する取組み表の評価ポイントの合計値が1ポイント以下</t>
    <phoneticPr fontId="21"/>
  </si>
  <si>
    <t>評価する取組み表の評価ポイントの合計値が0ポイント</t>
    <phoneticPr fontId="21"/>
  </si>
  <si>
    <t>評価する取組み表の評価ポイントの合計値が2ポイント</t>
    <phoneticPr fontId="21"/>
  </si>
  <si>
    <t>評価する取組み表の評価ポイントの合計値が1ポイント</t>
    <phoneticPr fontId="21"/>
  </si>
  <si>
    <t>室内空調機からの騒音</t>
    <rPh sb="8" eb="10">
      <t>ソウオン</t>
    </rPh>
    <phoneticPr fontId="21"/>
  </si>
  <si>
    <t>防音カバー、位置など</t>
  </si>
  <si>
    <t>主要な用途上位3種の、2種類以上にC以上を使用</t>
    <rPh sb="0" eb="2">
      <t>シュヨウ</t>
    </rPh>
    <rPh sb="3" eb="5">
      <t>ヨウト</t>
    </rPh>
    <rPh sb="5" eb="7">
      <t>ジョウイ</t>
    </rPh>
    <rPh sb="8" eb="9">
      <t>シュ</t>
    </rPh>
    <rPh sb="12" eb="16">
      <t>シュルイイジョウ</t>
    </rPh>
    <rPh sb="18" eb="20">
      <t>イジョウ</t>
    </rPh>
    <rPh sb="21" eb="23">
      <t>シヨウ</t>
    </rPh>
    <phoneticPr fontId="21"/>
  </si>
  <si>
    <t>１６年以上～３０年未満</t>
  </si>
  <si>
    <t>外気がレタンと混合されず、各室の必要外気量が直接各室に供給されている等、各室の負荷条件によらず、必要な場所に必要な外気量が保証されるシステムとなっている。</t>
    <phoneticPr fontId="21"/>
  </si>
  <si>
    <r>
      <t>4.3.1 CO</t>
    </r>
    <r>
      <rPr>
        <b/>
        <vertAlign val="subscript"/>
        <sz val="10"/>
        <rFont val="Arial"/>
        <family val="2"/>
      </rPr>
      <t>2</t>
    </r>
    <r>
      <rPr>
        <b/>
        <sz val="10"/>
        <rFont val="ＭＳ Ｐゴシック"/>
        <family val="3"/>
        <charset val="128"/>
      </rPr>
      <t>の監視</t>
    </r>
    <rPh sb="10" eb="12">
      <t>カンシ</t>
    </rPh>
    <phoneticPr fontId="21"/>
  </si>
  <si>
    <t>建物全体・共用部分</t>
    <phoneticPr fontId="21"/>
  </si>
  <si>
    <r>
      <t>CO</t>
    </r>
    <r>
      <rPr>
        <vertAlign val="subscript"/>
        <sz val="9"/>
        <rFont val="ＭＳ Ｐゴシック"/>
        <family val="3"/>
        <charset val="128"/>
      </rPr>
      <t>2</t>
    </r>
    <r>
      <rPr>
        <sz val="9"/>
        <rFont val="ＭＳ Ｐゴシック"/>
        <family val="3"/>
        <charset val="128"/>
      </rPr>
      <t>監視が中央で常時行えるシステムとなっている。かつ、空気質を適正に維持するための管理マニュアル等が整備されており、有効に機能している。</t>
    </r>
    <phoneticPr fontId="21"/>
  </si>
  <si>
    <r>
      <t>Q2</t>
    </r>
    <r>
      <rPr>
        <b/>
        <sz val="14"/>
        <rFont val="ＭＳ Ｐゴシック"/>
        <family val="3"/>
        <charset val="128"/>
      </rPr>
      <t>　サービス性能</t>
    </r>
    <rPh sb="7" eb="9">
      <t>セイノウ</t>
    </rPh>
    <phoneticPr fontId="21"/>
  </si>
  <si>
    <t>はい</t>
    <phoneticPr fontId="21"/>
  </si>
  <si>
    <t>いいえ</t>
    <phoneticPr fontId="21"/>
  </si>
  <si>
    <t>ホ</t>
    <phoneticPr fontId="21"/>
  </si>
  <si>
    <t>　レベル　1</t>
    <phoneticPr fontId="21"/>
  </si>
  <si>
    <t>若干の対策を行っている（評価する取組みにおいて2項目以上を採用）</t>
  </si>
  <si>
    <t>対策を行っている（評価する取組みにおいて4項目以上を採用）</t>
  </si>
  <si>
    <t>対策を行っている（評価する取組みにおいて2～3項目以上を採用）</t>
  </si>
  <si>
    <t>やや高度な対策を行っている（評価する取組みにおいて6項目以上を採用）</t>
  </si>
  <si>
    <t>高度な対策を行っている（評価する取組みにおいて全ての項目を採用）</t>
  </si>
  <si>
    <t>A.住宅以外の建築物における設備騒音対策の評価する取組み</t>
    <rPh sb="2" eb="4">
      <t>ジュウタク</t>
    </rPh>
    <rPh sb="4" eb="6">
      <t>イガイ</t>
    </rPh>
    <rPh sb="7" eb="10">
      <t>ケンチクブツ</t>
    </rPh>
    <rPh sb="14" eb="16">
      <t>セツビ</t>
    </rPh>
    <rPh sb="16" eb="18">
      <t>ソウオン</t>
    </rPh>
    <rPh sb="18" eb="20">
      <t>タイサク</t>
    </rPh>
    <rPh sb="21" eb="23">
      <t>ヒョウカ</t>
    </rPh>
    <rPh sb="25" eb="26">
      <t>ト</t>
    </rPh>
    <rPh sb="26" eb="27">
      <t>ク</t>
    </rPh>
    <phoneticPr fontId="21"/>
  </si>
  <si>
    <t>2,000㎡未満の基準で評価する。</t>
    <rPh sb="6" eb="8">
      <t>ミマン</t>
    </rPh>
    <rPh sb="9" eb="11">
      <t>キジュン</t>
    </rPh>
    <rPh sb="12" eb="14">
      <t>ヒョウカ</t>
    </rPh>
    <phoneticPr fontId="21"/>
  </si>
  <si>
    <t>評価対象外</t>
    <rPh sb="0" eb="2">
      <t>ヒョウカ</t>
    </rPh>
    <rPh sb="2" eb="4">
      <t>タイショウ</t>
    </rPh>
    <rPh sb="4" eb="5">
      <t>ガイ</t>
    </rPh>
    <phoneticPr fontId="21"/>
  </si>
  <si>
    <t>■レベル　1</t>
    <phoneticPr fontId="21"/>
  </si>
  <si>
    <t>レベル</t>
    <phoneticPr fontId="21"/>
  </si>
  <si>
    <t>ビル用マルチCOP評価</t>
  </si>
  <si>
    <t>個別分散空調システムの効率評価</t>
  </si>
  <si>
    <t>変風量制御の評価</t>
  </si>
  <si>
    <t>各種制御の評価</t>
  </si>
  <si>
    <t>昼光利用、人感センサーなどによる削減エネルギー量</t>
  </si>
  <si>
    <t>その他</t>
  </si>
  <si>
    <t>CGS評価</t>
  </si>
  <si>
    <t>各種連携制御</t>
    <rPh sb="0" eb="2">
      <t>カクシュ</t>
    </rPh>
    <rPh sb="2" eb="4">
      <t>レンケイ</t>
    </rPh>
    <rPh sb="4" eb="6">
      <t>セイギョ</t>
    </rPh>
    <phoneticPr fontId="21"/>
  </si>
  <si>
    <r>
      <t>ＯＡフロア等によりレイアウト変更に対応できるようになっており、かつＯＡ機器用コンセント容量が30ＶＡ/ｍ</t>
    </r>
    <r>
      <rPr>
        <vertAlign val="superscript"/>
        <sz val="9"/>
        <rFont val="ＭＳ Ｐゴシック"/>
        <family val="3"/>
        <charset val="128"/>
      </rPr>
      <t>2</t>
    </r>
    <r>
      <rPr>
        <sz val="9"/>
        <rFont val="ＭＳ Ｐゴシック"/>
        <family val="3"/>
        <charset val="128"/>
      </rPr>
      <t>以上となっている。加えて、通信に関しては、ビル内へ光ファイバーが引き込まれている。</t>
    </r>
    <phoneticPr fontId="21"/>
  </si>
  <si>
    <t>居室面積の1/8以上の開閉可能な窓を確保している。</t>
  </si>
  <si>
    <t>3.2.3</t>
    <phoneticPr fontId="21"/>
  </si>
  <si>
    <t>LR3</t>
    <phoneticPr fontId="34" type="noConversion"/>
  </si>
  <si>
    <t>LR</t>
    <phoneticPr fontId="21"/>
  </si>
  <si>
    <t>敷地外環境</t>
    <phoneticPr fontId="21"/>
  </si>
  <si>
    <t>2.1</t>
    <phoneticPr fontId="21"/>
  </si>
  <si>
    <t>2.1</t>
    <phoneticPr fontId="21"/>
  </si>
  <si>
    <t>2.2</t>
    <phoneticPr fontId="21"/>
  </si>
  <si>
    <t>2.3</t>
    <phoneticPr fontId="21"/>
  </si>
  <si>
    <t>2.3</t>
    <phoneticPr fontId="21"/>
  </si>
  <si>
    <t>2.3.1</t>
    <phoneticPr fontId="21"/>
  </si>
  <si>
    <t>2.3.2</t>
    <phoneticPr fontId="21"/>
  </si>
  <si>
    <t>2.3.3</t>
    <phoneticPr fontId="21"/>
  </si>
  <si>
    <t>2.3.3</t>
    <phoneticPr fontId="21"/>
  </si>
  <si>
    <t>2.3.4</t>
    <phoneticPr fontId="21"/>
  </si>
  <si>
    <t>2.3.4</t>
    <phoneticPr fontId="21"/>
  </si>
  <si>
    <t>3.1</t>
    <phoneticPr fontId="21"/>
  </si>
  <si>
    <t>3.1</t>
    <phoneticPr fontId="21"/>
  </si>
  <si>
    <t>3.1.1</t>
    <phoneticPr fontId="21"/>
  </si>
  <si>
    <t>3.1.1</t>
    <phoneticPr fontId="21"/>
  </si>
  <si>
    <t>3.1.2</t>
    <phoneticPr fontId="21"/>
  </si>
  <si>
    <t>3.1.3</t>
    <phoneticPr fontId="21"/>
  </si>
  <si>
    <t>3.2</t>
    <phoneticPr fontId="21"/>
  </si>
  <si>
    <t>風害、日照阻害の抑制</t>
    <phoneticPr fontId="34" type="noConversion"/>
  </si>
  <si>
    <t>3.2.1</t>
    <phoneticPr fontId="21"/>
  </si>
  <si>
    <t>風害の抑制</t>
    <phoneticPr fontId="34" type="noConversion"/>
  </si>
  <si>
    <t>3.2.2</t>
    <phoneticPr fontId="21"/>
  </si>
  <si>
    <t>LR3 3.2</t>
    <phoneticPr fontId="21"/>
  </si>
  <si>
    <t>3.2.3</t>
    <phoneticPr fontId="21"/>
  </si>
  <si>
    <t>3.3</t>
    <phoneticPr fontId="21"/>
  </si>
  <si>
    <t>3.3.1</t>
    <phoneticPr fontId="21"/>
  </si>
  <si>
    <t>屋外照明及び屋内照明のうち外に漏れる光への対策</t>
    <phoneticPr fontId="34" type="noConversion"/>
  </si>
  <si>
    <t>レベル</t>
    <phoneticPr fontId="21"/>
  </si>
  <si>
    <t>２０</t>
    <phoneticPr fontId="21"/>
  </si>
  <si>
    <t>２５</t>
    <phoneticPr fontId="21"/>
  </si>
  <si>
    <t>３０</t>
    <phoneticPr fontId="21"/>
  </si>
  <si>
    <t>３５</t>
    <phoneticPr fontId="21"/>
  </si>
  <si>
    <t>４０</t>
    <phoneticPr fontId="21"/>
  </si>
  <si>
    <t>４５</t>
    <phoneticPr fontId="21"/>
  </si>
  <si>
    <t>５０</t>
    <phoneticPr fontId="21"/>
  </si>
  <si>
    <t>５５</t>
    <phoneticPr fontId="21"/>
  </si>
  <si>
    <t>６０</t>
    <phoneticPr fontId="21"/>
  </si>
  <si>
    <t>ＮＣ～ＮＲ</t>
    <phoneticPr fontId="21"/>
  </si>
  <si>
    <t>１０～１５</t>
    <phoneticPr fontId="21"/>
  </si>
  <si>
    <t>１５～２０</t>
    <phoneticPr fontId="21"/>
  </si>
  <si>
    <t>２０～２５</t>
    <phoneticPr fontId="21"/>
  </si>
  <si>
    <t xml:space="preserve"> 小学校、中学校、高等学校、大学、高等専門学校、専修学校、各種学校 など</t>
    <rPh sb="1" eb="4">
      <t>ショウガッコウ</t>
    </rPh>
    <rPh sb="5" eb="8">
      <t>チュウガッコウ</t>
    </rPh>
    <rPh sb="9" eb="11">
      <t>コウトウ</t>
    </rPh>
    <rPh sb="11" eb="13">
      <t>ガッコウ</t>
    </rPh>
    <rPh sb="14" eb="16">
      <t>ダイガク</t>
    </rPh>
    <rPh sb="17" eb="19">
      <t>コウトウ</t>
    </rPh>
    <rPh sb="19" eb="21">
      <t>センモン</t>
    </rPh>
    <rPh sb="21" eb="23">
      <t>ガッコウ</t>
    </rPh>
    <rPh sb="24" eb="26">
      <t>センシュウ</t>
    </rPh>
    <rPh sb="26" eb="28">
      <t>ガッコウ</t>
    </rPh>
    <rPh sb="29" eb="31">
      <t>カクシュ</t>
    </rPh>
    <rPh sb="31" eb="33">
      <t>ガッコウ</t>
    </rPh>
    <phoneticPr fontId="21"/>
  </si>
  <si>
    <t>評価内容</t>
    <rPh sb="0" eb="2">
      <t>ヒョウカ</t>
    </rPh>
    <rPh sb="2" eb="4">
      <t>ナイヨウ</t>
    </rPh>
    <phoneticPr fontId="21"/>
  </si>
  <si>
    <t>②　内装仕上げ：床面は防汚性の高い建材、塗装、コーティングを採用している。</t>
  </si>
  <si>
    <t>④　内装設計：内壁や床面おいて設計上ホコリの溜まりにくい設計や物を置かない設計を採用している。</t>
  </si>
  <si>
    <t>⑥　内装設計：維持管理方法が大きく異なる床材を接近させていない。</t>
    <rPh sb="14" eb="15">
      <t>オオ</t>
    </rPh>
    <phoneticPr fontId="21"/>
  </si>
  <si>
    <t>⑧　外装設計：効果的に水切りなどを外壁面へ設置し、乾湿の作用を防止する、水の溜まらない、壁面が汚れないような配慮・設計を行っている。</t>
    <rPh sb="25" eb="27">
      <t>カンシツ</t>
    </rPh>
    <rPh sb="28" eb="30">
      <t>サヨウ</t>
    </rPh>
    <rPh sb="31" eb="33">
      <t>ボウシ</t>
    </rPh>
    <rPh sb="36" eb="37">
      <t>ミズ</t>
    </rPh>
    <rPh sb="38" eb="39">
      <t>タマ</t>
    </rPh>
    <rPh sb="57" eb="59">
      <t>セッケイ</t>
    </rPh>
    <phoneticPr fontId="21"/>
  </si>
  <si>
    <t>⑩　外装設計：外部に露出する金属部材にメッキ処理等の特別な防錆対策が取られている。</t>
  </si>
  <si>
    <t>⑪　内装・外構設計：外構、管理用区域を含む動線は極力段差の無い（５mm程度）設計をしている。</t>
  </si>
  <si>
    <t>評価項目</t>
    <rPh sb="0" eb="2">
      <t>ヒョウカ</t>
    </rPh>
    <rPh sb="2" eb="4">
      <t>コウモク</t>
    </rPh>
    <phoneticPr fontId="21"/>
  </si>
  <si>
    <t>評価ポイント</t>
    <rPh sb="0" eb="2">
      <t>ヒョウカ</t>
    </rPh>
    <phoneticPr fontId="21"/>
  </si>
  <si>
    <t>4) 感染症対策</t>
    <rPh sb="3" eb="6">
      <t>カンセンショウ</t>
    </rPh>
    <rPh sb="6" eb="8">
      <t>タイサク</t>
    </rPh>
    <phoneticPr fontId="21"/>
  </si>
  <si>
    <t>⑤　廃棄物・リサイクル・粗大ゴミのスペースを建物の延床面積に対し、十分に確保しており、かつ、搬出が容易な計画となっている。</t>
    <rPh sb="22" eb="24">
      <t>タテモノ</t>
    </rPh>
    <phoneticPr fontId="21"/>
  </si>
  <si>
    <t>④　廃棄物のスペースを確保しており、搬出も容易な計画となっている。</t>
    <rPh sb="2" eb="5">
      <t>ハイキブツ</t>
    </rPh>
    <rPh sb="11" eb="13">
      <t>カクホ</t>
    </rPh>
    <rPh sb="18" eb="20">
      <t>ハンシュツ</t>
    </rPh>
    <rPh sb="21" eb="23">
      <t>ヨウイ</t>
    </rPh>
    <rPh sb="24" eb="26">
      <t>ケイカク</t>
    </rPh>
    <phoneticPr fontId="21"/>
  </si>
  <si>
    <t>　　標準計算に用いる電力の排出係数（設定値）</t>
    <rPh sb="2" eb="4">
      <t>ヒョウジュン</t>
    </rPh>
    <rPh sb="4" eb="6">
      <t>ケイサン</t>
    </rPh>
    <rPh sb="7" eb="8">
      <t>モチ</t>
    </rPh>
    <rPh sb="10" eb="12">
      <t>デンリョク</t>
    </rPh>
    <rPh sb="13" eb="15">
      <t>ハイシュツ</t>
    </rPh>
    <rPh sb="15" eb="17">
      <t>ケイスウ</t>
    </rPh>
    <rPh sb="18" eb="20">
      <t>セッテイ</t>
    </rPh>
    <rPh sb="20" eb="21">
      <t>チ</t>
    </rPh>
    <phoneticPr fontId="21"/>
  </si>
  <si>
    <t>←オプションボタン番号</t>
    <rPh sb="9" eb="11">
      <t>バンゴウ</t>
    </rPh>
    <phoneticPr fontId="21"/>
  </si>
  <si>
    <t>電力事業社名/根拠等</t>
    <rPh sb="0" eb="2">
      <t>デンリョク</t>
    </rPh>
    <rPh sb="2" eb="4">
      <t>ジギョウ</t>
    </rPh>
    <rPh sb="4" eb="6">
      <t>シャメイ</t>
    </rPh>
    <rPh sb="7" eb="9">
      <t>コンキョ</t>
    </rPh>
    <rPh sb="9" eb="10">
      <t>トウ</t>
    </rPh>
    <phoneticPr fontId="21"/>
  </si>
  <si>
    <t>排出係数</t>
    <rPh sb="0" eb="2">
      <t>ハイシュツ</t>
    </rPh>
    <rPh sb="2" eb="4">
      <t>ケイスウ</t>
    </rPh>
    <phoneticPr fontId="21"/>
  </si>
  <si>
    <t>↓事業社名</t>
    <rPh sb="1" eb="3">
      <t>ジギョウ</t>
    </rPh>
    <rPh sb="3" eb="5">
      <t>シャメイ</t>
    </rPh>
    <phoneticPr fontId="21"/>
  </si>
  <si>
    <t>↓排出係数</t>
    <rPh sb="1" eb="3">
      <t>ハイシュツ</t>
    </rPh>
    <rPh sb="3" eb="5">
      <t>ケイスウ</t>
    </rPh>
    <phoneticPr fontId="21"/>
  </si>
  <si>
    <t>排出係数</t>
    <phoneticPr fontId="21"/>
  </si>
  <si>
    <r>
      <t>kg-CO</t>
    </r>
    <r>
      <rPr>
        <vertAlign val="subscript"/>
        <sz val="10"/>
        <rFont val="ＭＳ Ｐゴシック"/>
        <family val="3"/>
        <charset val="128"/>
      </rPr>
      <t>2</t>
    </r>
    <r>
      <rPr>
        <sz val="10"/>
        <rFont val="ＭＳ Ｐゴシック"/>
        <family val="3"/>
        <charset val="128"/>
      </rPr>
      <t>/MJ</t>
    </r>
    <phoneticPr fontId="21"/>
  </si>
  <si>
    <t>住宅　共用部</t>
    <rPh sb="0" eb="2">
      <t>ジュウタク</t>
    </rPh>
    <rPh sb="3" eb="6">
      <t>キョウヨウブ</t>
    </rPh>
    <phoneticPr fontId="21"/>
  </si>
  <si>
    <t>一次エネ消費量　GJ/年</t>
    <phoneticPr fontId="21"/>
  </si>
  <si>
    <t>評価建物②</t>
    <rPh sb="0" eb="2">
      <t>ヒョウカ</t>
    </rPh>
    <rPh sb="2" eb="4">
      <t>タテモノ</t>
    </rPh>
    <phoneticPr fontId="21"/>
  </si>
  <si>
    <t>参照建物①</t>
    <rPh sb="0" eb="2">
      <t>サンショウ</t>
    </rPh>
    <rPh sb="2" eb="4">
      <t>タテモノ</t>
    </rPh>
    <phoneticPr fontId="21"/>
  </si>
  <si>
    <t>評価建物③</t>
    <rPh sb="0" eb="2">
      <t>ヒョウカ</t>
    </rPh>
    <rPh sb="2" eb="4">
      <t>タテモノ</t>
    </rPh>
    <phoneticPr fontId="21"/>
  </si>
  <si>
    <t>⑤　専用の清掃用流しや水道を設置している。</t>
    <rPh sb="2" eb="4">
      <t>センヨウ</t>
    </rPh>
    <rPh sb="5" eb="8">
      <t>セイソウヨウ</t>
    </rPh>
    <rPh sb="8" eb="9">
      <t>ナガ</t>
    </rPh>
    <rPh sb="11" eb="13">
      <t>スイドウ</t>
    </rPh>
    <rPh sb="14" eb="16">
      <t>セッチ</t>
    </rPh>
    <phoneticPr fontId="21"/>
  </si>
  <si>
    <t>合計＝</t>
    <phoneticPr fontId="21"/>
  </si>
  <si>
    <t>該当資材がグリーン購入法における「特定調達品目」または「エコマーク商品」に認定されている場合、採用とみなす。</t>
    <phoneticPr fontId="21"/>
  </si>
  <si>
    <t>LR1</t>
  </si>
  <si>
    <t>建物全体・共用部分</t>
    <phoneticPr fontId="21"/>
  </si>
  <si>
    <t>高度な負荷変動追従ができるような制御システムである。</t>
    <phoneticPr fontId="21"/>
  </si>
  <si>
    <t>住</t>
    <phoneticPr fontId="21"/>
  </si>
  <si>
    <t>窓,外壁,屋根や床（特にピロティ）において室内への熱の侵入に対しての配慮が十分でなく、日射遮蔽性能や断熱性能が低い。</t>
    <phoneticPr fontId="21"/>
  </si>
  <si>
    <t>窓,外壁,屋根や床（特にピロティ）において、室内への熱の侵入に対しての配慮がなされており、実用上、日射遮蔽性能および断熱性能に問題がない。</t>
    <phoneticPr fontId="21"/>
  </si>
  <si>
    <t>窓,外壁,屋根や床（特にピロティ）において、室内への熱の侵入に対して、十分な配慮がなされており、最良の日射遮蔽性能および断熱性能を有する。</t>
    <phoneticPr fontId="21"/>
  </si>
  <si>
    <t>空調システムの例</t>
    <phoneticPr fontId="21"/>
  </si>
  <si>
    <t>方位別やペリメータとインテリア別などの区別が無く、１系統で空調システムが計画されており、季節別に冷暖切り替えが必要である。</t>
    <phoneticPr fontId="21"/>
  </si>
  <si>
    <t>一般的な冬期23℃、夏期26℃の設定。</t>
    <phoneticPr fontId="21"/>
  </si>
  <si>
    <t>一般的な冬期18～20℃、夏期25～28℃の設定。</t>
    <phoneticPr fontId="21"/>
  </si>
  <si>
    <t>取組み毎に
1ポイント</t>
    <phoneticPr fontId="21"/>
  </si>
  <si>
    <t>■病院の延床面積のうち、病室部分の床面積の比率</t>
    <rPh sb="1" eb="3">
      <t>ビョウイン</t>
    </rPh>
    <rPh sb="4" eb="5">
      <t>ノ</t>
    </rPh>
    <rPh sb="5" eb="8">
      <t>ユカメンセキ</t>
    </rPh>
    <rPh sb="12" eb="14">
      <t>ビョウシツ</t>
    </rPh>
    <rPh sb="14" eb="16">
      <t>ブブン</t>
    </rPh>
    <rPh sb="17" eb="20">
      <t>ユカメンセキ</t>
    </rPh>
    <rPh sb="21" eb="23">
      <t>ヒリツ</t>
    </rPh>
    <phoneticPr fontId="21"/>
  </si>
  <si>
    <t>■ホテルの延床面積のうち、宿泊部分の床面積の比率</t>
    <rPh sb="5" eb="6">
      <t>ノ</t>
    </rPh>
    <rPh sb="6" eb="9">
      <t>ユカメンセキ</t>
    </rPh>
    <rPh sb="13" eb="15">
      <t>シュクハク</t>
    </rPh>
    <rPh sb="15" eb="17">
      <t>ブブン</t>
    </rPh>
    <rPh sb="18" eb="21">
      <t>ユカメンセキ</t>
    </rPh>
    <rPh sb="22" eb="24">
      <t>ヒリツ</t>
    </rPh>
    <phoneticPr fontId="21"/>
  </si>
  <si>
    <t>事務所</t>
    <rPh sb="0" eb="2">
      <t>ジム</t>
    </rPh>
    <rPh sb="2" eb="3">
      <t>ショ</t>
    </rPh>
    <phoneticPr fontId="21"/>
  </si>
  <si>
    <t>学校</t>
    <rPh sb="0" eb="2">
      <t>ガッコウ</t>
    </rPh>
    <phoneticPr fontId="21"/>
  </si>
  <si>
    <r>
      <t xml:space="preserve">1.3.2 </t>
    </r>
    <r>
      <rPr>
        <b/>
        <sz val="10"/>
        <rFont val="ＭＳ Ｐゴシック"/>
        <family val="3"/>
        <charset val="128"/>
      </rPr>
      <t>維持管理用機能の確保</t>
    </r>
    <rPh sb="6" eb="8">
      <t>イジ</t>
    </rPh>
    <rPh sb="8" eb="10">
      <t>カンリ</t>
    </rPh>
    <rPh sb="10" eb="11">
      <t>ヨウ</t>
    </rPh>
    <rPh sb="11" eb="13">
      <t>キノウ</t>
    </rPh>
    <rPh sb="14" eb="16">
      <t>カクホ</t>
    </rPh>
    <phoneticPr fontId="21"/>
  </si>
  <si>
    <t>事・学・飲・物・会・病・ホ・住・工</t>
    <rPh sb="0" eb="1">
      <t>コト</t>
    </rPh>
    <rPh sb="2" eb="3">
      <t>ガク</t>
    </rPh>
    <rPh sb="4" eb="5">
      <t>ノ</t>
    </rPh>
    <rPh sb="6" eb="7">
      <t>モノ</t>
    </rPh>
    <rPh sb="8" eb="9">
      <t>カイ</t>
    </rPh>
    <rPh sb="10" eb="11">
      <t>ビョウ</t>
    </rPh>
    <rPh sb="14" eb="15">
      <t>ジュウ</t>
    </rPh>
    <rPh sb="16" eb="17">
      <t>コウ</t>
    </rPh>
    <phoneticPr fontId="21"/>
  </si>
  <si>
    <t>フェロニッケルスラグを用いたケーソン中詰め材</t>
    <rPh sb="11" eb="12">
      <t>モチ</t>
    </rPh>
    <rPh sb="18" eb="19">
      <t>ナカ</t>
    </rPh>
    <rPh sb="19" eb="20">
      <t>ヅ</t>
    </rPh>
    <rPh sb="21" eb="22">
      <t>ザイ</t>
    </rPh>
    <phoneticPr fontId="21"/>
  </si>
  <si>
    <t>地盤改良用製鋼スラグ</t>
    <rPh sb="0" eb="2">
      <t>ジバン</t>
    </rPh>
    <rPh sb="2" eb="4">
      <t>カイリョウ</t>
    </rPh>
    <rPh sb="4" eb="5">
      <t>ヨウ</t>
    </rPh>
    <rPh sb="5" eb="7">
      <t>セイコウ</t>
    </rPh>
    <phoneticPr fontId="21"/>
  </si>
  <si>
    <t>kg-CO2/kWh</t>
  </si>
  <si>
    <t>（調整後排出係数</t>
    <rPh sb="1" eb="4">
      <t>チョウセイゴ</t>
    </rPh>
    <rPh sb="4" eb="6">
      <t>ハイシュツ</t>
    </rPh>
    <rPh sb="6" eb="8">
      <t>ケイスウ</t>
    </rPh>
    <phoneticPr fontId="21"/>
  </si>
  <si>
    <t>kg-CO2/MJ</t>
  </si>
  <si>
    <t>都市ガス</t>
    <rPh sb="0" eb="2">
      <t>トシ</t>
    </rPh>
    <phoneticPr fontId="28"/>
  </si>
  <si>
    <t>DHC</t>
  </si>
  <si>
    <t>灯油</t>
    <rPh sb="0" eb="2">
      <t>トウユ</t>
    </rPh>
    <phoneticPr fontId="28"/>
  </si>
  <si>
    <t>Ａ重油</t>
  </si>
  <si>
    <t>その他</t>
    <rPh sb="2" eb="3">
      <t>タ</t>
    </rPh>
    <phoneticPr fontId="28"/>
  </si>
  <si>
    <t>(灯油＋A重油の平均値）</t>
    <rPh sb="1" eb="3">
      <t>トウユ</t>
    </rPh>
    <rPh sb="5" eb="7">
      <t>ジュウユ</t>
    </rPh>
    <rPh sb="8" eb="11">
      <t>ヘイキンチ</t>
    </rPh>
    <phoneticPr fontId="28"/>
  </si>
  <si>
    <t>代替値</t>
  </si>
  <si>
    <t>用途別排出原単位</t>
    <rPh sb="0" eb="2">
      <t>ヨウト</t>
    </rPh>
    <rPh sb="2" eb="3">
      <t>ベツ</t>
    </rPh>
    <rPh sb="3" eb="5">
      <t>ハイシュツ</t>
    </rPh>
    <rPh sb="5" eb="8">
      <t>ゲンタンイ</t>
    </rPh>
    <phoneticPr fontId="21"/>
  </si>
  <si>
    <t>ガス</t>
  </si>
  <si>
    <r>
      <t xml:space="preserve">4.2.3 </t>
    </r>
    <r>
      <rPr>
        <b/>
        <sz val="10"/>
        <rFont val="ＭＳ Ｐゴシック"/>
        <family val="3"/>
        <charset val="128"/>
      </rPr>
      <t>取り入れ外気への配慮</t>
    </r>
    <rPh sb="6" eb="7">
      <t>ト</t>
    </rPh>
    <rPh sb="8" eb="9">
      <t>イ</t>
    </rPh>
    <rPh sb="10" eb="12">
      <t>ガイキ</t>
    </rPh>
    <rPh sb="14" eb="16">
      <t>ハイリョ</t>
    </rPh>
    <phoneticPr fontId="21"/>
  </si>
  <si>
    <t>評価する取組みが2つ。</t>
  </si>
  <si>
    <t>事・学・会・病・ホ・工・住</t>
    <rPh sb="0" eb="1">
      <t>コト</t>
    </rPh>
    <rPh sb="2" eb="3">
      <t>ガク</t>
    </rPh>
    <rPh sb="4" eb="5">
      <t>カイ</t>
    </rPh>
    <rPh sb="6" eb="7">
      <t>ヤマイ</t>
    </rPh>
    <phoneticPr fontId="21"/>
  </si>
  <si>
    <t>⑥災害時の飲料水確保に備えて，雨水などの転用に対する簡易ろ過装置を備品として備えている。（物・飲は適用外）</t>
    <rPh sb="45" eb="46">
      <t>ブツ</t>
    </rPh>
    <rPh sb="47" eb="48">
      <t>イン</t>
    </rPh>
    <rPh sb="49" eb="51">
      <t>テキヨウ</t>
    </rPh>
    <rPh sb="51" eb="52">
      <t>ガイ</t>
    </rPh>
    <phoneticPr fontId="21"/>
  </si>
  <si>
    <r>
      <t xml:space="preserve">2.4.3 </t>
    </r>
    <r>
      <rPr>
        <b/>
        <sz val="10"/>
        <rFont val="ＭＳ Ｐゴシック"/>
        <family val="3"/>
        <charset val="128"/>
      </rPr>
      <t>電気設備</t>
    </r>
    <rPh sb="6" eb="8">
      <t>デンキ</t>
    </rPh>
    <rPh sb="8" eb="10">
      <t>セツビ</t>
    </rPh>
    <phoneticPr fontId="21"/>
  </si>
  <si>
    <t>建物用途</t>
    <rPh sb="0" eb="2">
      <t>タテモノ</t>
    </rPh>
    <rPh sb="2" eb="4">
      <t>ヨウト</t>
    </rPh>
    <phoneticPr fontId="21"/>
  </si>
  <si>
    <t>空間のゆとり</t>
    <rPh sb="0" eb="2">
      <t>クウカン</t>
    </rPh>
    <phoneticPr fontId="21"/>
  </si>
  <si>
    <t>事・学・物・飲・病・工</t>
    <rPh sb="8" eb="9">
      <t>ヤマイ</t>
    </rPh>
    <rPh sb="10" eb="11">
      <t>コウ</t>
    </rPh>
    <phoneticPr fontId="21"/>
  </si>
  <si>
    <t>事・学・物・飲・病・工【&lt;2000㎡】</t>
    <rPh sb="8" eb="9">
      <t>ヤマイ</t>
    </rPh>
    <rPh sb="10" eb="11">
      <t>コウ</t>
    </rPh>
    <phoneticPr fontId="21"/>
  </si>
  <si>
    <t>3.3ｍ以上、3.5ｍ未満</t>
  </si>
  <si>
    <t>2.7ｍ以上、2.8ｍ未満</t>
  </si>
  <si>
    <t>3.7ｍ以上、3.9ｍ未満</t>
  </si>
  <si>
    <t>2.9ｍ以上、3.0ｍ未満</t>
  </si>
  <si>
    <t>事・学・物・飲・会・病・工</t>
    <rPh sb="12" eb="13">
      <t>コウ</t>
    </rPh>
    <phoneticPr fontId="21"/>
  </si>
  <si>
    <t>0.7≦　[壁長さ比率]</t>
  </si>
  <si>
    <t>0.5≦　[壁長さ比率] ＜0.7</t>
  </si>
  <si>
    <t>0.3≦　[壁長さ比率] ＜0.5</t>
  </si>
  <si>
    <t>0.1≦　[壁長さ比率] ＜0.3</t>
  </si>
  <si>
    <t>壁長さ比率＝</t>
    <rPh sb="0" eb="1">
      <t>カベ</t>
    </rPh>
    <rPh sb="1" eb="2">
      <t>ナガ</t>
    </rPh>
    <rPh sb="3" eb="5">
      <t>ヒリツ</t>
    </rPh>
    <phoneticPr fontId="21"/>
  </si>
  <si>
    <t>荷重のゆとり</t>
    <rPh sb="0" eb="2">
      <t>カジュウ</t>
    </rPh>
    <phoneticPr fontId="21"/>
  </si>
  <si>
    <t>事・物・飲・会（固定席）・病・工</t>
    <rPh sb="0" eb="1">
      <t>コト</t>
    </rPh>
    <rPh sb="2" eb="3">
      <t>モノ</t>
    </rPh>
    <rPh sb="4" eb="5">
      <t>イン</t>
    </rPh>
    <rPh sb="6" eb="7">
      <t>カイ</t>
    </rPh>
    <rPh sb="8" eb="10">
      <t>コテイ</t>
    </rPh>
    <rPh sb="10" eb="11">
      <t>セキ</t>
    </rPh>
    <rPh sb="15" eb="16">
      <t>コウ</t>
    </rPh>
    <phoneticPr fontId="21"/>
  </si>
  <si>
    <t>会（非固定席）</t>
    <rPh sb="0" eb="1">
      <t>カイ</t>
    </rPh>
    <rPh sb="2" eb="3">
      <t>ヒ</t>
    </rPh>
    <rPh sb="3" eb="5">
      <t>コテイ</t>
    </rPh>
    <rPh sb="5" eb="6">
      <t>セキ</t>
    </rPh>
    <phoneticPr fontId="21"/>
  </si>
  <si>
    <t>（該当するレベルなし）</t>
  </si>
  <si>
    <t>2900N/㎡未満</t>
    <phoneticPr fontId="21"/>
  </si>
  <si>
    <t>3500N/㎡未満</t>
    <phoneticPr fontId="21"/>
  </si>
  <si>
    <t>2300N/㎡未満</t>
    <phoneticPr fontId="21"/>
  </si>
  <si>
    <t>1800N/㎡未満</t>
    <phoneticPr fontId="21"/>
  </si>
  <si>
    <t>2900N/㎡以上～3500N/㎡未満</t>
    <phoneticPr fontId="21"/>
  </si>
  <si>
    <t>3500N/㎡以上～4200N/㎡未満</t>
    <phoneticPr fontId="21"/>
  </si>
  <si>
    <t>LR3</t>
    <phoneticPr fontId="21"/>
  </si>
  <si>
    <t>塗り床材</t>
    <rPh sb="0" eb="1">
      <t>ヌ</t>
    </rPh>
    <rPh sb="2" eb="3">
      <t>ユカ</t>
    </rPh>
    <rPh sb="3" eb="4">
      <t>ザイ</t>
    </rPh>
    <phoneticPr fontId="21"/>
  </si>
  <si>
    <t>床仕上げ</t>
    <rPh sb="0" eb="1">
      <t>ユカ</t>
    </rPh>
    <rPh sb="1" eb="3">
      <t>シア</t>
    </rPh>
    <phoneticPr fontId="21"/>
  </si>
  <si>
    <t>床仕上げワックス</t>
    <rPh sb="0" eb="1">
      <t>ユカ</t>
    </rPh>
    <rPh sb="1" eb="3">
      <t>シア</t>
    </rPh>
    <phoneticPr fontId="21"/>
  </si>
  <si>
    <t>防腐剤</t>
    <rPh sb="0" eb="3">
      <t>ボウフザイ</t>
    </rPh>
    <phoneticPr fontId="21"/>
  </si>
  <si>
    <t>平均気流速度</t>
    <rPh sb="0" eb="2">
      <t>ヘイキン</t>
    </rPh>
    <rPh sb="2" eb="4">
      <t>キリュウ</t>
    </rPh>
    <rPh sb="4" eb="6">
      <t>ソクド</t>
    </rPh>
    <phoneticPr fontId="21"/>
  </si>
  <si>
    <t>光・視環境</t>
    <rPh sb="0" eb="1">
      <t>ﾋｶﾘ</t>
    </rPh>
    <rPh sb="2" eb="3">
      <t>ｼ</t>
    </rPh>
    <rPh sb="3" eb="5">
      <t>ｶﾝｷｮｳ</t>
    </rPh>
    <phoneticPr fontId="34" type="noConversion"/>
  </si>
  <si>
    <t>昼光利用</t>
    <rPh sb="0" eb="1">
      <t>ﾋﾙ</t>
    </rPh>
    <rPh sb="1" eb="2">
      <t>ﾋｶﾘ</t>
    </rPh>
    <rPh sb="2" eb="4">
      <t>ﾘﾖｳ</t>
    </rPh>
    <phoneticPr fontId="34" type="noConversion"/>
  </si>
  <si>
    <t>昼光率</t>
    <rPh sb="0" eb="1">
      <t>ヒル</t>
    </rPh>
    <rPh sb="1" eb="2">
      <t>ヒカリ</t>
    </rPh>
    <rPh sb="2" eb="3">
      <t>リツ</t>
    </rPh>
    <phoneticPr fontId="21"/>
  </si>
  <si>
    <t>方位別開口</t>
    <rPh sb="0" eb="2">
      <t>ホウイ</t>
    </rPh>
    <rPh sb="2" eb="3">
      <t>ベツ</t>
    </rPh>
    <rPh sb="3" eb="5">
      <t>カイコウ</t>
    </rPh>
    <phoneticPr fontId="21"/>
  </si>
  <si>
    <t>昼光利用設備</t>
    <rPh sb="0" eb="1">
      <t>ヒル</t>
    </rPh>
    <rPh sb="1" eb="2">
      <t>ヒカリ</t>
    </rPh>
    <rPh sb="2" eb="4">
      <t>リヨウ</t>
    </rPh>
    <rPh sb="4" eb="6">
      <t>セツビ</t>
    </rPh>
    <phoneticPr fontId="21"/>
  </si>
  <si>
    <t>グレア対策</t>
    <rPh sb="3" eb="5">
      <t>ﾀｲｻｸ</t>
    </rPh>
    <phoneticPr fontId="34" type="noConversion"/>
  </si>
  <si>
    <t>照明器具のグレア</t>
    <rPh sb="0" eb="2">
      <t>ショウメイ</t>
    </rPh>
    <rPh sb="2" eb="4">
      <t>キグ</t>
    </rPh>
    <phoneticPr fontId="21"/>
  </si>
  <si>
    <t>昼光制御</t>
    <rPh sb="0" eb="1">
      <t>ヒル</t>
    </rPh>
    <rPh sb="1" eb="2">
      <t>ヒカリ</t>
    </rPh>
    <rPh sb="2" eb="4">
      <t>セイギョ</t>
    </rPh>
    <phoneticPr fontId="21"/>
  </si>
  <si>
    <t>1人当たりの執務スペースが9㎡以上。</t>
  </si>
  <si>
    <r>
      <t xml:space="preserve">1.1.2 </t>
    </r>
    <r>
      <rPr>
        <b/>
        <sz val="10"/>
        <rFont val="ＭＳ Ｐゴシック"/>
        <family val="3"/>
        <charset val="128"/>
      </rPr>
      <t>高度情報通信設備対応</t>
    </r>
    <rPh sb="6" eb="8">
      <t>コウド</t>
    </rPh>
    <rPh sb="8" eb="10">
      <t>ジョウホウ</t>
    </rPh>
    <rPh sb="10" eb="12">
      <t>ツウシン</t>
    </rPh>
    <rPh sb="12" eb="14">
      <t>セツビ</t>
    </rPh>
    <rPh sb="14" eb="16">
      <t>タイオウ</t>
    </rPh>
    <phoneticPr fontId="21"/>
  </si>
  <si>
    <t>建物全体・共用部分</t>
    <phoneticPr fontId="21"/>
  </si>
  <si>
    <r>
      <t xml:space="preserve">4.3.2 </t>
    </r>
    <r>
      <rPr>
        <b/>
        <sz val="10"/>
        <rFont val="ＭＳ Ｐゴシック"/>
        <family val="3"/>
        <charset val="128"/>
      </rPr>
      <t>喫煙の制御</t>
    </r>
    <rPh sb="6" eb="8">
      <t>キツエン</t>
    </rPh>
    <rPh sb="9" eb="11">
      <t>セイギョ</t>
    </rPh>
    <phoneticPr fontId="21"/>
  </si>
  <si>
    <t>事・学・物・飲・会・工</t>
    <rPh sb="10" eb="11">
      <t>コウ</t>
    </rPh>
    <phoneticPr fontId="21"/>
  </si>
  <si>
    <t>事・学・物・飲・会・病(待)・ホ・工</t>
    <rPh sb="10" eb="11">
      <t>ヤマイ</t>
    </rPh>
    <rPh sb="12" eb="13">
      <t>マ</t>
    </rPh>
    <rPh sb="17" eb="18">
      <t>コウ</t>
    </rPh>
    <phoneticPr fontId="21"/>
  </si>
  <si>
    <t>手動による計測を前提としたシステムとなっており、必要最低限の記録がなされている。</t>
  </si>
  <si>
    <t>喫煙ブースなど、非喫煙者が煙に曝されないような対策が最低限取られている。</t>
  </si>
  <si>
    <t>手動による計測を前提としたシステムとなっており、空気質を適正に維持するための管理マニュアル等が整備されており、有効に機能している。</t>
  </si>
  <si>
    <t>ビル全体の禁煙が確認されている。または、喫煙ブースなど、非喫煙者が煙に曝されないような対策が十分に取られている。</t>
  </si>
  <si>
    <t>特定建築物に該当する場合の取組みで評価する</t>
  </si>
  <si>
    <r>
      <t xml:space="preserve">1.1.1 </t>
    </r>
    <r>
      <rPr>
        <b/>
        <sz val="10"/>
        <rFont val="ＭＳ Ｐゴシック"/>
        <family val="3"/>
        <charset val="128"/>
      </rPr>
      <t>広さ・収納性</t>
    </r>
    <rPh sb="6" eb="7">
      <t>ヒロ</t>
    </rPh>
    <rPh sb="9" eb="12">
      <t>シュウノウセイ</t>
    </rPh>
    <phoneticPr fontId="21"/>
  </si>
  <si>
    <t>事・工</t>
    <rPh sb="0" eb="1">
      <t>コト</t>
    </rPh>
    <rPh sb="2" eb="3">
      <t>コウ</t>
    </rPh>
    <phoneticPr fontId="21"/>
  </si>
  <si>
    <t>病</t>
    <rPh sb="0" eb="1">
      <t>ビョウ</t>
    </rPh>
    <phoneticPr fontId="21"/>
  </si>
  <si>
    <t>HCFC－124</t>
  </si>
  <si>
    <t>HCFC－141b</t>
  </si>
  <si>
    <t>HCFC－142b</t>
  </si>
  <si>
    <t>HCFC－225ca</t>
  </si>
  <si>
    <t>HCFC－225cb</t>
  </si>
  <si>
    <t>HFC－23</t>
  </si>
  <si>
    <t>レベル３（代替フロン）</t>
    <rPh sb="5" eb="7">
      <t>ダイタイ</t>
    </rPh>
    <phoneticPr fontId="21"/>
  </si>
  <si>
    <t>HFC－32</t>
  </si>
  <si>
    <t>HFC－125</t>
  </si>
  <si>
    <t>HFC－134a</t>
  </si>
  <si>
    <t>HFC－143a</t>
  </si>
  <si>
    <t>HFC－152a</t>
  </si>
  <si>
    <t>HFC－227ea</t>
  </si>
  <si>
    <t>HFC－236fa</t>
  </si>
  <si>
    <t>診療室</t>
    <rPh sb="0" eb="3">
      <t>シンリョウシツ</t>
    </rPh>
    <phoneticPr fontId="21"/>
  </si>
  <si>
    <t>検査室</t>
    <rPh sb="0" eb="3">
      <t>ケンサシツ</t>
    </rPh>
    <phoneticPr fontId="21"/>
  </si>
  <si>
    <t>出光グリーンパワー株式会社</t>
  </si>
  <si>
    <t>伊藤忠エネクス株式会社</t>
  </si>
  <si>
    <t>荏原環境プラント株式会社</t>
  </si>
  <si>
    <t>オリックス株式会社</t>
  </si>
  <si>
    <t>株式会社イーセル</t>
  </si>
  <si>
    <t>株式会社Ｇ－Ｐｏｗｅｒ</t>
  </si>
  <si>
    <t>株式会社日本セレモニー</t>
  </si>
  <si>
    <t>ＪＸ日鉱日石エネルギー株式会社</t>
  </si>
  <si>
    <t>ＪＥＮホールディングス株式会社</t>
  </si>
  <si>
    <t>志賀高原リゾート開発株式会社</t>
  </si>
  <si>
    <t>新日鉄住金エンジニアリング株式会社</t>
  </si>
  <si>
    <t>泉北天然ガス発電株式会社</t>
  </si>
  <si>
    <t>テス・エンジニアリング株式会社</t>
  </si>
  <si>
    <t>東京エコサービス株式会社</t>
  </si>
  <si>
    <t>日本テクノ株式会社</t>
  </si>
  <si>
    <t>日本ロジテック協同組合</t>
  </si>
  <si>
    <t>プレミアムグリーンパワー株式会社</t>
  </si>
  <si>
    <t>ミツウロコグリーンエネルギー株式会社</t>
  </si>
  <si>
    <t>リエスパワー株式会社</t>
  </si>
  <si>
    <t>平成２４年度の電気事業者別実排出係数等の公表値</t>
    <rPh sb="22" eb="23">
      <t>チ</t>
    </rPh>
    <phoneticPr fontId="21"/>
  </si>
  <si>
    <t>①　建物の延床面積に対し、十分なスペースの清掃員控え室の設置をしている。</t>
    <rPh sb="2" eb="4">
      <t>タテモノ</t>
    </rPh>
    <phoneticPr fontId="21"/>
  </si>
  <si>
    <t>②　建物の延床面積に対し、十分なスペースの清掃用具室と管理倉庫の設置をしている。</t>
    <rPh sb="2" eb="4">
      <t>タテモノ</t>
    </rPh>
    <rPh sb="27" eb="29">
      <t>カンリ</t>
    </rPh>
    <rPh sb="29" eb="31">
      <t>ソウコ</t>
    </rPh>
    <phoneticPr fontId="21"/>
  </si>
  <si>
    <t>全般照明方式の場合で室内にかなり不快に感じる程度の非常に暗い部分がある。</t>
    <phoneticPr fontId="21"/>
  </si>
  <si>
    <t>マルチユニット型ヒートポンプ方式（冷暖同時）、二重ダクト方式（ＡＨＵで４管式）、４管式ＦＣＵ方式レベル３，４以上の細かなゾーニング（４０m2程度）による。</t>
    <phoneticPr fontId="21"/>
  </si>
  <si>
    <r>
      <t xml:space="preserve">2.1.5 </t>
    </r>
    <r>
      <rPr>
        <b/>
        <sz val="10"/>
        <rFont val="ＭＳ Ｐゴシック"/>
        <family val="3"/>
        <charset val="128"/>
      </rPr>
      <t>温度・湿度制御</t>
    </r>
    <rPh sb="6" eb="8">
      <t>オンド</t>
    </rPh>
    <rPh sb="9" eb="11">
      <t>シツド</t>
    </rPh>
    <rPh sb="11" eb="13">
      <t>セイギョ</t>
    </rPh>
    <phoneticPr fontId="21"/>
  </si>
  <si>
    <t>事・学・物・飲・会・病・ホ・工・住</t>
    <rPh sb="16" eb="17">
      <t>ジュウ</t>
    </rPh>
    <phoneticPr fontId="21"/>
  </si>
  <si>
    <t>ＯＮ-ＯＦＦによる温度・湿度制御になっている。</t>
  </si>
  <si>
    <t>比例制御、多位置制御による温度・湿度制御になっている。</t>
  </si>
  <si>
    <t>ＰＩＤ制御による温度・室内湿度になっている。</t>
  </si>
  <si>
    <t>快適センサーなどによる温度・湿度制御（快適範囲における温度制御）が可能である。</t>
  </si>
  <si>
    <r>
      <t xml:space="preserve">2.1.6 </t>
    </r>
    <r>
      <rPr>
        <b/>
        <sz val="10"/>
        <rFont val="ＭＳ Ｐゴシック"/>
        <family val="3"/>
        <charset val="128"/>
      </rPr>
      <t>個別制御</t>
    </r>
    <rPh sb="6" eb="8">
      <t>コベツ</t>
    </rPh>
    <rPh sb="8" eb="10">
      <t>セイギョ</t>
    </rPh>
    <phoneticPr fontId="21"/>
  </si>
  <si>
    <t>住</t>
    <rPh sb="0" eb="1">
      <t>ジュウ</t>
    </rPh>
    <phoneticPr fontId="21"/>
  </si>
  <si>
    <t>在室者は手元で、Low-Middle-Highの風量切り替えが可能である。</t>
  </si>
  <si>
    <t>在室者は手元で、直接温度設定やLow-Middle-Highの風量調整が可能である。ただし、熱源側は季節に応じて冷暖切り替えである。</t>
  </si>
  <si>
    <t>各室内で温度設定が可能。</t>
  </si>
  <si>
    <t>在室者は手元で、直接、温度設定や風量調整が可能である。（熱源側は冷暖同時）</t>
  </si>
  <si>
    <t>住戸内の温度を設定しつつ、各室において温度の個別設定が可能。</t>
  </si>
  <si>
    <r>
      <t xml:space="preserve">2.1.8 </t>
    </r>
    <r>
      <rPr>
        <b/>
        <sz val="10"/>
        <rFont val="ＭＳ Ｐゴシック"/>
        <family val="3"/>
        <charset val="128"/>
      </rPr>
      <t>監視システム</t>
    </r>
    <rPh sb="6" eb="8">
      <t>カンシ</t>
    </rPh>
    <phoneticPr fontId="21"/>
  </si>
  <si>
    <t>事・学・病・ホ・工</t>
    <rPh sb="4" eb="5">
      <t>ヤマイ</t>
    </rPh>
    <rPh sb="8" eb="9">
      <t>コウ</t>
    </rPh>
    <phoneticPr fontId="21"/>
  </si>
  <si>
    <t>物・飲</t>
    <rPh sb="2" eb="3">
      <t>イン</t>
    </rPh>
    <phoneticPr fontId="21"/>
  </si>
  <si>
    <t>時間外や休日時には、空調運転を行わない。</t>
  </si>
  <si>
    <t>同一フロアで熱負荷別に複数にゾーニングがなされておらず、代表的なゾーン監視のためにセンサー等の監視システムが設置されている。</t>
  </si>
  <si>
    <t>＜実施設計段階、竣工段階で詳細な評価を行う場合に記入＞</t>
    <phoneticPr fontId="21"/>
  </si>
  <si>
    <t>Quality</t>
    <phoneticPr fontId="21"/>
  </si>
  <si>
    <r>
      <t>L</t>
    </r>
    <r>
      <rPr>
        <sz val="8"/>
        <color indexed="10"/>
        <rFont val="ＭＳ Ｐゴシック"/>
        <family val="3"/>
        <charset val="128"/>
      </rPr>
      <t>：</t>
    </r>
    <r>
      <rPr>
        <sz val="8"/>
        <color indexed="10"/>
        <rFont val="Arial"/>
        <family val="2"/>
      </rPr>
      <t>Load</t>
    </r>
    <phoneticPr fontId="21"/>
  </si>
  <si>
    <r>
      <t>LR</t>
    </r>
    <r>
      <rPr>
        <sz val="8"/>
        <color indexed="10"/>
        <rFont val="ＭＳ Ｐゴシック"/>
        <family val="3"/>
        <charset val="128"/>
      </rPr>
      <t>：</t>
    </r>
    <r>
      <rPr>
        <sz val="8"/>
        <color indexed="10"/>
        <rFont val="Arial"/>
        <family val="2"/>
      </rPr>
      <t>Load Reduction</t>
    </r>
    <phoneticPr fontId="21"/>
  </si>
  <si>
    <r>
      <t>SQ</t>
    </r>
    <r>
      <rPr>
        <sz val="8"/>
        <color indexed="10"/>
        <rFont val="ＭＳ Ｐゴシック"/>
        <family val="3"/>
        <charset val="128"/>
      </rPr>
      <t>：</t>
    </r>
    <r>
      <rPr>
        <sz val="8"/>
        <color indexed="10"/>
        <rFont val="Arial"/>
        <family val="2"/>
      </rPr>
      <t>Score of Q category</t>
    </r>
    <phoneticPr fontId="21"/>
  </si>
  <si>
    <r>
      <t>SLR</t>
    </r>
    <r>
      <rPr>
        <sz val="8"/>
        <color indexed="10"/>
        <rFont val="ＭＳ Ｐゴシック"/>
        <family val="3"/>
        <charset val="128"/>
      </rPr>
      <t>：</t>
    </r>
    <r>
      <rPr>
        <sz val="8"/>
        <color indexed="10"/>
        <rFont val="Arial"/>
        <family val="2"/>
      </rPr>
      <t>Score of LR category</t>
    </r>
    <phoneticPr fontId="21"/>
  </si>
  <si>
    <r>
      <t>BEE</t>
    </r>
    <r>
      <rPr>
        <sz val="8"/>
        <color indexed="10"/>
        <rFont val="ＭＳ Ｐゴシック"/>
        <family val="3"/>
        <charset val="128"/>
      </rPr>
      <t>：</t>
    </r>
    <r>
      <rPr>
        <sz val="8"/>
        <color indexed="10"/>
        <rFont val="Arial"/>
        <family val="2"/>
      </rPr>
      <t>Building Environmental Efficiency</t>
    </r>
    <phoneticPr fontId="21"/>
  </si>
  <si>
    <t>(3)の評価はオプションとし、実施設計段階および竣工段階で可能な範囲で記入する。</t>
    <phoneticPr fontId="21"/>
  </si>
  <si>
    <t>配慮項目</t>
    <phoneticPr fontId="21"/>
  </si>
  <si>
    <t>環境配慮設計の概要記入欄</t>
    <phoneticPr fontId="21"/>
  </si>
  <si>
    <t>全体</t>
    <phoneticPr fontId="21"/>
  </si>
  <si>
    <t>weight(set)</t>
    <phoneticPr fontId="21"/>
  </si>
  <si>
    <t>Ｑ　建築物の環境品質</t>
    <phoneticPr fontId="21"/>
  </si>
  <si>
    <t>Q1</t>
    <phoneticPr fontId="34" type="noConversion"/>
  </si>
  <si>
    <t>温度・湿度制御</t>
    <phoneticPr fontId="21"/>
  </si>
  <si>
    <t>Q2</t>
    <phoneticPr fontId="34" type="noConversion"/>
  </si>
  <si>
    <t>サービス性能</t>
    <phoneticPr fontId="21"/>
  </si>
  <si>
    <t>リフレッシュスペース</t>
    <phoneticPr fontId="21"/>
  </si>
  <si>
    <t>空調配管の更新性</t>
    <phoneticPr fontId="21"/>
  </si>
  <si>
    <t>Q3</t>
    <phoneticPr fontId="34" type="noConversion"/>
  </si>
  <si>
    <t>室外環境（敷地内）</t>
    <phoneticPr fontId="21"/>
  </si>
  <si>
    <t>3b</t>
    <phoneticPr fontId="21"/>
  </si>
  <si>
    <t>モニタリング</t>
    <phoneticPr fontId="34" type="noConversion"/>
  </si>
  <si>
    <t>LR2</t>
    <phoneticPr fontId="34" type="noConversion"/>
  </si>
  <si>
    <t>資源・マテリアル</t>
    <phoneticPr fontId="21"/>
  </si>
  <si>
    <t>LR3</t>
    <phoneticPr fontId="34" type="noConversion"/>
  </si>
  <si>
    <t>敷地外環境</t>
    <phoneticPr fontId="21"/>
  </si>
  <si>
    <t>温熱環境悪化の改善</t>
    <phoneticPr fontId="21"/>
  </si>
  <si>
    <t>雨水排水負荷低減</t>
    <phoneticPr fontId="34" type="noConversion"/>
  </si>
  <si>
    <t>汚水処理負荷抑制</t>
    <phoneticPr fontId="34" type="noConversion"/>
  </si>
  <si>
    <t>振動</t>
    <phoneticPr fontId="34" type="noConversion"/>
  </si>
  <si>
    <t>悪臭</t>
    <phoneticPr fontId="34" type="noConversion"/>
  </si>
  <si>
    <t>風害の抑制</t>
    <phoneticPr fontId="34" type="noConversion"/>
  </si>
  <si>
    <t>日照阻害の抑制</t>
    <phoneticPr fontId="34" type="noConversion"/>
  </si>
  <si>
    <r>
      <t>1.　建設に係るCO</t>
    </r>
    <r>
      <rPr>
        <b/>
        <vertAlign val="subscript"/>
        <sz val="11"/>
        <rFont val="ＭＳ Ｐゴシック"/>
        <family val="3"/>
        <charset val="128"/>
      </rPr>
      <t>2</t>
    </r>
    <r>
      <rPr>
        <b/>
        <sz val="11"/>
        <rFont val="ＭＳ Ｐゴシック"/>
        <family val="3"/>
        <charset val="128"/>
      </rPr>
      <t>排出量</t>
    </r>
    <rPh sb="3" eb="5">
      <t>ケンセツ</t>
    </rPh>
    <rPh sb="6" eb="7">
      <t>カカ</t>
    </rPh>
    <rPh sb="11" eb="13">
      <t>ハイシュツ</t>
    </rPh>
    <rPh sb="13" eb="14">
      <t>リョウ</t>
    </rPh>
    <phoneticPr fontId="21"/>
  </si>
  <si>
    <r>
      <t>kg-CO</t>
    </r>
    <r>
      <rPr>
        <vertAlign val="subscript"/>
        <sz val="10"/>
        <rFont val="ＭＳ Ｐゴシック"/>
        <family val="3"/>
        <charset val="128"/>
      </rPr>
      <t>2</t>
    </r>
    <r>
      <rPr>
        <sz val="10"/>
        <rFont val="ＭＳ Ｐゴシック"/>
        <family val="3"/>
        <charset val="128"/>
      </rPr>
      <t>/年m</t>
    </r>
    <r>
      <rPr>
        <vertAlign val="superscript"/>
        <sz val="10"/>
        <rFont val="ＭＳ Ｐゴシック"/>
        <family val="3"/>
        <charset val="128"/>
      </rPr>
      <t>2</t>
    </r>
    <rPh sb="7" eb="8">
      <t>ネン</t>
    </rPh>
    <phoneticPr fontId="21"/>
  </si>
  <si>
    <r>
      <t>1-1.　評価結果のCO</t>
    </r>
    <r>
      <rPr>
        <b/>
        <vertAlign val="subscript"/>
        <sz val="10"/>
        <rFont val="ＭＳ Ｐゴシック"/>
        <family val="3"/>
        <charset val="128"/>
      </rPr>
      <t>2</t>
    </r>
    <r>
      <rPr>
        <b/>
        <sz val="10"/>
        <rFont val="ＭＳ Ｐゴシック"/>
        <family val="3"/>
        <charset val="128"/>
      </rPr>
      <t>排出量への置き換え</t>
    </r>
    <rPh sb="5" eb="7">
      <t>ヒョウカ</t>
    </rPh>
    <rPh sb="7" eb="9">
      <t>ケッカ</t>
    </rPh>
    <rPh sb="13" eb="15">
      <t>ハイシュツ</t>
    </rPh>
    <rPh sb="15" eb="16">
      <t>リョウ</t>
    </rPh>
    <rPh sb="18" eb="19">
      <t>オ</t>
    </rPh>
    <rPh sb="20" eb="21">
      <t>カ</t>
    </rPh>
    <phoneticPr fontId="21"/>
  </si>
  <si>
    <t>集合住宅</t>
    <phoneticPr fontId="21"/>
  </si>
  <si>
    <t>ｍ3/㎡</t>
    <phoneticPr fontId="21"/>
  </si>
  <si>
    <t>◆</t>
    <phoneticPr fontId="21"/>
  </si>
  <si>
    <r>
      <t>2.　修繕・更新・解体に係るCO</t>
    </r>
    <r>
      <rPr>
        <b/>
        <vertAlign val="subscript"/>
        <sz val="11"/>
        <rFont val="ＭＳ Ｐゴシック"/>
        <family val="3"/>
        <charset val="128"/>
      </rPr>
      <t>2</t>
    </r>
    <r>
      <rPr>
        <b/>
        <sz val="11"/>
        <rFont val="ＭＳ Ｐゴシック"/>
        <family val="3"/>
        <charset val="128"/>
      </rPr>
      <t>排出量</t>
    </r>
    <rPh sb="3" eb="5">
      <t>シュウゼン</t>
    </rPh>
    <rPh sb="6" eb="8">
      <t>コウシン</t>
    </rPh>
    <rPh sb="9" eb="11">
      <t>カイタイ</t>
    </rPh>
    <rPh sb="12" eb="13">
      <t>カカ</t>
    </rPh>
    <rPh sb="17" eb="19">
      <t>ハイシュツ</t>
    </rPh>
    <rPh sb="19" eb="20">
      <t>リョウ</t>
    </rPh>
    <phoneticPr fontId="21"/>
  </si>
  <si>
    <r>
      <t>2-1.　評価結果のCO</t>
    </r>
    <r>
      <rPr>
        <b/>
        <vertAlign val="subscript"/>
        <sz val="10"/>
        <rFont val="ＭＳ Ｐゴシック"/>
        <family val="3"/>
        <charset val="128"/>
      </rPr>
      <t>2</t>
    </r>
    <r>
      <rPr>
        <b/>
        <sz val="10"/>
        <rFont val="ＭＳ Ｐゴシック"/>
        <family val="3"/>
        <charset val="128"/>
      </rPr>
      <t>排出量への置き換え</t>
    </r>
    <rPh sb="5" eb="7">
      <t>ヒョウカ</t>
    </rPh>
    <rPh sb="7" eb="9">
      <t>ケッカ</t>
    </rPh>
    <rPh sb="13" eb="15">
      <t>ハイシュツ</t>
    </rPh>
    <rPh sb="15" eb="16">
      <t>リョウ</t>
    </rPh>
    <rPh sb="18" eb="19">
      <t>オ</t>
    </rPh>
    <rPh sb="20" eb="21">
      <t>カ</t>
    </rPh>
    <phoneticPr fontId="21"/>
  </si>
  <si>
    <r>
      <t>3.　運用時のエネルギーに係るCO</t>
    </r>
    <r>
      <rPr>
        <b/>
        <vertAlign val="subscript"/>
        <sz val="11"/>
        <rFont val="ＭＳ Ｐゴシック"/>
        <family val="3"/>
        <charset val="128"/>
      </rPr>
      <t>2</t>
    </r>
    <r>
      <rPr>
        <b/>
        <sz val="11"/>
        <rFont val="ＭＳ Ｐゴシック"/>
        <family val="3"/>
        <charset val="128"/>
      </rPr>
      <t>排出量</t>
    </r>
    <rPh sb="3" eb="5">
      <t>ウンヨウ</t>
    </rPh>
    <rPh sb="5" eb="6">
      <t>ジ</t>
    </rPh>
    <rPh sb="13" eb="14">
      <t>カカ</t>
    </rPh>
    <rPh sb="18" eb="20">
      <t>ハイシュツ</t>
    </rPh>
    <rPh sb="20" eb="21">
      <t>リョウ</t>
    </rPh>
    <phoneticPr fontId="21"/>
  </si>
  <si>
    <t>N.A.</t>
    <phoneticPr fontId="21"/>
  </si>
  <si>
    <r>
      <t>4.　ライフサイクルCO</t>
    </r>
    <r>
      <rPr>
        <b/>
        <vertAlign val="subscript"/>
        <sz val="11"/>
        <rFont val="ＭＳ Ｐゴシック"/>
        <family val="3"/>
        <charset val="128"/>
      </rPr>
      <t>2</t>
    </r>
    <r>
      <rPr>
        <b/>
        <sz val="11"/>
        <rFont val="ＭＳ Ｐゴシック"/>
        <family val="3"/>
        <charset val="128"/>
      </rPr>
      <t>の計算（標準計算）</t>
    </r>
    <rPh sb="14" eb="16">
      <t>ケイサン</t>
    </rPh>
    <rPh sb="17" eb="19">
      <t>ヒョウジュン</t>
    </rPh>
    <rPh sb="19" eb="21">
      <t>ケイサン</t>
    </rPh>
    <phoneticPr fontId="21"/>
  </si>
  <si>
    <t>注）　「Q2　サービス性能」に対する配慮事項を簡潔に記載してください。</t>
    <phoneticPr fontId="21"/>
  </si>
  <si>
    <t>注）　「Q3　室外環境（敷地内）」に対する配慮事項を簡潔に記載してください。</t>
    <phoneticPr fontId="21"/>
  </si>
  <si>
    <t>LR1 
エネルギー</t>
    <phoneticPr fontId="21"/>
  </si>
  <si>
    <t>注）　「LR1　エネルギー」に対する配慮事項を簡潔に記載してください。</t>
    <phoneticPr fontId="21"/>
  </si>
  <si>
    <t>注）　「LR2　資源・マテリアル」に対する配慮事項を簡潔に記載してください。</t>
    <phoneticPr fontId="21"/>
  </si>
  <si>
    <t>注）　「LR3　敷地外環境」に対する配慮事項を簡潔に記載してください。</t>
    <phoneticPr fontId="21"/>
  </si>
  <si>
    <r>
      <t xml:space="preserve">Q1 </t>
    </r>
    <r>
      <rPr>
        <b/>
        <sz val="14"/>
        <rFont val="ＭＳ Ｐゴシック"/>
        <family val="3"/>
        <charset val="128"/>
      </rPr>
      <t>室内環境</t>
    </r>
    <rPh sb="3" eb="5">
      <t>シツナイ</t>
    </rPh>
    <rPh sb="5" eb="7">
      <t>カンキョウ</t>
    </rPh>
    <phoneticPr fontId="21"/>
  </si>
  <si>
    <t>○</t>
    <phoneticPr fontId="21"/>
  </si>
  <si>
    <t>ON</t>
    <phoneticPr fontId="21"/>
  </si>
  <si>
    <r>
      <t xml:space="preserve">1.1.1 </t>
    </r>
    <r>
      <rPr>
        <b/>
        <sz val="10"/>
        <rFont val="ＭＳ Ｐゴシック"/>
        <family val="3"/>
        <charset val="128"/>
      </rPr>
      <t>室内騒音レベル</t>
    </r>
    <phoneticPr fontId="21"/>
  </si>
  <si>
    <t>dB(A)</t>
    <phoneticPr fontId="21"/>
  </si>
  <si>
    <t>建物全体・共用部分</t>
    <phoneticPr fontId="21"/>
  </si>
  <si>
    <t>住居・宿泊部分</t>
    <phoneticPr fontId="21"/>
  </si>
  <si>
    <t>小中学校</t>
    <rPh sb="0" eb="4">
      <t>ショウチュウガッコウ</t>
    </rPh>
    <phoneticPr fontId="21"/>
  </si>
  <si>
    <t>物販店</t>
    <rPh sb="0" eb="3">
      <t>ブッパンテン</t>
    </rPh>
    <phoneticPr fontId="21"/>
  </si>
  <si>
    <t>デパート・スーパー</t>
  </si>
  <si>
    <t>集会所</t>
    <rPh sb="0" eb="3">
      <t>シュウカイショ</t>
    </rPh>
    <phoneticPr fontId="21"/>
  </si>
  <si>
    <t>集会所</t>
    <rPh sb="0" eb="2">
      <t>シュウカイ</t>
    </rPh>
    <rPh sb="2" eb="3">
      <t>ジョ</t>
    </rPh>
    <phoneticPr fontId="21"/>
  </si>
  <si>
    <t>病院</t>
    <rPh sb="0" eb="2">
      <t>ビョウイン</t>
    </rPh>
    <phoneticPr fontId="21"/>
  </si>
  <si>
    <t>3）結果出力</t>
    <rPh sb="2" eb="4">
      <t>ケッカ</t>
    </rPh>
    <rPh sb="4" eb="6">
      <t>シュツリョク</t>
    </rPh>
    <phoneticPr fontId="21"/>
  </si>
  <si>
    <t>スコアシート</t>
    <phoneticPr fontId="21"/>
  </si>
  <si>
    <t>●スコア</t>
    <phoneticPr fontId="21"/>
  </si>
  <si>
    <t>評価結果表示シート</t>
    <rPh sb="0" eb="2">
      <t>ヒョウカ</t>
    </rPh>
    <rPh sb="2" eb="4">
      <t>ケッカ</t>
    </rPh>
    <rPh sb="4" eb="6">
      <t>ヒョウジ</t>
    </rPh>
    <phoneticPr fontId="21"/>
  </si>
  <si>
    <t>●結果　</t>
    <rPh sb="1" eb="3">
      <t>ケッカ</t>
    </rPh>
    <phoneticPr fontId="21"/>
  </si>
  <si>
    <r>
      <t>●</t>
    </r>
    <r>
      <rPr>
        <sz val="10"/>
        <color indexed="18"/>
        <rFont val="Arial"/>
        <family val="2"/>
      </rPr>
      <t>LCCO2</t>
    </r>
    <r>
      <rPr>
        <sz val="10"/>
        <color indexed="18"/>
        <rFont val="ＭＳ Ｐゴシック"/>
        <family val="3"/>
        <charset val="128"/>
      </rPr>
      <t>計算</t>
    </r>
    <rPh sb="6" eb="8">
      <t>ケイサン</t>
    </rPh>
    <phoneticPr fontId="21"/>
  </si>
  <si>
    <t>LCCO2算定条件シート</t>
    <rPh sb="5" eb="7">
      <t>サンテイ</t>
    </rPh>
    <rPh sb="7" eb="9">
      <t>ジョウケン</t>
    </rPh>
    <phoneticPr fontId="21"/>
  </si>
  <si>
    <t>発生源対策</t>
    <rPh sb="0" eb="3">
      <t>ハッセイゲン</t>
    </rPh>
    <rPh sb="3" eb="5">
      <t>タイサク</t>
    </rPh>
    <phoneticPr fontId="21"/>
  </si>
  <si>
    <r>
      <t xml:space="preserve">4.1.1 </t>
    </r>
    <r>
      <rPr>
        <b/>
        <sz val="10"/>
        <rFont val="ＭＳ Ｐゴシック"/>
        <family val="3"/>
        <charset val="128"/>
      </rPr>
      <t>化学汚染物質</t>
    </r>
    <rPh sb="6" eb="8">
      <t>カガク</t>
    </rPh>
    <rPh sb="8" eb="10">
      <t>オセン</t>
    </rPh>
    <rPh sb="10" eb="12">
      <t>ブッシツ</t>
    </rPh>
    <phoneticPr fontId="21"/>
  </si>
  <si>
    <t>病・ホ・住</t>
    <rPh sb="0" eb="1">
      <t>ヤマイ</t>
    </rPh>
    <rPh sb="4" eb="5">
      <t>ジュウ</t>
    </rPh>
    <phoneticPr fontId="21"/>
  </si>
  <si>
    <t>レベル３を満たさない。</t>
    <phoneticPr fontId="21"/>
  </si>
  <si>
    <r>
      <t xml:space="preserve">4.1.2 </t>
    </r>
    <r>
      <rPr>
        <b/>
        <sz val="10"/>
        <rFont val="ＭＳ Ｐゴシック"/>
        <family val="3"/>
        <charset val="128"/>
      </rPr>
      <t>アスベスト対策</t>
    </r>
    <rPh sb="11" eb="13">
      <t>タイサク</t>
    </rPh>
    <phoneticPr fontId="21"/>
  </si>
  <si>
    <t>既存のみ評価</t>
    <rPh sb="0" eb="2">
      <t>キソン</t>
    </rPh>
    <rPh sb="4" eb="6">
      <t>ヒョウカ</t>
    </rPh>
    <phoneticPr fontId="21"/>
  </si>
  <si>
    <t>吹き付けアスベスト等を使用しているが、封じ込め又は囲い込みが行われている。</t>
    <phoneticPr fontId="21"/>
  </si>
  <si>
    <t>吹き付けアスベスト等を一切使用していない。</t>
    <phoneticPr fontId="21"/>
  </si>
  <si>
    <r>
      <t xml:space="preserve">4.1.3 </t>
    </r>
    <r>
      <rPr>
        <b/>
        <sz val="10"/>
        <rFont val="ＭＳ Ｐゴシック"/>
        <family val="3"/>
        <charset val="128"/>
      </rPr>
      <t>ダニ・カビ等</t>
    </r>
    <rPh sb="11" eb="12">
      <t>トウ</t>
    </rPh>
    <phoneticPr fontId="21"/>
  </si>
  <si>
    <t>事・学・物・飲・会・病・ホ・工・住</t>
    <rPh sb="0" eb="1">
      <t>コト</t>
    </rPh>
    <rPh sb="2" eb="3">
      <t>ガク</t>
    </rPh>
    <rPh sb="4" eb="5">
      <t>モノ</t>
    </rPh>
    <rPh sb="6" eb="7">
      <t>イン</t>
    </rPh>
    <rPh sb="8" eb="9">
      <t>カイ</t>
    </rPh>
    <rPh sb="10" eb="11">
      <t>ヤマイ</t>
    </rPh>
    <rPh sb="16" eb="17">
      <t>ジュウ</t>
    </rPh>
    <phoneticPr fontId="21"/>
  </si>
  <si>
    <t>内装は、床・壁の50％以上～65％未満の面積において、ダニ・カビの発生を抑制、あるいは清掃・メンテナンスに配慮したものとなっている。</t>
    <rPh sb="17" eb="19">
      <t>ミマン</t>
    </rPh>
    <phoneticPr fontId="21"/>
  </si>
  <si>
    <r>
      <t xml:space="preserve">4.1.4 </t>
    </r>
    <r>
      <rPr>
        <b/>
        <sz val="10"/>
        <rFont val="ＭＳ Ｐゴシック"/>
        <family val="3"/>
        <charset val="128"/>
      </rPr>
      <t>レジオネラ対策</t>
    </r>
    <rPh sb="11" eb="13">
      <t>タイサク</t>
    </rPh>
    <phoneticPr fontId="21"/>
  </si>
  <si>
    <t>事・学・物・飲・会・工・病</t>
    <rPh sb="0" eb="1">
      <t>コト</t>
    </rPh>
    <rPh sb="2" eb="3">
      <t>ガク</t>
    </rPh>
    <rPh sb="4" eb="5">
      <t>モノ</t>
    </rPh>
    <rPh sb="6" eb="7">
      <t>イン</t>
    </rPh>
    <rPh sb="8" eb="9">
      <t>カイ</t>
    </rPh>
    <rPh sb="10" eb="11">
      <t>コウ</t>
    </rPh>
    <rPh sb="12" eb="13">
      <t>ビョウ</t>
    </rPh>
    <phoneticPr fontId="21"/>
  </si>
  <si>
    <t>冷却塔の水処理、飛散対策等が最低限施されており、給湯器も最低限の対策が施されている。</t>
  </si>
  <si>
    <t>評価する取組み表の評価ポイントの合計値が3ポイント</t>
    <phoneticPr fontId="21"/>
  </si>
  <si>
    <t>評価する取組み表の評価ポイントの合計値が4ポイント</t>
    <phoneticPr fontId="21"/>
  </si>
  <si>
    <t>評価する取組み表の評価ポイントの合計値が5ポイント以上</t>
    <phoneticPr fontId="21"/>
  </si>
  <si>
    <t>該当資材がグリーン購入法における「特定調達品目」または「エコマーク商品」に認定されている場合、採用とみなす。</t>
    <phoneticPr fontId="21"/>
  </si>
  <si>
    <t>木材を使用していない時は評価対象外</t>
    <phoneticPr fontId="21"/>
  </si>
  <si>
    <t>持続可能な森林から産出された木材を使用していない。</t>
    <phoneticPr fontId="21"/>
  </si>
  <si>
    <t>振動に関する規制基準値</t>
    <rPh sb="0" eb="2">
      <t>シンドウ</t>
    </rPh>
    <rPh sb="3" eb="4">
      <t>カン</t>
    </rPh>
    <rPh sb="6" eb="8">
      <t>キセイ</t>
    </rPh>
    <rPh sb="8" eb="11">
      <t>キジュンチ</t>
    </rPh>
    <phoneticPr fontId="21"/>
  </si>
  <si>
    <t>65dB以下</t>
  </si>
  <si>
    <t>建物に求められている機能が明確化されており、内装計画の段階で、その機能を促進するするための取り組みが具体的に示されている。（例えば、ホテル等では、生活空間としてのインテリアを意識して、木や石などの天然素材を導入してリビング的な演出を行うなどの積極的な工夫を行う等。）</t>
  </si>
  <si>
    <t>学</t>
    <rPh sb="0" eb="1">
      <t>ガク</t>
    </rPh>
    <phoneticPr fontId="21"/>
  </si>
  <si>
    <t>吸音</t>
    <rPh sb="0" eb="2">
      <t>キュウオン</t>
    </rPh>
    <phoneticPr fontId="21"/>
  </si>
  <si>
    <t>建物全体・共用部分</t>
    <phoneticPr fontId="21"/>
  </si>
  <si>
    <t>事・学・物・飲・会・病・ホ・工</t>
    <rPh sb="4" eb="5">
      <t>モノ</t>
    </rPh>
    <rPh sb="6" eb="7">
      <t>イン</t>
    </rPh>
    <rPh sb="8" eb="9">
      <t>カイ</t>
    </rPh>
    <phoneticPr fontId="21"/>
  </si>
  <si>
    <t>吸音材を使用していない。</t>
    <rPh sb="4" eb="6">
      <t>シヨウ</t>
    </rPh>
    <phoneticPr fontId="21"/>
  </si>
  <si>
    <t>壁、床、天井のうち一面に吸音材を使用している。</t>
    <rPh sb="9" eb="11">
      <t>イチメン</t>
    </rPh>
    <rPh sb="16" eb="18">
      <t>シヨウ</t>
    </rPh>
    <phoneticPr fontId="21"/>
  </si>
  <si>
    <t>温熱環境</t>
    <rPh sb="0" eb="2">
      <t>オンネツ</t>
    </rPh>
    <rPh sb="2" eb="4">
      <t>カンキョウ</t>
    </rPh>
    <phoneticPr fontId="21"/>
  </si>
  <si>
    <t>室温制御</t>
    <rPh sb="0" eb="2">
      <t>シツオン</t>
    </rPh>
    <rPh sb="2" eb="4">
      <t>セイギョ</t>
    </rPh>
    <phoneticPr fontId="21"/>
  </si>
  <si>
    <t>住居・宿泊部分</t>
  </si>
  <si>
    <t>病(待)・ホ・工・住</t>
    <rPh sb="2" eb="3">
      <t>マ</t>
    </rPh>
    <phoneticPr fontId="21"/>
  </si>
  <si>
    <t>病(診)</t>
    <rPh sb="2" eb="3">
      <t>ミ</t>
    </rPh>
    <phoneticPr fontId="21"/>
  </si>
  <si>
    <t>学（小中高）</t>
    <rPh sb="2" eb="5">
      <t>ショウチュウコウ</t>
    </rPh>
    <phoneticPr fontId="21"/>
  </si>
  <si>
    <t>レベル２を満たさない。</t>
  </si>
  <si>
    <t>居住域の上下温度差や気流速度について特に配慮していない空調方式が計画されている。</t>
    <phoneticPr fontId="21"/>
  </si>
  <si>
    <t>通常の空調方式であるが、居住域の上下温度差や気流速度に配慮した給排気計画がなされている。</t>
    <phoneticPr fontId="21"/>
  </si>
  <si>
    <t>通常の空調方式であるが、居住域の上下温度差や気流速度および診療室内の間仕切りなどに配慮した給排気計画がなされている。</t>
    <phoneticPr fontId="21"/>
  </si>
  <si>
    <r>
      <t>居住域の上下温度差や気流速度が少なくなるように配慮された空調方式</t>
    </r>
    <r>
      <rPr>
        <vertAlign val="superscript"/>
        <sz val="9"/>
        <rFont val="ＭＳ Ｐゴシック"/>
        <family val="3"/>
        <charset val="128"/>
      </rPr>
      <t>＊</t>
    </r>
    <r>
      <rPr>
        <sz val="9"/>
        <rFont val="ＭＳ Ｐゴシック"/>
        <family val="3"/>
        <charset val="128"/>
      </rPr>
      <t>が採用されている。</t>
    </r>
    <phoneticPr fontId="21"/>
  </si>
  <si>
    <t>居住域の上下温度差や気流速度が少なくなり、また診療室内の間仕切りに配慮された空調方式*が採用されている。</t>
    <phoneticPr fontId="21"/>
  </si>
  <si>
    <t>空調居住域の上下温度差、気流速度や非空調部屋との室間温度差などが少なくなるように配慮された空調方式が計画されている。</t>
    <phoneticPr fontId="21"/>
  </si>
  <si>
    <t>居住域の上下温度差や気流速度について特に配慮していない空調方式が計画されている。</t>
    <phoneticPr fontId="21"/>
  </si>
  <si>
    <t>空調居住域の上下温度差、気流速度や非空調部屋との室間温度差などについて特に配慮していない空調方式が採用されている。</t>
    <phoneticPr fontId="21"/>
  </si>
  <si>
    <t>再生材料を用いた舗装用ブロック（プレキャスト無筋コンクリート）</t>
    <rPh sb="0" eb="2">
      <t>サイセイ</t>
    </rPh>
    <rPh sb="2" eb="4">
      <t>ザイリョウ</t>
    </rPh>
    <rPh sb="5" eb="6">
      <t>モチ</t>
    </rPh>
    <rPh sb="8" eb="11">
      <t>ホソウヨウ</t>
    </rPh>
    <rPh sb="22" eb="24">
      <t>ムキン</t>
    </rPh>
    <phoneticPr fontId="21"/>
  </si>
  <si>
    <t>製材</t>
    <rPh sb="0" eb="2">
      <t>セイザイ</t>
    </rPh>
    <phoneticPr fontId="21"/>
  </si>
  <si>
    <t>雨水の排水溝等</t>
    <rPh sb="0" eb="2">
      <t>アマミズ</t>
    </rPh>
    <rPh sb="3" eb="6">
      <t>ハイスイコウ</t>
    </rPh>
    <rPh sb="6" eb="7">
      <t>トウ</t>
    </rPh>
    <phoneticPr fontId="21"/>
  </si>
  <si>
    <t>耐用性・信頼性</t>
    <rPh sb="4" eb="6">
      <t>シンライ</t>
    </rPh>
    <rPh sb="6" eb="7">
      <t>セイ</t>
    </rPh>
    <phoneticPr fontId="1"/>
  </si>
  <si>
    <t>耐震･免震</t>
    <rPh sb="0" eb="2">
      <t>タイシン</t>
    </rPh>
    <rPh sb="3" eb="4">
      <t>メン</t>
    </rPh>
    <rPh sb="4" eb="5">
      <t>フル</t>
    </rPh>
    <phoneticPr fontId="1"/>
  </si>
  <si>
    <t>免震・制振性能</t>
    <rPh sb="5" eb="7">
      <t>セイノウ</t>
    </rPh>
    <phoneticPr fontId="1"/>
  </si>
  <si>
    <t>部品・部材の耐用年数</t>
    <rPh sb="0" eb="2">
      <t>ブヒン</t>
    </rPh>
    <rPh sb="3" eb="4">
      <t>ブ</t>
    </rPh>
    <rPh sb="4" eb="5">
      <t>ザイ</t>
    </rPh>
    <rPh sb="6" eb="8">
      <t>タイヨウ</t>
    </rPh>
    <rPh sb="8" eb="10">
      <t>ネンスウ</t>
    </rPh>
    <phoneticPr fontId="1"/>
  </si>
  <si>
    <t>躯体材料の耐用年数</t>
    <rPh sb="0" eb="2">
      <t>クタイ</t>
    </rPh>
    <rPh sb="2" eb="4">
      <t>ザイリョウ</t>
    </rPh>
    <rPh sb="5" eb="7">
      <t>タイヨウ</t>
    </rPh>
    <rPh sb="7" eb="9">
      <t>ネンスウ</t>
    </rPh>
    <phoneticPr fontId="1"/>
  </si>
  <si>
    <t>空調換気ダクトの更新必要間隔</t>
    <rPh sb="0" eb="2">
      <t>クウチョウ</t>
    </rPh>
    <rPh sb="2" eb="4">
      <t>カンキ</t>
    </rPh>
    <phoneticPr fontId="1"/>
  </si>
  <si>
    <t>空調・給排水配管の更新必要間隔</t>
    <rPh sb="0" eb="2">
      <t>クウチョウ</t>
    </rPh>
    <rPh sb="3" eb="4">
      <t>キュウ</t>
    </rPh>
    <rPh sb="4" eb="6">
      <t>ハイスイ</t>
    </rPh>
    <rPh sb="6" eb="8">
      <t>ハイカン</t>
    </rPh>
    <phoneticPr fontId="1"/>
  </si>
  <si>
    <t>適切な更新</t>
    <rPh sb="0" eb="2">
      <t>テキセツ</t>
    </rPh>
    <rPh sb="3" eb="5">
      <t>コウシン</t>
    </rPh>
    <phoneticPr fontId="1"/>
  </si>
  <si>
    <t>屋上（屋根）・外壁仕上げ材の更新</t>
    <rPh sb="0" eb="2">
      <t>オクジョウ</t>
    </rPh>
    <rPh sb="3" eb="5">
      <t>ヤネ</t>
    </rPh>
    <rPh sb="7" eb="9">
      <t>ガイヘキ</t>
    </rPh>
    <rPh sb="9" eb="11">
      <t>シア</t>
    </rPh>
    <rPh sb="12" eb="13">
      <t>ザイ</t>
    </rPh>
    <rPh sb="14" eb="16">
      <t>コウシン</t>
    </rPh>
    <phoneticPr fontId="1"/>
  </si>
  <si>
    <t>配管・配線材の更新</t>
    <rPh sb="0" eb="2">
      <t>ハイカン</t>
    </rPh>
    <rPh sb="3" eb="5">
      <t>ハイセン</t>
    </rPh>
    <rPh sb="5" eb="6">
      <t>ザイ</t>
    </rPh>
    <rPh sb="7" eb="9">
      <t>コウシン</t>
    </rPh>
    <phoneticPr fontId="1"/>
  </si>
  <si>
    <t>主要設備機器の更新</t>
    <rPh sb="0" eb="2">
      <t>シュヨウ</t>
    </rPh>
    <rPh sb="2" eb="4">
      <t>セツビ</t>
    </rPh>
    <rPh sb="4" eb="6">
      <t>キキ</t>
    </rPh>
    <rPh sb="7" eb="9">
      <t>コウシン</t>
    </rPh>
    <phoneticPr fontId="1"/>
  </si>
  <si>
    <t>信頼性</t>
    <rPh sb="0" eb="3">
      <t>シンライセイ</t>
    </rPh>
    <phoneticPr fontId="1"/>
  </si>
  <si>
    <t>バックアップスペースの確保</t>
    <rPh sb="11" eb="13">
      <t>カクホ</t>
    </rPh>
    <phoneticPr fontId="1"/>
  </si>
  <si>
    <t>非住宅</t>
    <rPh sb="0" eb="1">
      <t>ヒ</t>
    </rPh>
    <rPh sb="1" eb="3">
      <t>ジュウタク</t>
    </rPh>
    <phoneticPr fontId="21"/>
  </si>
  <si>
    <t>BEI(2)</t>
    <phoneticPr fontId="21"/>
  </si>
  <si>
    <t xml:space="preserve"> 非住宅　小計</t>
    <rPh sb="1" eb="2">
      <t>ヒ</t>
    </rPh>
    <rPh sb="2" eb="4">
      <t>ジュウタク</t>
    </rPh>
    <rPh sb="5" eb="7">
      <t>ショウケイ</t>
    </rPh>
    <phoneticPr fontId="21"/>
  </si>
  <si>
    <t>LR1/2.1　定量評価</t>
    <rPh sb="8" eb="10">
      <t>テイリョウ</t>
    </rPh>
    <rPh sb="10" eb="12">
      <t>ヒョウカ</t>
    </rPh>
    <phoneticPr fontId="21"/>
  </si>
  <si>
    <t>MＪ／年㎡　</t>
    <phoneticPr fontId="21"/>
  </si>
  <si>
    <t>小中学校・集合住宅</t>
    <rPh sb="0" eb="4">
      <t>ショウチュウガッコウ</t>
    </rPh>
    <rPh sb="5" eb="7">
      <t>シュウゴウ</t>
    </rPh>
    <rPh sb="7" eb="9">
      <t>ジュウタク</t>
    </rPh>
    <phoneticPr fontId="21"/>
  </si>
  <si>
    <t>上記以外</t>
    <rPh sb="0" eb="2">
      <t>ジョウキ</t>
    </rPh>
    <rPh sb="2" eb="4">
      <t>イガイ</t>
    </rPh>
    <phoneticPr fontId="21"/>
  </si>
  <si>
    <t xml:space="preserve"> Q2 1.3</t>
  </si>
  <si>
    <t>総合的な取組み</t>
    <rPh sb="0" eb="3">
      <t>ソウゴウテキ</t>
    </rPh>
    <rPh sb="4" eb="5">
      <t>ト</t>
    </rPh>
    <rPh sb="5" eb="6">
      <t>ク</t>
    </rPh>
    <phoneticPr fontId="21"/>
  </si>
  <si>
    <t>維持管理に配慮した設計</t>
    <rPh sb="0" eb="2">
      <t>イジ</t>
    </rPh>
    <rPh sb="2" eb="4">
      <t>カンリ</t>
    </rPh>
    <rPh sb="5" eb="7">
      <t>ハイリョ</t>
    </rPh>
    <rPh sb="9" eb="11">
      <t>セッケイ</t>
    </rPh>
    <phoneticPr fontId="21"/>
  </si>
  <si>
    <t>1.3.2</t>
  </si>
  <si>
    <t>清掃管理業務</t>
    <rPh sb="0" eb="2">
      <t>セイソウ</t>
    </rPh>
    <rPh sb="2" eb="4">
      <t>カンリ</t>
    </rPh>
    <rPh sb="4" eb="6">
      <t>ギョウム</t>
    </rPh>
    <phoneticPr fontId="21"/>
  </si>
  <si>
    <t>維持管理用機能の確保</t>
    <rPh sb="0" eb="2">
      <t>イジ</t>
    </rPh>
    <rPh sb="2" eb="5">
      <t>カンリヨウ</t>
    </rPh>
    <rPh sb="5" eb="7">
      <t>キノウ</t>
    </rPh>
    <rPh sb="8" eb="10">
      <t>カクホ</t>
    </rPh>
    <phoneticPr fontId="21"/>
  </si>
  <si>
    <t>1.3.3</t>
  </si>
  <si>
    <t>耐用性・信頼性</t>
    <rPh sb="4" eb="6">
      <t>シンライ</t>
    </rPh>
    <rPh sb="6" eb="7">
      <t>セイ</t>
    </rPh>
    <phoneticPr fontId="21"/>
  </si>
  <si>
    <t xml:space="preserve"> Q2 2</t>
  </si>
  <si>
    <t xml:space="preserve"> Q2 2.1</t>
  </si>
  <si>
    <t>耐震性</t>
  </si>
  <si>
    <t>免震・制振性能</t>
    <rPh sb="5" eb="7">
      <t>セイノウ</t>
    </rPh>
    <phoneticPr fontId="21"/>
  </si>
  <si>
    <t xml:space="preserve"> Q2 2.2</t>
  </si>
  <si>
    <t>外壁仕上げ材の補修必要間隔</t>
  </si>
  <si>
    <t>主要内装仕上げ材の更新必要間隔</t>
  </si>
  <si>
    <t>空調換気ダクトの更新必要間隔</t>
    <rPh sb="0" eb="2">
      <t>クウチョウ</t>
    </rPh>
    <rPh sb="2" eb="4">
      <t>カンキ</t>
    </rPh>
    <phoneticPr fontId="21"/>
  </si>
  <si>
    <t>空調・給排水配管の更新必要間隔</t>
    <rPh sb="0" eb="2">
      <t>クウチョウ</t>
    </rPh>
    <rPh sb="3" eb="4">
      <t>キュウ</t>
    </rPh>
    <rPh sb="4" eb="6">
      <t>ハイスイ</t>
    </rPh>
    <rPh sb="6" eb="8">
      <t>ハイカン</t>
    </rPh>
    <phoneticPr fontId="21"/>
  </si>
  <si>
    <t>主要設備機器の更新必要間隔</t>
  </si>
  <si>
    <t xml:space="preserve"> Q2 2.3</t>
  </si>
  <si>
    <t>主要設備機器の更新</t>
    <rPh sb="0" eb="2">
      <t>シュヨウ</t>
    </rPh>
    <rPh sb="2" eb="4">
      <t>セツビ</t>
    </rPh>
    <rPh sb="4" eb="6">
      <t>キキ</t>
    </rPh>
    <rPh sb="7" eb="9">
      <t>コウシン</t>
    </rPh>
    <phoneticPr fontId="21"/>
  </si>
  <si>
    <t xml:space="preserve"> Q2 2.4</t>
  </si>
  <si>
    <t>空調・換気設備</t>
  </si>
  <si>
    <t>2.4.2</t>
  </si>
  <si>
    <t>給排水・衛生設備</t>
  </si>
  <si>
    <t>2.4.3</t>
  </si>
  <si>
    <t>電気設備</t>
  </si>
  <si>
    <t>2.4.4</t>
  </si>
  <si>
    <t>機械・配管支持方法</t>
  </si>
  <si>
    <t>2.4.5</t>
  </si>
  <si>
    <t>通信・情報設備</t>
  </si>
  <si>
    <t>木　材</t>
    <rPh sb="0" eb="1">
      <t>キ</t>
    </rPh>
    <rPh sb="2" eb="3">
      <t>ザイ</t>
    </rPh>
    <phoneticPr fontId="21"/>
  </si>
  <si>
    <t>飲食店</t>
    <rPh sb="0" eb="2">
      <t>インショク</t>
    </rPh>
    <rPh sb="2" eb="3">
      <t>テン</t>
    </rPh>
    <phoneticPr fontId="21"/>
  </si>
  <si>
    <t>集合住宅</t>
    <rPh sb="0" eb="2">
      <t>シュウゴウ</t>
    </rPh>
    <rPh sb="2" eb="4">
      <t>ジュウタク</t>
    </rPh>
    <phoneticPr fontId="21"/>
  </si>
  <si>
    <t>2-2.　合計の計算</t>
    <rPh sb="5" eb="7">
      <t>ゴウケイ</t>
    </rPh>
    <rPh sb="8" eb="10">
      <t>ケイサン</t>
    </rPh>
    <phoneticPr fontId="21"/>
  </si>
  <si>
    <t>3-1.　建築物の取組み（②）</t>
    <rPh sb="5" eb="8">
      <t>ケンチクブツ</t>
    </rPh>
    <rPh sb="9" eb="11">
      <t>トリク</t>
    </rPh>
    <phoneticPr fontId="21"/>
  </si>
  <si>
    <t>参照値（①）</t>
    <rPh sb="0" eb="2">
      <t>サンショウ</t>
    </rPh>
    <rPh sb="2" eb="3">
      <t>チ</t>
    </rPh>
    <phoneticPr fontId="21"/>
  </si>
  <si>
    <t>3-2.　上記+上記以外のオンサイト手法（③）</t>
    <rPh sb="5" eb="7">
      <t>ジョウキ</t>
    </rPh>
    <rPh sb="8" eb="10">
      <t>ジョウキ</t>
    </rPh>
    <rPh sb="10" eb="12">
      <t>イガイ</t>
    </rPh>
    <rPh sb="18" eb="20">
      <t>シュホウ</t>
    </rPh>
    <phoneticPr fontId="21"/>
  </si>
  <si>
    <t>削減量</t>
    <rPh sb="0" eb="2">
      <t>サクゲン</t>
    </rPh>
    <rPh sb="2" eb="3">
      <t>リョウ</t>
    </rPh>
    <phoneticPr fontId="21"/>
  </si>
  <si>
    <t>空地率が、
　　・40％以上60％未満の場合　 (1ポイント)
　　・60％以上80％未満の場合　 (2ポイント)
　　・80％以上 (3ポイント)</t>
    <phoneticPr fontId="21"/>
  </si>
  <si>
    <t>II夏期における日陰を形成し、敷地内歩行者空間等の暑熱環境を緩和する</t>
    <phoneticPr fontId="21"/>
  </si>
  <si>
    <t>1)中・高木の植栽やピロティ、庇、パーゴラ等を設けることにより、日陰の形成に努める。</t>
    <phoneticPr fontId="21"/>
  </si>
  <si>
    <t>中・高木、ピロティ等の水平投影面積率が、
　　・10％以上20％未満の場合　 (1ポイント)
　　・20％以上30％未満の場合　 (2ポイント)
　　・30％以上の場合 (3ポイント)</t>
    <phoneticPr fontId="21"/>
  </si>
  <si>
    <t>III敷地内に緑地や水面等を確保し、敷地内歩行者空間等の暑熱環境を緩和する</t>
    <phoneticPr fontId="21"/>
  </si>
  <si>
    <t>1)緑地や水面を確保することにより、地表面温度や地表面近傍の気温等の上昇を抑制する。</t>
    <phoneticPr fontId="21"/>
  </si>
  <si>
    <t>2)敷地内の舗装面積を小さくするよう努める。</t>
    <phoneticPr fontId="21"/>
  </si>
  <si>
    <t>舗装面積率が、
　　・20％以上30％未満の場合 (1ポイント)
　　・10％以上20％未満の場合 (2ポイント)
　　・10％未満の場合　 (3ポイント)</t>
    <phoneticPr fontId="21"/>
  </si>
  <si>
    <t>IV建築外装材料に配慮し、敷地内歩行空間等の暑熱環境を緩和する</t>
    <phoneticPr fontId="21"/>
  </si>
  <si>
    <t>合計  [1]</t>
    <phoneticPr fontId="21"/>
  </si>
  <si>
    <t>自家消費分</t>
    <phoneticPr fontId="21"/>
  </si>
  <si>
    <t>地域区分Ⅲ</t>
  </si>
  <si>
    <t>1）概要入力</t>
    <rPh sb="2" eb="4">
      <t>ガイヨウ</t>
    </rPh>
    <rPh sb="4" eb="6">
      <t>ニュウリョク</t>
    </rPh>
    <phoneticPr fontId="21"/>
  </si>
  <si>
    <t>地域区分Ⅳ</t>
  </si>
  <si>
    <t>① 建物概要</t>
    <rPh sb="2" eb="4">
      <t>タテモノ</t>
    </rPh>
    <rPh sb="4" eb="6">
      <t>ガイヨウ</t>
    </rPh>
    <phoneticPr fontId="21"/>
  </si>
  <si>
    <t>地域区分Ⅴ</t>
  </si>
  <si>
    <t>地域区分Ⅵ</t>
  </si>
  <si>
    <t>■建物名称</t>
    <rPh sb="1" eb="3">
      <t>ﾀﾃﾓﾉ</t>
    </rPh>
    <rPh sb="3" eb="5">
      <t>ﾒｲｼｮｳ</t>
    </rPh>
    <phoneticPr fontId="34" type="noConversion"/>
  </si>
  <si>
    <t>○○県○○市</t>
    <rPh sb="2" eb="3">
      <t>ケン</t>
    </rPh>
    <rPh sb="5" eb="6">
      <t>シ</t>
    </rPh>
    <phoneticPr fontId="21"/>
  </si>
  <si>
    <t>3.3.1</t>
    <phoneticPr fontId="21"/>
  </si>
  <si>
    <t>照度</t>
    <phoneticPr fontId="21"/>
  </si>
  <si>
    <t>3.3.2</t>
    <phoneticPr fontId="21"/>
  </si>
  <si>
    <t>※個別計算</t>
    <rPh sb="1" eb="3">
      <t>コベツ</t>
    </rPh>
    <rPh sb="3" eb="5">
      <t>ケイサン</t>
    </rPh>
    <phoneticPr fontId="21"/>
  </si>
  <si>
    <t>室内全体に対して照明制御盤、器具等による大まかな調整ができる。</t>
    <phoneticPr fontId="21"/>
  </si>
  <si>
    <t>レベル３を満たしている。かつ、部分的に自動調光ができる。</t>
    <phoneticPr fontId="21"/>
  </si>
  <si>
    <t>4500N/㎡以上</t>
    <phoneticPr fontId="21"/>
  </si>
  <si>
    <t>5200N/㎡以上</t>
    <phoneticPr fontId="21"/>
  </si>
  <si>
    <t>3500N/㎡以上</t>
    <phoneticPr fontId="21"/>
  </si>
  <si>
    <t>2900N/㎡以上</t>
    <phoneticPr fontId="21"/>
  </si>
  <si>
    <t>設備の更新性</t>
    <rPh sb="0" eb="2">
      <t>セツビ</t>
    </rPh>
    <rPh sb="3" eb="5">
      <t>コウシン</t>
    </rPh>
    <rPh sb="5" eb="6">
      <t>セイ</t>
    </rPh>
    <phoneticPr fontId="21"/>
  </si>
  <si>
    <t>構造部材を痛めなければ空調配管の更新・修繕ができない。</t>
  </si>
  <si>
    <t>構造部材、仕上げ材を痛めなければ修繕、更新できない。</t>
  </si>
  <si>
    <t>IV 防犯性の配慮</t>
    <rPh sb="7" eb="9">
      <t>ハイリョ</t>
    </rPh>
    <phoneticPr fontId="21"/>
  </si>
  <si>
    <t>新築はなし</t>
    <rPh sb="0" eb="2">
      <t>シンチク</t>
    </rPh>
    <phoneticPr fontId="21"/>
  </si>
  <si>
    <t>V 屋外施設等の適切な維持管理（植栽管理を除く）</t>
    <rPh sb="2" eb="4">
      <t>オクガイ</t>
    </rPh>
    <rPh sb="4" eb="6">
      <t>シセツ</t>
    </rPh>
    <rPh sb="6" eb="7">
      <t>トウ</t>
    </rPh>
    <rPh sb="8" eb="10">
      <t>テキセツ</t>
    </rPh>
    <rPh sb="11" eb="13">
      <t>イジ</t>
    </rPh>
    <rPh sb="13" eb="15">
      <t>カンリ</t>
    </rPh>
    <rPh sb="16" eb="18">
      <t>ショクサイ</t>
    </rPh>
    <rPh sb="18" eb="20">
      <t>カンリ</t>
    </rPh>
    <rPh sb="21" eb="22">
      <t>ノゾ</t>
    </rPh>
    <phoneticPr fontId="21"/>
  </si>
  <si>
    <t>7) 屋外施設等の適切な維持管理の実施
屋外施設等（舗装・ファニチャー等）について適切な維持管理（清掃・洗浄・補修等）が実施されている。</t>
    <rPh sb="3" eb="5">
      <t>オクガイ</t>
    </rPh>
    <rPh sb="5" eb="7">
      <t>シセツ</t>
    </rPh>
    <rPh sb="7" eb="8">
      <t>トウ</t>
    </rPh>
    <rPh sb="9" eb="11">
      <t>テキセツ</t>
    </rPh>
    <rPh sb="12" eb="14">
      <t>イジ</t>
    </rPh>
    <rPh sb="14" eb="16">
      <t>カンリ</t>
    </rPh>
    <rPh sb="17" eb="19">
      <t>ジッシ</t>
    </rPh>
    <rPh sb="20" eb="22">
      <t>オクガイ</t>
    </rPh>
    <rPh sb="22" eb="24">
      <t>シセツ</t>
    </rPh>
    <rPh sb="24" eb="25">
      <t>トウ</t>
    </rPh>
    <rPh sb="26" eb="28">
      <t>ホソウ</t>
    </rPh>
    <rPh sb="35" eb="36">
      <t>トウ</t>
    </rPh>
    <rPh sb="41" eb="43">
      <t>テキセツ</t>
    </rPh>
    <rPh sb="44" eb="46">
      <t>イジ</t>
    </rPh>
    <rPh sb="46" eb="48">
      <t>カンリ</t>
    </rPh>
    <rPh sb="49" eb="51">
      <t>セイソウ</t>
    </rPh>
    <rPh sb="52" eb="54">
      <t>センジョウ</t>
    </rPh>
    <rPh sb="55" eb="57">
      <t>ホシュウ</t>
    </rPh>
    <rPh sb="57" eb="58">
      <t>トウ</t>
    </rPh>
    <rPh sb="60" eb="62">
      <t>ジッシ</t>
    </rPh>
    <phoneticPr fontId="21"/>
  </si>
  <si>
    <t>評価する取組み表の評価ポイントの合計値が0ポイント</t>
  </si>
  <si>
    <t>評価する取組み表の評価ポイントの合計値が1～5ポイント</t>
  </si>
  <si>
    <t>評価する取組み表の評価ポイントの合計値が6～11ポイント</t>
  </si>
  <si>
    <t>評価する取組み表の評価ポイントの合計値が12～17ポイント</t>
  </si>
  <si>
    <t>評価建物(③)の電力消費量</t>
    <phoneticPr fontId="21"/>
  </si>
  <si>
    <r>
      <t>kg-CO</t>
    </r>
    <r>
      <rPr>
        <vertAlign val="subscript"/>
        <sz val="10"/>
        <rFont val="ＭＳ Ｐゴシック"/>
        <family val="3"/>
        <charset val="128"/>
      </rPr>
      <t>2</t>
    </r>
    <r>
      <rPr>
        <sz val="10"/>
        <rFont val="ＭＳ Ｐゴシック"/>
        <family val="3"/>
        <charset val="128"/>
      </rPr>
      <t>/kWh</t>
    </r>
    <phoneticPr fontId="21"/>
  </si>
  <si>
    <t>実排出量との差</t>
    <phoneticPr fontId="21"/>
  </si>
  <si>
    <t>病院o</t>
    <phoneticPr fontId="21"/>
  </si>
  <si>
    <t>1)屋上(人工地盤を含む)のうち、人が出入りできる部分の緑化に努める。</t>
    <phoneticPr fontId="21"/>
  </si>
  <si>
    <t>　　・人が出入りできる屋上があり、一部緑化している場合(2ポイント)
　　・人が出入りできる屋上を広範囲で緑化している場合(3ポイント)</t>
    <phoneticPr fontId="21"/>
  </si>
  <si>
    <t>2)外壁面の材料に配慮する。</t>
    <phoneticPr fontId="21"/>
  </si>
  <si>
    <r>
      <t xml:space="preserve">3.2.3 </t>
    </r>
    <r>
      <rPr>
        <b/>
        <sz val="10"/>
        <rFont val="ＭＳ Ｐゴシック"/>
        <family val="3"/>
        <charset val="128"/>
      </rPr>
      <t>冷媒</t>
    </r>
    <rPh sb="6" eb="8">
      <t>レイバイ</t>
    </rPh>
    <phoneticPr fontId="21"/>
  </si>
  <si>
    <t>HCFCの冷媒を使用している。</t>
  </si>
  <si>
    <t>ODP=0の冷媒を使用している。</t>
  </si>
  <si>
    <t>自然冷媒・新冷凍システム（ODP=0）を使用し、かつGWP50未満の冷媒を使用している。</t>
  </si>
  <si>
    <t>ハロン消火剤の使用が認められるクリティカルユース用途   消防予第87号　消防危第84号　(平成17年4月28日)</t>
    <rPh sb="4" eb="5">
      <t>カ</t>
    </rPh>
    <phoneticPr fontId="21"/>
  </si>
  <si>
    <t>使用用途の種類</t>
  </si>
  <si>
    <t>用途例</t>
  </si>
  <si>
    <t>居室面積の1/10以上の開閉可能な窓を確保している。</t>
    <phoneticPr fontId="21"/>
  </si>
  <si>
    <t>評価点</t>
    <rPh sb="0" eb="3">
      <t>ヒョウカテン</t>
    </rPh>
    <phoneticPr fontId="21"/>
  </si>
  <si>
    <t>重み
係数</t>
    <rPh sb="0" eb="1">
      <t>オモ</t>
    </rPh>
    <phoneticPr fontId="21"/>
  </si>
  <si>
    <t>全体</t>
  </si>
  <si>
    <t>室内環境</t>
  </si>
  <si>
    <t>音環境</t>
    <rPh sb="0" eb="1">
      <t>ｵﾄ</t>
    </rPh>
    <rPh sb="1" eb="3">
      <t>ｶﾝｷｮｳ</t>
    </rPh>
    <phoneticPr fontId="34" type="noConversion"/>
  </si>
  <si>
    <t>騒音</t>
  </si>
  <si>
    <t>室内騒音レベル</t>
    <phoneticPr fontId="21"/>
  </si>
  <si>
    <t>設備騒音対策</t>
    <phoneticPr fontId="21"/>
  </si>
  <si>
    <t>遮音</t>
  </si>
  <si>
    <t>雨水利用率＝</t>
    <rPh sb="0" eb="2">
      <t>アマミズ</t>
    </rPh>
    <rPh sb="2" eb="4">
      <t>リヨウ</t>
    </rPh>
    <rPh sb="4" eb="5">
      <t>リツ</t>
    </rPh>
    <phoneticPr fontId="21"/>
  </si>
  <si>
    <t>雨水利用予測量（m³）</t>
    <rPh sb="4" eb="6">
      <t>ヨソク</t>
    </rPh>
    <phoneticPr fontId="21"/>
  </si>
  <si>
    <t>全体の用水予測量（上水+雨水利用量+雑排水利用量）（m³）</t>
    <rPh sb="0" eb="2">
      <t>ゼンタイ</t>
    </rPh>
    <rPh sb="3" eb="5">
      <t>ヨウスイ</t>
    </rPh>
    <rPh sb="5" eb="7">
      <t>ヨソク</t>
    </rPh>
    <rPh sb="7" eb="8">
      <t>リョウ</t>
    </rPh>
    <rPh sb="18" eb="21">
      <t>ザツハイスイ</t>
    </rPh>
    <rPh sb="21" eb="23">
      <t>リヨウ</t>
    </rPh>
    <rPh sb="23" eb="24">
      <t>リョウ</t>
    </rPh>
    <phoneticPr fontId="21"/>
  </si>
  <si>
    <t>学(小中高)</t>
    <rPh sb="0" eb="1">
      <t>ガク</t>
    </rPh>
    <rPh sb="2" eb="3">
      <t>ショウ</t>
    </rPh>
    <rPh sb="3" eb="4">
      <t>チュウ</t>
    </rPh>
    <rPh sb="4" eb="5">
      <t>コウ</t>
    </rPh>
    <phoneticPr fontId="21"/>
  </si>
  <si>
    <t>■使用評価マニュアル：</t>
    <rPh sb="1" eb="3">
      <t>シヨウ</t>
    </rPh>
    <rPh sb="3" eb="5">
      <t>ヒョウカ</t>
    </rPh>
    <phoneticPr fontId="21"/>
  </si>
  <si>
    <t>ビルマルチエアコン室外機等からの騒音</t>
    <rPh sb="9" eb="12">
      <t>シツガイキ</t>
    </rPh>
    <rPh sb="12" eb="13">
      <t>トウ</t>
    </rPh>
    <rPh sb="16" eb="18">
      <t>ソウオン</t>
    </rPh>
    <phoneticPr fontId="21"/>
  </si>
  <si>
    <t>防音塀、遮蔽体、防振支持、位置など</t>
    <rPh sb="0" eb="2">
      <t>ボウオン</t>
    </rPh>
    <rPh sb="2" eb="3">
      <t>ヘイ</t>
    </rPh>
    <rPh sb="4" eb="6">
      <t>シャヘイ</t>
    </rPh>
    <rPh sb="6" eb="7">
      <t>タイ</t>
    </rPh>
    <rPh sb="8" eb="12">
      <t>ボウシンシジ</t>
    </rPh>
    <rPh sb="13" eb="15">
      <t>イチ</t>
    </rPh>
    <phoneticPr fontId="21"/>
  </si>
  <si>
    <t>項目</t>
    <rPh sb="0" eb="2">
      <t>コウモク</t>
    </rPh>
    <phoneticPr fontId="21"/>
  </si>
  <si>
    <t>B．住宅における設備騒音対策の評価する取組み</t>
    <rPh sb="2" eb="4">
      <t>ジュウタク</t>
    </rPh>
    <rPh sb="8" eb="10">
      <t>セツビ</t>
    </rPh>
    <rPh sb="10" eb="12">
      <t>ソウオン</t>
    </rPh>
    <rPh sb="12" eb="14">
      <t>タイサク</t>
    </rPh>
    <rPh sb="15" eb="17">
      <t>ヒョウカ</t>
    </rPh>
    <rPh sb="19" eb="20">
      <t>ト</t>
    </rPh>
    <rPh sb="20" eb="21">
      <t>ク</t>
    </rPh>
    <phoneticPr fontId="21"/>
  </si>
  <si>
    <t>住宅</t>
    <rPh sb="0" eb="2">
      <t>ジュウタク</t>
    </rPh>
    <phoneticPr fontId="21"/>
  </si>
  <si>
    <t>トイレ、浴室等の給配水音、排水音、使用音</t>
    <rPh sb="11" eb="12">
      <t>オン</t>
    </rPh>
    <rPh sb="13" eb="15">
      <t>ハイスイ</t>
    </rPh>
    <rPh sb="15" eb="16">
      <t>オン</t>
    </rPh>
    <rPh sb="17" eb="19">
      <t>シヨウ</t>
    </rPh>
    <rPh sb="19" eb="20">
      <t>オン</t>
    </rPh>
    <phoneticPr fontId="21"/>
  </si>
  <si>
    <t>宴会場</t>
    <rPh sb="0" eb="3">
      <t>エンカイジョウ</t>
    </rPh>
    <phoneticPr fontId="21"/>
  </si>
  <si>
    <t>重役室・大会議室</t>
    <rPh sb="0" eb="3">
      <t>ジュウヤクシツ</t>
    </rPh>
    <rPh sb="4" eb="8">
      <t>ダイカイギシツ</t>
    </rPh>
    <phoneticPr fontId="21"/>
  </si>
  <si>
    <t>応接室</t>
    <rPh sb="0" eb="3">
      <t>オウセツシツ</t>
    </rPh>
    <phoneticPr fontId="21"/>
  </si>
  <si>
    <t>広さ・収納性</t>
    <rPh sb="0" eb="1">
      <t>ヒロ</t>
    </rPh>
    <rPh sb="3" eb="5">
      <t>シュウノウ</t>
    </rPh>
    <rPh sb="5" eb="6">
      <t>セイ</t>
    </rPh>
    <phoneticPr fontId="21"/>
  </si>
  <si>
    <t>高度情報通信設備対応</t>
    <rPh sb="0" eb="2">
      <t>コウド</t>
    </rPh>
    <rPh sb="2" eb="4">
      <t>ジョウホウ</t>
    </rPh>
    <rPh sb="4" eb="6">
      <t>ツウシン</t>
    </rPh>
    <rPh sb="6" eb="8">
      <t>セツビ</t>
    </rPh>
    <rPh sb="8" eb="10">
      <t>タイオウ</t>
    </rPh>
    <phoneticPr fontId="21"/>
  </si>
  <si>
    <t>バリアフリー計画</t>
    <rPh sb="6" eb="8">
      <t>ケイカク</t>
    </rPh>
    <phoneticPr fontId="21"/>
  </si>
  <si>
    <t>売電分</t>
    <rPh sb="0" eb="2">
      <t>バイデン</t>
    </rPh>
    <rPh sb="2" eb="3">
      <t>ブン</t>
    </rPh>
    <phoneticPr fontId="21"/>
  </si>
  <si>
    <t>修繕・更新・解体</t>
    <rPh sb="3" eb="5">
      <t>コウシン</t>
    </rPh>
    <phoneticPr fontId="21"/>
  </si>
  <si>
    <t>レベル３程度の空調ゾーニングがなされ、さらにゾーン別に冷房・暖房の選択が可能な空調システムが計画されている。</t>
    <phoneticPr fontId="21"/>
  </si>
  <si>
    <t>60＜ [騒音レベル]</t>
    <phoneticPr fontId="21"/>
  </si>
  <si>
    <t>　レベル　1</t>
    <phoneticPr fontId="21"/>
  </si>
  <si>
    <t>■レベル　1</t>
    <phoneticPr fontId="21"/>
  </si>
  <si>
    <t>-</t>
    <phoneticPr fontId="21"/>
  </si>
  <si>
    <t>(該当するレベルなし)</t>
  </si>
  <si>
    <t>50＜ [騒音レベル] ≦60</t>
    <phoneticPr fontId="21"/>
  </si>
  <si>
    <t>■自然エネルギーの直接利用量</t>
    <rPh sb="1" eb="3">
      <t>シゼン</t>
    </rPh>
    <rPh sb="9" eb="11">
      <t>チョクセツ</t>
    </rPh>
    <rPh sb="11" eb="13">
      <t>リヨウ</t>
    </rPh>
    <rPh sb="13" eb="14">
      <t>リョウ</t>
    </rPh>
    <phoneticPr fontId="21"/>
  </si>
  <si>
    <t>■LR1　「省エネルギー計画書」等からの必要事項の転記</t>
    <rPh sb="16" eb="17">
      <t>トウ</t>
    </rPh>
    <phoneticPr fontId="21"/>
  </si>
  <si>
    <t>建築物の取組み（②）</t>
    <rPh sb="0" eb="3">
      <t>ケンチクブツ</t>
    </rPh>
    <rPh sb="4" eb="6">
      <t>トリク</t>
    </rPh>
    <phoneticPr fontId="21"/>
  </si>
  <si>
    <t>LCCO2算定における運用段階のエネルギー消費量(標準計算)</t>
    <rPh sb="5" eb="7">
      <t>サンテイ</t>
    </rPh>
    <rPh sb="11" eb="13">
      <t>ウンヨウ</t>
    </rPh>
    <rPh sb="13" eb="15">
      <t>ダンカイ</t>
    </rPh>
    <rPh sb="21" eb="24">
      <t>ショウヒリョウ</t>
    </rPh>
    <rPh sb="25" eb="27">
      <t>ヒョウジュン</t>
    </rPh>
    <rPh sb="27" eb="29">
      <t>ケイサン</t>
    </rPh>
    <phoneticPr fontId="21"/>
  </si>
  <si>
    <t>建物外皮の熱負荷抑制</t>
    <rPh sb="0" eb="2">
      <t>タテモノ</t>
    </rPh>
    <rPh sb="2" eb="4">
      <t>ガイヒ</t>
    </rPh>
    <rPh sb="5" eb="6">
      <t>ネツ</t>
    </rPh>
    <rPh sb="6" eb="8">
      <t>フカ</t>
    </rPh>
    <rPh sb="8" eb="10">
      <t>ヨクセイ</t>
    </rPh>
    <phoneticPr fontId="21"/>
  </si>
  <si>
    <t>空気取り入れ口は敷地周囲の状況を勘案して、汚染源のない方位に設けられている。</t>
    <phoneticPr fontId="21"/>
  </si>
  <si>
    <t>空気取り入れ口は敷地周囲の状況を勘案して、汚染源のない方位に設けられている。かつ、各種排気口と異なる方位か、または3ｍ以上離れて設置されている。</t>
    <phoneticPr fontId="21"/>
  </si>
  <si>
    <t>空気取り入れ口は敷地周囲の状況を勘案して、汚染源のない方位に設けられている。かつ、各種排気口と異なる方位で、かつ6ｍ以上離れて設置されている。</t>
    <phoneticPr fontId="21"/>
  </si>
  <si>
    <t>外気が空調機でレタンと混合され各室に熱負荷から決まる風量で配分される等、各室の負荷条件によっては、必ずしも必要な場所に必要な外気量が保証されないシステムとなっている。</t>
    <phoneticPr fontId="21"/>
  </si>
  <si>
    <t>商業建物</t>
    <rPh sb="0" eb="2">
      <t>ショウギョウ</t>
    </rPh>
    <rPh sb="2" eb="4">
      <t>タテモノ</t>
    </rPh>
    <phoneticPr fontId="21"/>
  </si>
  <si>
    <t>音楽喫茶店</t>
    <rPh sb="0" eb="2">
      <t>オンガク</t>
    </rPh>
    <rPh sb="2" eb="5">
      <t>キッサテン</t>
    </rPh>
    <phoneticPr fontId="21"/>
  </si>
  <si>
    <t>書籍店</t>
    <rPh sb="0" eb="2">
      <t>ショセキ</t>
    </rPh>
    <rPh sb="2" eb="3">
      <t>テン</t>
    </rPh>
    <phoneticPr fontId="21"/>
  </si>
  <si>
    <t>一般商店</t>
    <rPh sb="0" eb="2">
      <t>イッパン</t>
    </rPh>
    <rPh sb="2" eb="4">
      <t>ショウテン</t>
    </rPh>
    <phoneticPr fontId="21"/>
  </si>
  <si>
    <t>小会議室</t>
    <rPh sb="0" eb="4">
      <t>ショウカイギシツ</t>
    </rPh>
    <phoneticPr fontId="21"/>
  </si>
  <si>
    <t>タイプ・計算室</t>
    <rPh sb="4" eb="6">
      <t>ケイサン</t>
    </rPh>
    <rPh sb="6" eb="7">
      <t>シツ</t>
    </rPh>
    <phoneticPr fontId="21"/>
  </si>
  <si>
    <t>公共建物</t>
    <rPh sb="0" eb="2">
      <t>コウキョウ</t>
    </rPh>
    <rPh sb="2" eb="4">
      <t>タテモノ</t>
    </rPh>
    <phoneticPr fontId="21"/>
  </si>
  <si>
    <t>公会堂</t>
    <rPh sb="0" eb="3">
      <t>コウカイドウ</t>
    </rPh>
    <phoneticPr fontId="21"/>
  </si>
  <si>
    <t>美術館・博物館</t>
    <rPh sb="0" eb="2">
      <t>ビジュツ</t>
    </rPh>
    <rPh sb="2" eb="3">
      <t>カン</t>
    </rPh>
    <rPh sb="4" eb="7">
      <t>ハクブツカン</t>
    </rPh>
    <phoneticPr fontId="21"/>
  </si>
  <si>
    <t>図書閲覧室</t>
    <rPh sb="0" eb="2">
      <t>トショ</t>
    </rPh>
    <rPh sb="2" eb="4">
      <t>エツラン</t>
    </rPh>
    <rPh sb="4" eb="5">
      <t>シツ</t>
    </rPh>
    <phoneticPr fontId="21"/>
  </si>
  <si>
    <t>公会堂兼体育館</t>
    <rPh sb="0" eb="3">
      <t>コウカイドウ</t>
    </rPh>
    <rPh sb="3" eb="4">
      <t>ケン</t>
    </rPh>
    <rPh sb="4" eb="7">
      <t>タイイクカン</t>
    </rPh>
    <phoneticPr fontId="21"/>
  </si>
  <si>
    <t>屋内スポーツ施設（拡）</t>
    <rPh sb="0" eb="2">
      <t>オクナイ</t>
    </rPh>
    <rPh sb="6" eb="8">
      <t>シセツ</t>
    </rPh>
    <rPh sb="9" eb="10">
      <t>ヒロム</t>
    </rPh>
    <phoneticPr fontId="21"/>
  </si>
  <si>
    <t>学校・教会</t>
    <rPh sb="0" eb="2">
      <t>ガッコウ</t>
    </rPh>
    <rPh sb="3" eb="5">
      <t>キョウカイ</t>
    </rPh>
    <phoneticPr fontId="21"/>
  </si>
  <si>
    <t>音楽教室</t>
    <rPh sb="0" eb="2">
      <t>オンガク</t>
    </rPh>
    <rPh sb="2" eb="4">
      <t>キョウシツ</t>
    </rPh>
    <phoneticPr fontId="21"/>
  </si>
  <si>
    <t>3.1　空調設備</t>
    <rPh sb="4" eb="6">
      <t>クウチョウ</t>
    </rPh>
    <rPh sb="6" eb="8">
      <t>セツビ</t>
    </rPh>
    <phoneticPr fontId="21"/>
  </si>
  <si>
    <t>歴史的遺産等</t>
    <phoneticPr fontId="21"/>
  </si>
  <si>
    <t>その他</t>
    <phoneticPr fontId="21"/>
  </si>
  <si>
    <t>プラスチック系発泡断熱材に使用された発泡剤種類</t>
    <phoneticPr fontId="21"/>
  </si>
  <si>
    <t>ＯＤＰ</t>
    <phoneticPr fontId="21"/>
  </si>
  <si>
    <t>CFC-11</t>
    <phoneticPr fontId="21"/>
  </si>
  <si>
    <t>HCFC-141b</t>
    <phoneticPr fontId="21"/>
  </si>
  <si>
    <t>HFC-134a</t>
    <phoneticPr fontId="21"/>
  </si>
  <si>
    <t>HFC-245fa</t>
    <phoneticPr fontId="21"/>
  </si>
  <si>
    <t>悪臭</t>
    <rPh sb="0" eb="2">
      <t>アクシュウ</t>
    </rPh>
    <phoneticPr fontId="21"/>
  </si>
  <si>
    <t>LR3 3.2</t>
  </si>
  <si>
    <t>LR3 3.3</t>
  </si>
  <si>
    <t>光害の抑制</t>
    <rPh sb="0" eb="1">
      <t>ﾋｶﾘ</t>
    </rPh>
    <phoneticPr fontId="34" type="noConversion"/>
  </si>
  <si>
    <t>耐震･免震</t>
    <rPh sb="0" eb="2">
      <t>タイシン</t>
    </rPh>
    <rPh sb="3" eb="4">
      <t>メン</t>
    </rPh>
    <rPh sb="4" eb="5">
      <t>フル</t>
    </rPh>
    <phoneticPr fontId="21"/>
  </si>
  <si>
    <t>耐震性</t>
    <rPh sb="0" eb="3">
      <t>タイシンセイ</t>
    </rPh>
    <phoneticPr fontId="21"/>
  </si>
  <si>
    <t>免震・制振性能</t>
    <rPh sb="0" eb="1">
      <t>メン</t>
    </rPh>
    <rPh sb="1" eb="2">
      <t>シン</t>
    </rPh>
    <rPh sb="3" eb="4">
      <t>セイ</t>
    </rPh>
    <rPh sb="4" eb="5">
      <t>オサム</t>
    </rPh>
    <rPh sb="5" eb="7">
      <t>セイノウ</t>
    </rPh>
    <phoneticPr fontId="21"/>
  </si>
  <si>
    <t>部品・部材の耐用年数</t>
    <rPh sb="0" eb="2">
      <t>ブヒン</t>
    </rPh>
    <rPh sb="3" eb="4">
      <t>ブ</t>
    </rPh>
    <rPh sb="4" eb="5">
      <t>ザイ</t>
    </rPh>
    <rPh sb="6" eb="8">
      <t>タイヨウ</t>
    </rPh>
    <rPh sb="8" eb="10">
      <t>ネンスウ</t>
    </rPh>
    <phoneticPr fontId="21"/>
  </si>
  <si>
    <r>
      <t>LR1</t>
    </r>
    <r>
      <rPr>
        <b/>
        <sz val="14"/>
        <rFont val="ＭＳ Ｐゴシック"/>
        <family val="3"/>
        <charset val="128"/>
      </rPr>
      <t>　エネルギー</t>
    </r>
    <phoneticPr fontId="21"/>
  </si>
  <si>
    <t>レベル３に満たない</t>
    <phoneticPr fontId="2"/>
  </si>
  <si>
    <t>事・学・物・飲・会・病・ホ</t>
    <phoneticPr fontId="21"/>
  </si>
  <si>
    <t>(a)　グリーン電力証書によるカーボンオフセット</t>
    <phoneticPr fontId="21"/>
  </si>
  <si>
    <t>空気取り入れ口は敷地周囲の状況を勘案して、汚染源のない方位に設けられている。かつ、各種排気口と異なる方位で、かつ6ｍ以上離れて設置されている。</t>
  </si>
  <si>
    <r>
      <t xml:space="preserve">4.2.4 </t>
    </r>
    <r>
      <rPr>
        <b/>
        <sz val="10"/>
        <rFont val="ＭＳ Ｐゴシック"/>
        <family val="3"/>
        <charset val="128"/>
      </rPr>
      <t>給気計画</t>
    </r>
    <rPh sb="6" eb="7">
      <t>キュウ</t>
    </rPh>
    <rPh sb="7" eb="8">
      <t>キ</t>
    </rPh>
    <rPh sb="8" eb="10">
      <t>ケイカク</t>
    </rPh>
    <phoneticPr fontId="21"/>
  </si>
  <si>
    <t>事・学・物・飲・会・病・ホ・工・住</t>
    <phoneticPr fontId="21"/>
  </si>
  <si>
    <t>レベル３に満たない</t>
    <phoneticPr fontId="21"/>
  </si>
  <si>
    <t>冷暖房平均COPが1.25以上の熱源機器を採用</t>
    <phoneticPr fontId="21"/>
  </si>
  <si>
    <t>レベル３に加え、空調対象面積の50％以上に全熱交換器を採用</t>
    <phoneticPr fontId="21"/>
  </si>
  <si>
    <t>＜７種類の制御方式＞
カード・センサー等による在室検知制御、明るさ感知による自動点滅制御、適正照度制御（初期照度補正）、タイムスケジュール制御、昼光利用照明制御、ゾーニング制御、局所制御</t>
    <phoneticPr fontId="21"/>
  </si>
  <si>
    <t>レベル３に満たない</t>
    <phoneticPr fontId="2"/>
  </si>
  <si>
    <t>レベル３に加え、７種類のうち２種類以上採用されている。</t>
    <phoneticPr fontId="2"/>
  </si>
  <si>
    <t>レベル３に加え、７種類のうち４種類以上採用されている。</t>
    <phoneticPr fontId="2"/>
  </si>
  <si>
    <t>既存なし</t>
    <rPh sb="0" eb="2">
      <t>キソン</t>
    </rPh>
    <phoneticPr fontId="21"/>
  </si>
  <si>
    <t>②①に加えさらに現地測定を行った場合や広域気象データや地形データに基づいた広域大気環境予測システムで補完してより詳細に調査した場合(2ポイント)</t>
  </si>
  <si>
    <t>II敷地外への熱的な影響を低減する対策</t>
  </si>
  <si>
    <t>1.2.4 界床遮音性能（重量衝撃源）</t>
    <phoneticPr fontId="21"/>
  </si>
  <si>
    <t>人のとびはねや走り回る音がうるさい。　</t>
    <phoneticPr fontId="21"/>
  </si>
  <si>
    <t>人のとびはねや走り回る音がかなり気になる。</t>
    <phoneticPr fontId="21"/>
  </si>
  <si>
    <t>人のとびはねや走り回る音がよく聞こえる。</t>
    <phoneticPr fontId="21"/>
  </si>
  <si>
    <t>人のとびはねや走り回る音が聞こえる。</t>
    <phoneticPr fontId="21"/>
  </si>
  <si>
    <t>人のとびはねや走り回る音が小さく聞こえる。</t>
    <phoneticPr fontId="21"/>
  </si>
  <si>
    <t>人のとびはねや走り回る音が聞こえるが意識することはあまりない。</t>
    <phoneticPr fontId="21"/>
  </si>
  <si>
    <t>病・ホ</t>
    <phoneticPr fontId="21"/>
  </si>
  <si>
    <t>壁、床、天井のうち二面に吸音材を使用している。</t>
    <phoneticPr fontId="21"/>
  </si>
  <si>
    <t>壁、床、天井に吸音材を使用している。</t>
    <phoneticPr fontId="21"/>
  </si>
  <si>
    <t>建物全体・共用部分</t>
    <phoneticPr fontId="21"/>
  </si>
  <si>
    <t>住</t>
    <phoneticPr fontId="21"/>
  </si>
  <si>
    <t>冬期20℃、夏期28℃と多少我慢を強いる室温設定。</t>
    <phoneticPr fontId="21"/>
  </si>
  <si>
    <t>冬期10℃以上、夏期30℃以下と多少我慢を強いる室温設定。</t>
    <phoneticPr fontId="21"/>
  </si>
  <si>
    <t>冬期18℃、夏期28℃程度と多少我慢を強いる室温設定。</t>
    <phoneticPr fontId="21"/>
  </si>
  <si>
    <t>各室において冬期18℃、夏期28℃程度を強いる設定としている。</t>
    <phoneticPr fontId="21"/>
  </si>
  <si>
    <t>一般的な冬期22℃、夏期26℃の設定。</t>
    <phoneticPr fontId="21"/>
  </si>
  <si>
    <t>王子製紙株式会社</t>
  </si>
  <si>
    <t>沖縄電力株式会社</t>
  </si>
  <si>
    <t>株式会社Ｆ－Ｐｏｗｅｒ</t>
  </si>
  <si>
    <t>株式会社エネット</t>
  </si>
  <si>
    <t>関西電力株式会社</t>
  </si>
  <si>
    <t>丸紅株式会社</t>
  </si>
  <si>
    <t>九州電力株式会社</t>
  </si>
  <si>
    <t>四国電力株式会社</t>
  </si>
  <si>
    <t>昭和シェル石油株式会社</t>
  </si>
  <si>
    <t>中国電力株式会社</t>
  </si>
  <si>
    <t>中部電力株式会社</t>
  </si>
  <si>
    <t>東京電力株式会社</t>
  </si>
  <si>
    <t>東北電力株式会社</t>
  </si>
  <si>
    <t>北海道電力株式会社</t>
  </si>
  <si>
    <t>北陸電力株式会社</t>
  </si>
  <si>
    <t>←</t>
    <phoneticPr fontId="21"/>
  </si>
  <si>
    <t>■使用評価ソフト：</t>
    <rPh sb="1" eb="3">
      <t>シヨウ</t>
    </rPh>
    <rPh sb="3" eb="5">
      <t>ヒョウカ</t>
    </rPh>
    <phoneticPr fontId="21"/>
  </si>
  <si>
    <r>
      <t>1-1</t>
    </r>
    <r>
      <rPr>
        <b/>
        <sz val="12"/>
        <color indexed="9"/>
        <rFont val="ＭＳ Ｐゴシック"/>
        <family val="3"/>
        <charset val="128"/>
      </rPr>
      <t>　建物概要</t>
    </r>
    <rPh sb="4" eb="5">
      <t>ｹﾝ</t>
    </rPh>
    <rPh sb="5" eb="6">
      <t>ﾓﾉ</t>
    </rPh>
    <rPh sb="6" eb="8">
      <t>ｶﾞｲﾖｳ</t>
    </rPh>
    <phoneticPr fontId="34" type="noConversion"/>
  </si>
  <si>
    <r>
      <t>1-2</t>
    </r>
    <r>
      <rPr>
        <b/>
        <sz val="12"/>
        <color indexed="9"/>
        <rFont val="ＭＳ Ｐゴシック"/>
        <family val="3"/>
        <charset val="128"/>
      </rPr>
      <t>　外観</t>
    </r>
    <rPh sb="4" eb="6">
      <t>ガイカン</t>
    </rPh>
    <phoneticPr fontId="21"/>
  </si>
  <si>
    <t>BEE rank</t>
    <phoneticPr fontId="21"/>
  </si>
  <si>
    <t>radar chart</t>
    <phoneticPr fontId="21"/>
  </si>
  <si>
    <t>建物名称</t>
    <rPh sb="0" eb="2">
      <t>ﾀﾃﾓﾉ</t>
    </rPh>
    <rPh sb="2" eb="4">
      <t>ﾒｲｼｮｳ</t>
    </rPh>
    <phoneticPr fontId="34" type="noConversion"/>
  </si>
  <si>
    <t>階数</t>
    <rPh sb="0" eb="2">
      <t>カイスウ</t>
    </rPh>
    <phoneticPr fontId="21"/>
  </si>
  <si>
    <t>radar chart</t>
  </si>
  <si>
    <t>Score(RoundDown)</t>
    <phoneticPr fontId="21"/>
  </si>
  <si>
    <t>建設地</t>
    <rPh sb="0" eb="3">
      <t>ｹﾝｾﾂﾁ</t>
    </rPh>
    <phoneticPr fontId="34" type="noConversion"/>
  </si>
  <si>
    <t>構造</t>
    <rPh sb="0" eb="2">
      <t>コウゾウ</t>
    </rPh>
    <phoneticPr fontId="21"/>
  </si>
  <si>
    <r>
      <t xml:space="preserve">2.2.5 </t>
    </r>
    <r>
      <rPr>
        <b/>
        <sz val="10"/>
        <rFont val="ＭＳ Ｐゴシック"/>
        <family val="3"/>
        <charset val="128"/>
      </rPr>
      <t>空調・給排水配管の更新必要間隔</t>
    </r>
    <rPh sb="6" eb="8">
      <t>クウチョウ</t>
    </rPh>
    <rPh sb="9" eb="10">
      <t>キュウ</t>
    </rPh>
    <rPh sb="10" eb="12">
      <t>ハイスイ</t>
    </rPh>
    <rPh sb="12" eb="14">
      <t>ハイカン</t>
    </rPh>
    <rPh sb="15" eb="17">
      <t>コウシン</t>
    </rPh>
    <rPh sb="17" eb="19">
      <t>ヒツヨウ</t>
    </rPh>
    <rPh sb="19" eb="21">
      <t>カンカク</t>
    </rPh>
    <phoneticPr fontId="21"/>
  </si>
  <si>
    <t>７年以上～１５年未満</t>
  </si>
  <si>
    <t>主要な用途上位3種のほぼ全てにD以上を使用</t>
    <rPh sb="0" eb="2">
      <t>シュヨウ</t>
    </rPh>
    <rPh sb="3" eb="5">
      <t>ヨウト</t>
    </rPh>
    <rPh sb="5" eb="7">
      <t>ジョウイ</t>
    </rPh>
    <rPh sb="8" eb="9">
      <t>シュ</t>
    </rPh>
    <rPh sb="12" eb="13">
      <t>スベ</t>
    </rPh>
    <rPh sb="16" eb="18">
      <t>イジョウ</t>
    </rPh>
    <rPh sb="19" eb="21">
      <t>シヨウ</t>
    </rPh>
    <phoneticPr fontId="21"/>
  </si>
  <si>
    <t>１５年</t>
  </si>
  <si>
    <t>平均居住人員</t>
    <rPh sb="0" eb="2">
      <t>ﾍｲｷﾝ</t>
    </rPh>
    <rPh sb="2" eb="4">
      <t>ｷｮｼﾞｭｳ</t>
    </rPh>
    <rPh sb="4" eb="6">
      <t>ｼﾞﾝｲﾝ</t>
    </rPh>
    <phoneticPr fontId="34" type="noConversion"/>
  </si>
  <si>
    <t>人</t>
    <rPh sb="0" eb="1">
      <t>ニン</t>
    </rPh>
    <phoneticPr fontId="21"/>
  </si>
  <si>
    <r>
      <t xml:space="preserve">Q3 </t>
    </r>
    <r>
      <rPr>
        <sz val="11"/>
        <rFont val="ＭＳ Ｐゴシック"/>
        <family val="3"/>
        <charset val="128"/>
      </rPr>
      <t xml:space="preserve">室外環境
</t>
    </r>
    <r>
      <rPr>
        <sz val="11"/>
        <rFont val="Arial"/>
        <family val="2"/>
      </rPr>
      <t>(</t>
    </r>
    <r>
      <rPr>
        <sz val="11"/>
        <rFont val="ＭＳ Ｐゴシック"/>
        <family val="3"/>
        <charset val="128"/>
      </rPr>
      <t>敷地内</t>
    </r>
    <r>
      <rPr>
        <sz val="11"/>
        <rFont val="Arial"/>
        <family val="2"/>
      </rPr>
      <t>)</t>
    </r>
    <rPh sb="11" eb="12">
      <t>ナイ</t>
    </rPh>
    <phoneticPr fontId="21"/>
  </si>
  <si>
    <t>年間使用時間</t>
    <rPh sb="0" eb="2">
      <t>ﾈﾝｶﾝ</t>
    </rPh>
    <rPh sb="2" eb="4">
      <t>ｼﾖｳ</t>
    </rPh>
    <rPh sb="4" eb="6">
      <t>ｼﾞｶﾝ</t>
    </rPh>
    <phoneticPr fontId="34" type="noConversion"/>
  </si>
  <si>
    <r>
      <t>時間</t>
    </r>
    <r>
      <rPr>
        <sz val="10"/>
        <rFont val="Arial"/>
        <family val="2"/>
      </rPr>
      <t>/</t>
    </r>
    <r>
      <rPr>
        <sz val="10"/>
        <rFont val="ＭＳ Ｐゴシック"/>
        <family val="3"/>
        <charset val="128"/>
      </rPr>
      <t>年</t>
    </r>
    <rPh sb="0" eb="2">
      <t>ジカン</t>
    </rPh>
    <rPh sb="3" eb="4">
      <t>ネン</t>
    </rPh>
    <phoneticPr fontId="21"/>
  </si>
  <si>
    <t>L</t>
    <phoneticPr fontId="21"/>
  </si>
  <si>
    <t>LR3 
敷地外環境</t>
    <rPh sb="5" eb="7">
      <t>シキチ</t>
    </rPh>
    <rPh sb="7" eb="8">
      <t>ガイ</t>
    </rPh>
    <rPh sb="8" eb="10">
      <t>カンキョウ</t>
    </rPh>
    <phoneticPr fontId="21"/>
  </si>
  <si>
    <t>建物用途</t>
    <rPh sb="0" eb="2">
      <t>ﾀﾃﾓﾉ</t>
    </rPh>
    <rPh sb="2" eb="4">
      <t>ﾖｳﾄ</t>
    </rPh>
    <phoneticPr fontId="34" type="noConversion"/>
  </si>
  <si>
    <t>評価の段階</t>
    <rPh sb="0" eb="2">
      <t>ヒョウカ</t>
    </rPh>
    <rPh sb="3" eb="5">
      <t>ダンカイ</t>
    </rPh>
    <phoneticPr fontId="21"/>
  </si>
  <si>
    <t>外観パース等</t>
    <rPh sb="0" eb="2">
      <t>ガイカン</t>
    </rPh>
    <rPh sb="5" eb="6">
      <t>トウ</t>
    </rPh>
    <phoneticPr fontId="21"/>
  </si>
  <si>
    <t>BEE</t>
    <phoneticPr fontId="21"/>
  </si>
  <si>
    <t>LR2 資源・
マテリアル</t>
    <rPh sb="4" eb="6">
      <t>シゲン</t>
    </rPh>
    <phoneticPr fontId="21"/>
  </si>
  <si>
    <t>レベル３を満たさない。</t>
    <phoneticPr fontId="21"/>
  </si>
  <si>
    <t>（該当するレベルなし）</t>
    <phoneticPr fontId="21"/>
  </si>
  <si>
    <t>教室の不足がある</t>
    <phoneticPr fontId="21"/>
  </si>
  <si>
    <t>1人当たりの執務スペースが6㎡以上。</t>
    <phoneticPr fontId="21"/>
  </si>
  <si>
    <t>教室の不足がない</t>
    <phoneticPr fontId="21"/>
  </si>
  <si>
    <t>（該当するレベルなし）</t>
    <phoneticPr fontId="21"/>
  </si>
  <si>
    <t>1人当たりの執務スペースが12㎡以上。</t>
    <phoneticPr fontId="21"/>
  </si>
  <si>
    <t>主要構造部が木造躯体の時</t>
    <phoneticPr fontId="21"/>
  </si>
  <si>
    <t>CO2削減量</t>
    <rPh sb="3" eb="5">
      <t>サクゲン</t>
    </rPh>
    <rPh sb="5" eb="6">
      <t>リョウ</t>
    </rPh>
    <phoneticPr fontId="21"/>
  </si>
  <si>
    <t>算定に用いた排出係数</t>
    <rPh sb="0" eb="2">
      <t>サンテイ</t>
    </rPh>
    <rPh sb="3" eb="4">
      <t>モチ</t>
    </rPh>
    <rPh sb="6" eb="8">
      <t>ハイシュツ</t>
    </rPh>
    <rPh sb="8" eb="10">
      <t>ケイスウ</t>
    </rPh>
    <phoneticPr fontId="21"/>
  </si>
  <si>
    <t>2100N/㎡以上～2900N/㎡未満</t>
    <phoneticPr fontId="21"/>
  </si>
  <si>
    <t>各住戸または各客室に電話、放送に対応した通信回線が引き込まれている。</t>
    <phoneticPr fontId="21"/>
  </si>
  <si>
    <r>
      <t>ＯＡフロア等によりレイアウト変更に対応できるようになっており、かつＯＡ機器用コンセント容量が30ＶＡ/ｍ</t>
    </r>
    <r>
      <rPr>
        <vertAlign val="superscript"/>
        <sz val="9"/>
        <rFont val="ＭＳ Ｐゴシック"/>
        <family val="3"/>
        <charset val="128"/>
      </rPr>
      <t>2</t>
    </r>
    <r>
      <rPr>
        <sz val="9"/>
        <rFont val="ＭＳ Ｐゴシック"/>
        <family val="3"/>
        <charset val="128"/>
      </rPr>
      <t>以上となっている。加えて、通信に関しては、レベル２をみたすとともに、2.5坪当たり１台の情報通信機器（電話１台、PC１台）を想定した通信回線が各階に引き込まれている。</t>
    </r>
    <phoneticPr fontId="21"/>
  </si>
  <si>
    <t>レベル２を満たすとともに、レベル４に満たないインターネットサービスが提供されている。</t>
    <phoneticPr fontId="21"/>
  </si>
  <si>
    <t>-</t>
    <phoneticPr fontId="21"/>
  </si>
  <si>
    <t>バリアフリー新法の建築物移動等円滑化基準（最低限のレベル）を満たしている。</t>
    <phoneticPr fontId="21"/>
  </si>
  <si>
    <t>バリアフリー新法の建築物移動等円滑化誘導基準（望ましいレベル）を満たしている。</t>
    <phoneticPr fontId="21"/>
  </si>
  <si>
    <t>バリアフリー新法の建築物移動等円滑化誘導基準（望ましいレベル）を超えてさらに十分な配慮を行っており、ユニバーサルなデザインとなっている。</t>
    <phoneticPr fontId="21"/>
  </si>
  <si>
    <r>
      <t xml:space="preserve">1.2.1 </t>
    </r>
    <r>
      <rPr>
        <b/>
        <sz val="10"/>
        <rFont val="ＭＳ Ｐゴシック"/>
        <family val="3"/>
        <charset val="128"/>
      </rPr>
      <t>広さ感・景観</t>
    </r>
    <phoneticPr fontId="21"/>
  </si>
  <si>
    <t>レベル3</t>
  </si>
  <si>
    <t>レベル4</t>
  </si>
  <si>
    <t>レベル5</t>
  </si>
  <si>
    <t>MJ/kWhで換算した値（H25]省エネ法告示全日平均）</t>
    <rPh sb="7" eb="9">
      <t>カンサン</t>
    </rPh>
    <rPh sb="11" eb="12">
      <t>アタイ</t>
    </rPh>
    <rPh sb="17" eb="18">
      <t>ショウ</t>
    </rPh>
    <rPh sb="20" eb="21">
      <t>ホウ</t>
    </rPh>
    <rPh sb="21" eb="23">
      <t>コクジ</t>
    </rPh>
    <rPh sb="23" eb="24">
      <t>ゼン</t>
    </rPh>
    <rPh sb="24" eb="25">
      <t>ヒ</t>
    </rPh>
    <rPh sb="25" eb="27">
      <t>ヘイキン</t>
    </rPh>
    <phoneticPr fontId="28"/>
  </si>
  <si>
    <t>建物用途</t>
  </si>
  <si>
    <t>官公庁</t>
  </si>
  <si>
    <t>物販店舗等</t>
    <rPh sb="0" eb="2">
      <t>ブッパン</t>
    </rPh>
    <rPh sb="2" eb="4">
      <t>テンポ</t>
    </rPh>
    <rPh sb="4" eb="5">
      <t>トウ</t>
    </rPh>
    <phoneticPr fontId="21"/>
  </si>
  <si>
    <t>その他物販</t>
  </si>
  <si>
    <t>ホテル・旅館</t>
  </si>
  <si>
    <t>学校等</t>
    <rPh sb="0" eb="2">
      <t>ガッコウ</t>
    </rPh>
    <rPh sb="2" eb="3">
      <t>トウ</t>
    </rPh>
    <phoneticPr fontId="21"/>
  </si>
  <si>
    <t>幼稚園・保育園</t>
  </si>
  <si>
    <t>小・中学校</t>
  </si>
  <si>
    <t>北海道</t>
    <rPh sb="0" eb="3">
      <t>ホッカイドウ</t>
    </rPh>
    <phoneticPr fontId="21"/>
  </si>
  <si>
    <t>高校</t>
  </si>
  <si>
    <t>大学・専門学校</t>
  </si>
  <si>
    <t>集会所等</t>
    <rPh sb="0" eb="3">
      <t>シュウカイジョ</t>
    </rPh>
    <rPh sb="3" eb="4">
      <t>トウ</t>
    </rPh>
    <phoneticPr fontId="21"/>
  </si>
  <si>
    <t>劇場・ホール</t>
  </si>
  <si>
    <t>展示施設</t>
  </si>
  <si>
    <t>スポーツ施設</t>
  </si>
  <si>
    <t>エネルギー種別一次エネルギー構成比率</t>
    <rPh sb="5" eb="7">
      <t>シュベツ</t>
    </rPh>
    <rPh sb="7" eb="9">
      <t>イチジ</t>
    </rPh>
    <rPh sb="14" eb="16">
      <t>コウセイ</t>
    </rPh>
    <rPh sb="16" eb="18">
      <t>ヒリツ</t>
    </rPh>
    <phoneticPr fontId="4"/>
  </si>
  <si>
    <t>300㎡未満</t>
    <rPh sb="4" eb="6">
      <t>ミマン</t>
    </rPh>
    <phoneticPr fontId="4"/>
  </si>
  <si>
    <t>300㎡以上
2,000㎡未満</t>
    <rPh sb="4" eb="6">
      <t>イジョウ</t>
    </rPh>
    <rPh sb="13" eb="15">
      <t>ミマン</t>
    </rPh>
    <phoneticPr fontId="4"/>
  </si>
  <si>
    <t>2,000㎡以上
1万㎡未満</t>
    <rPh sb="6" eb="8">
      <t>イジョウ</t>
    </rPh>
    <rPh sb="10" eb="11">
      <t>マン</t>
    </rPh>
    <rPh sb="12" eb="14">
      <t>ミマン</t>
    </rPh>
    <phoneticPr fontId="4"/>
  </si>
  <si>
    <t>1万㎡以上
3万㎡未満</t>
    <rPh sb="1" eb="2">
      <t>マン</t>
    </rPh>
    <rPh sb="3" eb="5">
      <t>イジョウ</t>
    </rPh>
    <rPh sb="7" eb="8">
      <t>マン</t>
    </rPh>
    <rPh sb="9" eb="11">
      <t>ミマン</t>
    </rPh>
    <phoneticPr fontId="4"/>
  </si>
  <si>
    <t>3万㎡以上</t>
    <rPh sb="1" eb="2">
      <t>マン</t>
    </rPh>
    <rPh sb="3" eb="5">
      <t>イジョウ</t>
    </rPh>
    <phoneticPr fontId="4"/>
  </si>
  <si>
    <t>電気</t>
    <rPh sb="0" eb="2">
      <t>デンキ</t>
    </rPh>
    <phoneticPr fontId="4"/>
  </si>
  <si>
    <t>その他※</t>
    <rPh sb="2" eb="3">
      <t>ホカ</t>
    </rPh>
    <phoneticPr fontId="4"/>
  </si>
  <si>
    <t>-</t>
  </si>
  <si>
    <t>※集合住宅は灯油</t>
    <rPh sb="1" eb="3">
      <t>シュウゴウ</t>
    </rPh>
    <rPh sb="3" eb="5">
      <t>ジュウタク</t>
    </rPh>
    <rPh sb="6" eb="8">
      <t>トウユ</t>
    </rPh>
    <phoneticPr fontId="21"/>
  </si>
  <si>
    <t>設備の方式</t>
  </si>
  <si>
    <t>地域区分</t>
  </si>
  <si>
    <t>暖房</t>
  </si>
  <si>
    <t>冷房</t>
  </si>
  <si>
    <t>ａ</t>
  </si>
  <si>
    <t>レベル１</t>
  </si>
  <si>
    <t>Ａ</t>
  </si>
  <si>
    <t>ｂ</t>
  </si>
  <si>
    <t>Ｂ</t>
  </si>
  <si>
    <t>Ｃ</t>
  </si>
  <si>
    <t>専有部</t>
    <rPh sb="0" eb="2">
      <t>センユウ</t>
    </rPh>
    <rPh sb="2" eb="3">
      <t>ブ</t>
    </rPh>
    <phoneticPr fontId="21"/>
  </si>
  <si>
    <t>評価建物</t>
    <rPh sb="0" eb="2">
      <t>ヒョウカ</t>
    </rPh>
    <rPh sb="2" eb="4">
      <t>タテモノ</t>
    </rPh>
    <phoneticPr fontId="21"/>
  </si>
  <si>
    <t>暖房方式</t>
    <rPh sb="0" eb="2">
      <t>ダンボウ</t>
    </rPh>
    <rPh sb="2" eb="4">
      <t>ホウシキ</t>
    </rPh>
    <phoneticPr fontId="21"/>
  </si>
  <si>
    <t>冷房方式</t>
    <rPh sb="0" eb="2">
      <t>レイボウ</t>
    </rPh>
    <rPh sb="2" eb="4">
      <t>ホウシキ</t>
    </rPh>
    <phoneticPr fontId="21"/>
  </si>
  <si>
    <t>CO2換算係数</t>
    <rPh sb="3" eb="5">
      <t>カンサン</t>
    </rPh>
    <rPh sb="5" eb="7">
      <t>ケイスウ</t>
    </rPh>
    <phoneticPr fontId="21"/>
  </si>
  <si>
    <t>㎡</t>
  </si>
  <si>
    <t>「DECC非住宅建築物の環境関連データーベース（2013年4月公開データ、一般財団法人日本サステナブル建築協会）」を集計</t>
    <rPh sb="5" eb="6">
      <t>ヒ</t>
    </rPh>
    <rPh sb="6" eb="8">
      <t>ジュウタク</t>
    </rPh>
    <rPh sb="8" eb="11">
      <t>ケンチクブツ</t>
    </rPh>
    <rPh sb="12" eb="14">
      <t>カンキョウ</t>
    </rPh>
    <rPh sb="14" eb="16">
      <t>カンレン</t>
    </rPh>
    <rPh sb="28" eb="29">
      <t>ネン</t>
    </rPh>
    <rPh sb="30" eb="31">
      <t>ガツ</t>
    </rPh>
    <rPh sb="31" eb="33">
      <t>コウカイ</t>
    </rPh>
    <rPh sb="37" eb="39">
      <t>イッパン</t>
    </rPh>
    <rPh sb="39" eb="41">
      <t>ザイダン</t>
    </rPh>
    <rPh sb="41" eb="43">
      <t>ホウジン</t>
    </rPh>
    <rPh sb="43" eb="45">
      <t>ニホン</t>
    </rPh>
    <rPh sb="51" eb="53">
      <t>ケンチク</t>
    </rPh>
    <rPh sb="53" eb="55">
      <t>キョウカイ</t>
    </rPh>
    <rPh sb="58" eb="60">
      <t>シュウケイ</t>
    </rPh>
    <phoneticPr fontId="21"/>
  </si>
  <si>
    <t>工場については、統計値がないため、省エネ法告示第7号による事務所の照明エネルギー消費量としている。</t>
    <rPh sb="0" eb="2">
      <t>コウジョウ</t>
    </rPh>
    <rPh sb="8" eb="10">
      <t>トウケイ</t>
    </rPh>
    <rPh sb="10" eb="11">
      <t>チ</t>
    </rPh>
    <rPh sb="17" eb="18">
      <t>ショウ</t>
    </rPh>
    <rPh sb="20" eb="21">
      <t>ホウ</t>
    </rPh>
    <rPh sb="21" eb="23">
      <t>コクジ</t>
    </rPh>
    <rPh sb="23" eb="24">
      <t>ダイ</t>
    </rPh>
    <rPh sb="25" eb="26">
      <t>ゴウ</t>
    </rPh>
    <rPh sb="29" eb="31">
      <t>ジム</t>
    </rPh>
    <rPh sb="31" eb="32">
      <t>ショ</t>
    </rPh>
    <rPh sb="33" eb="35">
      <t>ショウメイ</t>
    </rPh>
    <rPh sb="40" eb="43">
      <t>ショウヒリョウ</t>
    </rPh>
    <phoneticPr fontId="21"/>
  </si>
  <si>
    <t xml:space="preserve">     小・中学校　(北海道)</t>
    <rPh sb="12" eb="15">
      <t>ホッカイドウ</t>
    </rPh>
    <phoneticPr fontId="21"/>
  </si>
  <si>
    <t xml:space="preserve">                     高校</t>
    <phoneticPr fontId="21"/>
  </si>
  <si>
    <t xml:space="preserve">         大学・専門学校</t>
    <phoneticPr fontId="21"/>
  </si>
  <si>
    <t>官公庁</t>
    <phoneticPr fontId="21"/>
  </si>
  <si>
    <t>その他物販</t>
    <phoneticPr fontId="21"/>
  </si>
  <si>
    <t>展示施設</t>
    <phoneticPr fontId="21"/>
  </si>
  <si>
    <t>スポーツ施設</t>
    <phoneticPr fontId="21"/>
  </si>
  <si>
    <t>㎡</t>
    <phoneticPr fontId="21"/>
  </si>
  <si>
    <t>小・中学校 (北海道以外）</t>
    <rPh sb="0" eb="1">
      <t>ショウ</t>
    </rPh>
    <rPh sb="2" eb="5">
      <t>チュウガッコウ</t>
    </rPh>
    <rPh sb="7" eb="10">
      <t>ホッカイドウ</t>
    </rPh>
    <rPh sb="10" eb="12">
      <t>イガイ</t>
    </rPh>
    <phoneticPr fontId="21"/>
  </si>
  <si>
    <t xml:space="preserve">                   共用部</t>
    <rPh sb="19" eb="21">
      <t>キョウヨウ</t>
    </rPh>
    <rPh sb="21" eb="22">
      <t>ブ</t>
    </rPh>
    <phoneticPr fontId="21"/>
  </si>
  <si>
    <t>㎡       幼稚園・保育園</t>
    <phoneticPr fontId="21"/>
  </si>
  <si>
    <t>㎡                  事務所</t>
    <phoneticPr fontId="21"/>
  </si>
  <si>
    <t>㎡   デパート・スーパー</t>
    <phoneticPr fontId="21"/>
  </si>
  <si>
    <t>㎡          劇場・ホール</t>
    <phoneticPr fontId="21"/>
  </si>
  <si>
    <t>㎡                  専用部</t>
    <rPh sb="19" eb="21">
      <t>センヨウ</t>
    </rPh>
    <rPh sb="21" eb="22">
      <t>ブ</t>
    </rPh>
    <phoneticPr fontId="21"/>
  </si>
  <si>
    <t>自然換気性能</t>
    <rPh sb="0" eb="2">
      <t>シゼン</t>
    </rPh>
    <rPh sb="2" eb="4">
      <t>カンキ</t>
    </rPh>
    <rPh sb="4" eb="6">
      <t>セイノウ</t>
    </rPh>
    <phoneticPr fontId="21"/>
  </si>
  <si>
    <t>取り入れ外気への配慮</t>
    <rPh sb="0" eb="1">
      <t>ト</t>
    </rPh>
    <rPh sb="2" eb="3">
      <t>イ</t>
    </rPh>
    <rPh sb="4" eb="6">
      <t>ガイキ</t>
    </rPh>
    <rPh sb="8" eb="10">
      <t>ハイリョ</t>
    </rPh>
    <phoneticPr fontId="21"/>
  </si>
  <si>
    <t>給気計画</t>
    <rPh sb="0" eb="1">
      <t>キュウ</t>
    </rPh>
    <rPh sb="1" eb="2">
      <t>キ</t>
    </rPh>
    <rPh sb="2" eb="4">
      <t>ケイカク</t>
    </rPh>
    <phoneticPr fontId="21"/>
  </si>
  <si>
    <t>運用管理</t>
    <rPh sb="0" eb="2">
      <t>ウンヨウ</t>
    </rPh>
    <rPh sb="2" eb="4">
      <t>カンリ</t>
    </rPh>
    <phoneticPr fontId="21"/>
  </si>
  <si>
    <r>
      <t>CO</t>
    </r>
    <r>
      <rPr>
        <vertAlign val="subscript"/>
        <sz val="10"/>
        <rFont val="ＭＳ Ｐゴシック"/>
        <family val="3"/>
        <charset val="128"/>
      </rPr>
      <t>2</t>
    </r>
    <r>
      <rPr>
        <sz val="10"/>
        <rFont val="ＭＳ Ｐゴシック"/>
        <family val="3"/>
        <charset val="128"/>
      </rPr>
      <t>の監視</t>
    </r>
    <rPh sb="4" eb="6">
      <t>カンシ</t>
    </rPh>
    <phoneticPr fontId="21"/>
  </si>
  <si>
    <t>喫煙の制御</t>
    <rPh sb="0" eb="2">
      <t>キツエン</t>
    </rPh>
    <rPh sb="3" eb="5">
      <t>セイギョ</t>
    </rPh>
    <phoneticPr fontId="21"/>
  </si>
  <si>
    <t>機能性</t>
    <rPh sb="0" eb="3">
      <t>ｷﾉｳｾｲ</t>
    </rPh>
    <phoneticPr fontId="34" type="noConversion"/>
  </si>
  <si>
    <t>機能性・使いやすさ</t>
    <rPh sb="0" eb="3">
      <t>キノウセイ</t>
    </rPh>
    <rPh sb="4" eb="5">
      <t>ツカ</t>
    </rPh>
    <phoneticPr fontId="21"/>
  </si>
  <si>
    <t>レベル４に加え、地中熱や井水、太陽熱、顕熱潜熱分離等の更なる効率化が図られている。</t>
    <rPh sb="8" eb="10">
      <t>チチュウ</t>
    </rPh>
    <rPh sb="10" eb="11">
      <t>ネツ</t>
    </rPh>
    <rPh sb="12" eb="13">
      <t>イ</t>
    </rPh>
    <rPh sb="13" eb="14">
      <t>スイ</t>
    </rPh>
    <rPh sb="15" eb="18">
      <t>タイヨウネツ</t>
    </rPh>
    <rPh sb="19" eb="20">
      <t>ケン</t>
    </rPh>
    <rPh sb="20" eb="21">
      <t>ネツ</t>
    </rPh>
    <rPh sb="21" eb="22">
      <t>セン</t>
    </rPh>
    <rPh sb="22" eb="23">
      <t>ネツ</t>
    </rPh>
    <rPh sb="23" eb="25">
      <t>ブンリ</t>
    </rPh>
    <rPh sb="25" eb="26">
      <t>トウ</t>
    </rPh>
    <rPh sb="27" eb="28">
      <t>サラ</t>
    </rPh>
    <rPh sb="30" eb="33">
      <t>コウリツカ</t>
    </rPh>
    <rPh sb="34" eb="35">
      <t>ハカ</t>
    </rPh>
    <phoneticPr fontId="21"/>
  </si>
  <si>
    <t>3.2　換気設備</t>
    <rPh sb="4" eb="6">
      <t>カンキ</t>
    </rPh>
    <rPh sb="6" eb="8">
      <t>セツビ</t>
    </rPh>
    <phoneticPr fontId="21"/>
  </si>
  <si>
    <t>3.3　照明設備</t>
    <rPh sb="4" eb="6">
      <t>ショウメイ</t>
    </rPh>
    <rPh sb="6" eb="8">
      <t>セツビ</t>
    </rPh>
    <phoneticPr fontId="21"/>
  </si>
  <si>
    <t>Hf(高周波点灯専用型）が採用されている。</t>
    <rPh sb="13" eb="15">
      <t>サイヨウ</t>
    </rPh>
    <phoneticPr fontId="2"/>
  </si>
  <si>
    <t>3.4　給湯設備</t>
    <rPh sb="4" eb="6">
      <t>キュウトウ</t>
    </rPh>
    <rPh sb="6" eb="8">
      <t>セツビ</t>
    </rPh>
    <phoneticPr fontId="21"/>
  </si>
  <si>
    <t>3.5　昇降機設備</t>
    <rPh sb="4" eb="7">
      <t>ショウコウキ</t>
    </rPh>
    <rPh sb="7" eb="9">
      <t>セツビ</t>
    </rPh>
    <phoneticPr fontId="21"/>
  </si>
  <si>
    <t>塗膜防水の塗料</t>
    <rPh sb="0" eb="1">
      <t>ヌ</t>
    </rPh>
    <rPh sb="1" eb="2">
      <t>マク</t>
    </rPh>
    <rPh sb="2" eb="4">
      <t>ボウスイ</t>
    </rPh>
    <rPh sb="5" eb="7">
      <t>トリョウ</t>
    </rPh>
    <phoneticPr fontId="21"/>
  </si>
  <si>
    <t>塗料</t>
    <rPh sb="0" eb="2">
      <t>トリョウ</t>
    </rPh>
    <phoneticPr fontId="21"/>
  </si>
  <si>
    <t>建具塗装（木製・金属製）</t>
    <rPh sb="0" eb="2">
      <t>タテグ</t>
    </rPh>
    <rPh sb="2" eb="4">
      <t>トソウ</t>
    </rPh>
    <rPh sb="5" eb="7">
      <t>モクセイ</t>
    </rPh>
    <rPh sb="8" eb="11">
      <t>キンゾクセイ</t>
    </rPh>
    <phoneticPr fontId="21"/>
  </si>
  <si>
    <t>木部塗装（巾木・廻り縁など）</t>
    <rPh sb="0" eb="2">
      <t>モクブ</t>
    </rPh>
    <rPh sb="2" eb="4">
      <t>トソウ</t>
    </rPh>
    <rPh sb="5" eb="6">
      <t>ハバ</t>
    </rPh>
    <rPh sb="6" eb="7">
      <t>キ</t>
    </rPh>
    <rPh sb="8" eb="9">
      <t>マワ</t>
    </rPh>
    <rPh sb="10" eb="11">
      <t>ブチ</t>
    </rPh>
    <phoneticPr fontId="21"/>
  </si>
  <si>
    <t>構造体の塗装</t>
    <rPh sb="0" eb="3">
      <t>コウゾウタイ</t>
    </rPh>
    <rPh sb="4" eb="6">
      <t>トソウ</t>
    </rPh>
    <phoneticPr fontId="21"/>
  </si>
  <si>
    <t>壁塗装</t>
    <rPh sb="0" eb="1">
      <t>カベ</t>
    </rPh>
    <rPh sb="1" eb="3">
      <t>トソウ</t>
    </rPh>
    <phoneticPr fontId="21"/>
  </si>
  <si>
    <r>
      <t>騒音規制法または大規模小売店舗立地法に定める現行の規制基準注</t>
    </r>
    <r>
      <rPr>
        <vertAlign val="superscript"/>
        <sz val="9"/>
        <rFont val="ＭＳ Ｐゴシック"/>
        <family val="3"/>
        <charset val="128"/>
      </rPr>
      <t>*1</t>
    </r>
    <r>
      <rPr>
        <sz val="9"/>
        <rFont val="ＭＳ Ｐゴシック"/>
        <family val="3"/>
        <charset val="128"/>
      </rPr>
      <t>を上回っている</t>
    </r>
    <phoneticPr fontId="21"/>
  </si>
  <si>
    <t>レベル３</t>
    <phoneticPr fontId="21"/>
  </si>
  <si>
    <r>
      <t>騒音規制法または大規模小売店舗立地法に定める現行の規制基準注</t>
    </r>
    <r>
      <rPr>
        <vertAlign val="superscript"/>
        <sz val="9"/>
        <rFont val="ＭＳ Ｐゴシック"/>
        <family val="3"/>
        <charset val="128"/>
      </rPr>
      <t>*1</t>
    </r>
    <r>
      <rPr>
        <sz val="9"/>
        <rFont val="ＭＳ Ｐゴシック"/>
        <family val="3"/>
        <charset val="128"/>
      </rPr>
      <t>以下に抑えられている</t>
    </r>
    <phoneticPr fontId="21"/>
  </si>
  <si>
    <t>周辺のまちなみや景観に対して、取組みが十分とはいえない。(評価ポイント1～2）</t>
    <phoneticPr fontId="21"/>
  </si>
  <si>
    <t>植栽により、良好な景観を形成している。</t>
    <phoneticPr fontId="21"/>
  </si>
  <si>
    <t>3）景観の歴史の継承</t>
    <phoneticPr fontId="21"/>
  </si>
  <si>
    <t>LR-3 敷地外環境</t>
    <rPh sb="5" eb="7">
      <t>シキチ</t>
    </rPh>
    <rPh sb="7" eb="8">
      <t>ガイ</t>
    </rPh>
    <rPh sb="8" eb="10">
      <t>カンキョウ</t>
    </rPh>
    <phoneticPr fontId="21"/>
  </si>
  <si>
    <t>熱負荷抑制</t>
    <rPh sb="0" eb="1">
      <t>ネツ</t>
    </rPh>
    <rPh sb="1" eb="3">
      <t>フカ</t>
    </rPh>
    <rPh sb="3" eb="5">
      <t>ヨクセイ</t>
    </rPh>
    <phoneticPr fontId="21"/>
  </si>
  <si>
    <t>水資源</t>
    <rPh sb="0" eb="1">
      <t>ミズ</t>
    </rPh>
    <rPh sb="1" eb="3">
      <t>シゲン</t>
    </rPh>
    <phoneticPr fontId="21"/>
  </si>
  <si>
    <t>LR2</t>
    <phoneticPr fontId="21"/>
  </si>
  <si>
    <t>昼光の建物外壁による反射光（グレア）への対策</t>
    <rPh sb="0" eb="1">
      <t>ﾋﾙ</t>
    </rPh>
    <rPh sb="1" eb="2">
      <t>ﾋｶﾘ</t>
    </rPh>
    <rPh sb="3" eb="5">
      <t>ﾀﾃﾓﾉ</t>
    </rPh>
    <rPh sb="5" eb="7">
      <t>ｶﾞｲﾍｷ</t>
    </rPh>
    <rPh sb="10" eb="13">
      <t>ﾊﾝｼｬｺｳ</t>
    </rPh>
    <rPh sb="20" eb="22">
      <t>ﾀｲｻｸ</t>
    </rPh>
    <phoneticPr fontId="34" type="noConversion"/>
  </si>
  <si>
    <r>
      <t>ライフサイクルCO</t>
    </r>
    <r>
      <rPr>
        <b/>
        <vertAlign val="subscript"/>
        <sz val="12"/>
        <color indexed="9"/>
        <rFont val="ＭＳ Ｐゴシック"/>
        <family val="3"/>
        <charset val="128"/>
      </rPr>
      <t>2</t>
    </r>
    <r>
      <rPr>
        <b/>
        <sz val="12"/>
        <color indexed="9"/>
        <rFont val="ＭＳ Ｐゴシック"/>
        <family val="3"/>
        <charset val="128"/>
      </rPr>
      <t>計算シート（標準計算用）</t>
    </r>
    <rPh sb="10" eb="12">
      <t>ケイサン</t>
    </rPh>
    <rPh sb="16" eb="18">
      <t>ヒョウジュン</t>
    </rPh>
    <rPh sb="18" eb="20">
      <t>ケイサン</t>
    </rPh>
    <rPh sb="20" eb="21">
      <t>ヨウ</t>
    </rPh>
    <phoneticPr fontId="21"/>
  </si>
  <si>
    <t>評価対象</t>
    <rPh sb="0" eb="2">
      <t>ヒョウカ</t>
    </rPh>
    <rPh sb="2" eb="4">
      <t>タイショウ</t>
    </rPh>
    <phoneticPr fontId="21"/>
  </si>
  <si>
    <t>参照値</t>
    <rPh sb="0" eb="2">
      <t>サンショウ</t>
    </rPh>
    <rPh sb="2" eb="3">
      <t>チ</t>
    </rPh>
    <phoneticPr fontId="21"/>
  </si>
  <si>
    <t>LR2/2.3 躯体材料におけるﾘｻｲｸﾙ材（高炉セメント）</t>
    <rPh sb="8" eb="10">
      <t>クタイ</t>
    </rPh>
    <rPh sb="10" eb="12">
      <t>ザイリョウ</t>
    </rPh>
    <rPh sb="21" eb="22">
      <t>ザイ</t>
    </rPh>
    <rPh sb="23" eb="25">
      <t>コウロ</t>
    </rPh>
    <phoneticPr fontId="21"/>
  </si>
  <si>
    <t>1-2.　合計の計算</t>
    <rPh sb="5" eb="7">
      <t>ゴウケイ</t>
    </rPh>
    <rPh sb="8" eb="10">
      <t>ケイサン</t>
    </rPh>
    <phoneticPr fontId="21"/>
  </si>
  <si>
    <t>建物寿命</t>
    <rPh sb="0" eb="2">
      <t>タテモノ</t>
    </rPh>
    <rPh sb="2" eb="4">
      <t>ジュミョウ</t>
    </rPh>
    <phoneticPr fontId="21"/>
  </si>
  <si>
    <t>代表的な資材量</t>
    <rPh sb="0" eb="3">
      <t>ダイヒョウテキ</t>
    </rPh>
    <rPh sb="4" eb="6">
      <t>シザイ</t>
    </rPh>
    <rPh sb="6" eb="7">
      <t>リョウ</t>
    </rPh>
    <phoneticPr fontId="21"/>
  </si>
  <si>
    <t>LR2/2.2 既存建築躯体</t>
    <rPh sb="8" eb="10">
      <t>キソン</t>
    </rPh>
    <rPh sb="10" eb="12">
      <t>ケンチク</t>
    </rPh>
    <rPh sb="12" eb="14">
      <t>クタイ</t>
    </rPh>
    <phoneticPr fontId="21"/>
  </si>
  <si>
    <t>LR2/2.3 ﾘｻｲｸﾙ材（高炉セメント）</t>
    <rPh sb="13" eb="14">
      <t>ザイ</t>
    </rPh>
    <rPh sb="15" eb="17">
      <t>コウロ</t>
    </rPh>
    <phoneticPr fontId="21"/>
  </si>
  <si>
    <t>普通コンクリート</t>
    <rPh sb="0" eb="2">
      <t>フツウ</t>
    </rPh>
    <phoneticPr fontId="21"/>
  </si>
  <si>
    <t>ｍ3/㎡</t>
  </si>
  <si>
    <t>高炉セメントコンクリート</t>
    <rPh sb="0" eb="2">
      <t>コウロ</t>
    </rPh>
    <phoneticPr fontId="21"/>
  </si>
  <si>
    <t>鉄　骨</t>
    <rPh sb="0" eb="1">
      <t>テツ</t>
    </rPh>
    <rPh sb="2" eb="3">
      <t>ホネ</t>
    </rPh>
    <phoneticPr fontId="21"/>
  </si>
  <si>
    <t>ｔ/㎡</t>
  </si>
  <si>
    <t>鉄骨 (電炉）</t>
    <rPh sb="0" eb="1">
      <t>テツ</t>
    </rPh>
    <rPh sb="1" eb="2">
      <t>ホネ</t>
    </rPh>
    <rPh sb="4" eb="6">
      <t>デンロ</t>
    </rPh>
    <phoneticPr fontId="21"/>
  </si>
  <si>
    <t>鉄　筋</t>
    <rPh sb="0" eb="1">
      <t>テツ</t>
    </rPh>
    <rPh sb="2" eb="3">
      <t>スジ</t>
    </rPh>
    <phoneticPr fontId="21"/>
  </si>
  <si>
    <t>㎡</t>
    <phoneticPr fontId="21"/>
  </si>
  <si>
    <t>◇算定省令に基づく電気事業者ごとの実排出係数及び代替値</t>
    <phoneticPr fontId="21"/>
  </si>
  <si>
    <t>ｔ-CO2/kWh</t>
    <phoneticPr fontId="21"/>
  </si>
  <si>
    <t xml:space="preserve"> [1]実排出係数 </t>
    <phoneticPr fontId="21"/>
  </si>
  <si>
    <t>　（１）評価条件として、与えられた排出係数を用いる場合</t>
    <phoneticPr fontId="21"/>
  </si>
  <si>
    <t>排出係数</t>
    <phoneticPr fontId="21"/>
  </si>
  <si>
    <t>N.A.</t>
    <phoneticPr fontId="21"/>
  </si>
  <si>
    <t>(t-CO2/kWh)</t>
    <phoneticPr fontId="21"/>
  </si>
  <si>
    <t>　　①</t>
    <phoneticPr fontId="21"/>
  </si>
  <si>
    <t>電気事業者（一般電気事業者及び特定規模電気事業者（PPS））から供給された電気</t>
    <phoneticPr fontId="21"/>
  </si>
  <si>
    <t>排出係数</t>
    <phoneticPr fontId="21"/>
  </si>
  <si>
    <t>　　②</t>
    <phoneticPr fontId="21"/>
  </si>
  <si>
    <t>　　③</t>
    <phoneticPr fontId="21"/>
  </si>
  <si>
    <t>代替値</t>
    <phoneticPr fontId="21"/>
  </si>
  <si>
    <t>(t-CO2/kWh)</t>
    <phoneticPr fontId="21"/>
  </si>
  <si>
    <t>　（３）上記以外の場合</t>
    <phoneticPr fontId="21"/>
  </si>
  <si>
    <t>SQ</t>
    <phoneticPr fontId="21"/>
  </si>
  <si>
    <t>background</t>
    <phoneticPr fontId="21"/>
  </si>
  <si>
    <t>Score(RoundDown)</t>
    <phoneticPr fontId="21"/>
  </si>
  <si>
    <t>std</t>
    <phoneticPr fontId="21"/>
  </si>
  <si>
    <t>SLR</t>
    <phoneticPr fontId="21"/>
  </si>
  <si>
    <t>Q2</t>
    <phoneticPr fontId="21"/>
  </si>
  <si>
    <t>全般照明方式の場合で室内にやや不快に感じる程度の暗い部分がある。</t>
    <phoneticPr fontId="21"/>
  </si>
  <si>
    <t>全般照明方式の場合で室内にほとんど暗い部分がない。</t>
    <phoneticPr fontId="21"/>
  </si>
  <si>
    <t>病</t>
    <phoneticPr fontId="21"/>
  </si>
  <si>
    <t>照明制御ができない。</t>
    <phoneticPr fontId="21"/>
  </si>
  <si>
    <t>執務者・売り場等について複数単位の大まかな照明制御ができる。</t>
    <phoneticPr fontId="21"/>
  </si>
  <si>
    <t>各執務者・売り場等の部分について、細かな照明制御ができる、または、自動照明制御ができる。</t>
    <phoneticPr fontId="21"/>
  </si>
  <si>
    <t>制御区画が分かれていない、かつ、照明制御盤・器具等で調整できない。</t>
    <phoneticPr fontId="21"/>
  </si>
  <si>
    <t>明るさや学習形態に応じた制御区画ではない。</t>
    <phoneticPr fontId="21"/>
  </si>
  <si>
    <t>照明制御ができない。</t>
    <phoneticPr fontId="21"/>
  </si>
  <si>
    <t>風害、砂塵、日照阻害の抑制</t>
    <rPh sb="0" eb="2">
      <t>ﾌｳｶﾞｲ</t>
    </rPh>
    <rPh sb="3" eb="5">
      <t>ｻｼﾞﾝ</t>
    </rPh>
    <rPh sb="6" eb="8">
      <t>ﾆｯｼｮｳ</t>
    </rPh>
    <rPh sb="8" eb="10">
      <t>ｿｶﾞｲ</t>
    </rPh>
    <rPh sb="11" eb="13">
      <t>ﾖｸｾｲ</t>
    </rPh>
    <phoneticPr fontId="34" type="noConversion"/>
  </si>
  <si>
    <t>病(診)</t>
    <rPh sb="0" eb="1">
      <t>ビョウ</t>
    </rPh>
    <rPh sb="2" eb="3">
      <t>ミ</t>
    </rPh>
    <phoneticPr fontId="21"/>
  </si>
  <si>
    <t>空調居住域の上下温度差、気流速度や非空調部屋との室間温度差などについて特に配慮していない空調方式が計画されている。</t>
  </si>
  <si>
    <t>空調居住域の上下温度差、気流速度や非空調部屋との室間温度差などに配慮した空調方式が計画されている。</t>
  </si>
  <si>
    <t>居住域の上下温度差や気流速度が少なくなり、また診療室内の間仕切りに配慮された空調方式＊が採用されている。あるいは、その他の空調方式で、上下温度差および気流速度の目標値をおおよそ2℃以内、0.15m/s程度に設定している。</t>
    <rPh sb="59" eb="60">
      <t>タ</t>
    </rPh>
    <rPh sb="61" eb="63">
      <t>クウチョウ</t>
    </rPh>
    <rPh sb="63" eb="65">
      <t>ホウシキ</t>
    </rPh>
    <phoneticPr fontId="21"/>
  </si>
  <si>
    <r>
      <t xml:space="preserve">2.3.1 </t>
    </r>
    <r>
      <rPr>
        <b/>
        <sz val="10"/>
        <rFont val="ＭＳ Ｐゴシック"/>
        <family val="3"/>
        <charset val="128"/>
      </rPr>
      <t>上下温度差</t>
    </r>
    <rPh sb="6" eb="8">
      <t>ジョウゲ</t>
    </rPh>
    <rPh sb="8" eb="11">
      <t>オンドサ</t>
    </rPh>
    <phoneticPr fontId="21"/>
  </si>
  <si>
    <r>
      <t xml:space="preserve">2.3.2 </t>
    </r>
    <r>
      <rPr>
        <b/>
        <sz val="10"/>
        <rFont val="ＭＳ Ｐゴシック"/>
        <family val="3"/>
        <charset val="128"/>
      </rPr>
      <t>平均気流速度</t>
    </r>
    <rPh sb="6" eb="8">
      <t>ヘイキン</t>
    </rPh>
    <rPh sb="8" eb="10">
      <t>キリュウ</t>
    </rPh>
    <rPh sb="10" eb="12">
      <t>ソクド</t>
    </rPh>
    <phoneticPr fontId="21"/>
  </si>
  <si>
    <t>事・学・物・飲・会・病（待・診）・ホ・工・住</t>
    <rPh sb="0" eb="1">
      <t>コト</t>
    </rPh>
    <rPh sb="2" eb="3">
      <t>ガク</t>
    </rPh>
    <rPh sb="4" eb="5">
      <t>モノ</t>
    </rPh>
    <rPh sb="6" eb="7">
      <t>イン</t>
    </rPh>
    <rPh sb="8" eb="9">
      <t>カイ</t>
    </rPh>
    <rPh sb="10" eb="11">
      <t>ヤマイ</t>
    </rPh>
    <rPh sb="21" eb="22">
      <t>ジュウ</t>
    </rPh>
    <phoneticPr fontId="21"/>
  </si>
  <si>
    <t>0.45ｍ/ｓ＜ [平均気流速度]</t>
  </si>
  <si>
    <t>0.35ｍ/ｓ＜ [平均気流速度] ≦0.45ｍ/ｓ</t>
  </si>
  <si>
    <t>0.25ｍ/ｓ＜ [平均気流速度] ≦0.35ｍ/ｓ</t>
  </si>
  <si>
    <t>0.15ｍ/ｓ＜ [平均気流速度] ≦0.25ｍ/ｓ</t>
  </si>
  <si>
    <t>[上下温度差] ≦2℃</t>
  </si>
  <si>
    <t>[平均気流速度] ≦0.15ｍ/ｓ</t>
  </si>
  <si>
    <t>事前調査や予防計画や低減・回避対策等は行っている。そして机上予測に基づいて風力階級による評価を行い、結果として悪化していない。又は風環境評価指標によるランク評価を行い、結果として立地に対応する風環境のランクを確保している。</t>
  </si>
  <si>
    <t>事前調査や予防計画や低減・回避対策を行っており、風環境評価指標によるランク評価を行っている。その結果、一部に立地に対応する風環境のランクより上のランクがある。</t>
  </si>
  <si>
    <t>事前調査や予防計画や低減・回避対策を行っており、風環境評価指標によるランク評価を行っている。その結果、立地に対応する風環境のランクより上のランクにある。</t>
  </si>
  <si>
    <r>
      <t>3.2.2</t>
    </r>
    <r>
      <rPr>
        <b/>
        <sz val="10"/>
        <rFont val="ＭＳ Ｐゴシック"/>
        <family val="3"/>
        <charset val="128"/>
      </rPr>
      <t>　砂塵の抑制</t>
    </r>
    <rPh sb="6" eb="8">
      <t>サジン</t>
    </rPh>
    <rPh sb="9" eb="11">
      <t>ヨクセイ</t>
    </rPh>
    <phoneticPr fontId="21"/>
  </si>
  <si>
    <t>学(小中高)</t>
    <rPh sb="2" eb="5">
      <t>ショウチュウコウ</t>
    </rPh>
    <phoneticPr fontId="21"/>
  </si>
  <si>
    <t>（評価ポイント　0）</t>
  </si>
  <si>
    <t>校庭からの砂塵に対して、標準以上の取組みが行われている。（評価ポイント3）</t>
  </si>
  <si>
    <t>校庭からの砂塵に対して、充実した取組みが行われている。（評価ポイント4以上）</t>
    <rPh sb="35" eb="37">
      <t>イジョウ</t>
    </rPh>
    <phoneticPr fontId="21"/>
  </si>
  <si>
    <t>3）校庭を砂塵が発生しない舗装または芝生としている。</t>
  </si>
  <si>
    <r>
      <t xml:space="preserve">3.2.3 </t>
    </r>
    <r>
      <rPr>
        <b/>
        <sz val="10"/>
        <rFont val="ＭＳ Ｐゴシック"/>
        <family val="3"/>
        <charset val="128"/>
      </rPr>
      <t>日照阻害の抑制</t>
    </r>
    <rPh sb="6" eb="8">
      <t>ニッショウ</t>
    </rPh>
    <phoneticPr fontId="21"/>
  </si>
  <si>
    <t>光害の抑制</t>
    <rPh sb="0" eb="1">
      <t>ヒカリ</t>
    </rPh>
    <rPh sb="1" eb="2">
      <t>ガイ</t>
    </rPh>
    <rPh sb="3" eb="5">
      <t>ヨクセイ</t>
    </rPh>
    <phoneticPr fontId="21"/>
  </si>
  <si>
    <t>評価する取組み</t>
    <rPh sb="0" eb="2">
      <t>ヒョウカ</t>
    </rPh>
    <rPh sb="4" eb="5">
      <t>ト</t>
    </rPh>
    <rPh sb="5" eb="6">
      <t>ク</t>
    </rPh>
    <phoneticPr fontId="21"/>
  </si>
  <si>
    <t>1)　屋外照明および屋内照明のうち外に漏れる光</t>
  </si>
  <si>
    <t>配管からの騒音（透過騒音）</t>
    <rPh sb="0" eb="2">
      <t>ハイカン</t>
    </rPh>
    <rPh sb="5" eb="7">
      <t>ソウオン</t>
    </rPh>
    <rPh sb="8" eb="10">
      <t>トウカ</t>
    </rPh>
    <rPh sb="10" eb="12">
      <t>ソウオン</t>
    </rPh>
    <phoneticPr fontId="21"/>
  </si>
  <si>
    <r>
      <t xml:space="preserve">2.1.2 </t>
    </r>
    <r>
      <rPr>
        <b/>
        <sz val="10"/>
        <rFont val="ＭＳ Ｐゴシック"/>
        <family val="3"/>
        <charset val="128"/>
      </rPr>
      <t>負荷変動・追従制御性</t>
    </r>
    <rPh sb="6" eb="8">
      <t>フカ</t>
    </rPh>
    <rPh sb="8" eb="10">
      <t>ヘンドウ</t>
    </rPh>
    <rPh sb="11" eb="13">
      <t>ツイジュウ</t>
    </rPh>
    <rPh sb="13" eb="16">
      <t>セイギョセイ</t>
    </rPh>
    <phoneticPr fontId="21"/>
  </si>
  <si>
    <t>学・物・飲・会</t>
    <rPh sb="0" eb="1">
      <t>ガク</t>
    </rPh>
    <rPh sb="2" eb="3">
      <t>ブツ</t>
    </rPh>
    <rPh sb="4" eb="5">
      <t>イン</t>
    </rPh>
    <rPh sb="6" eb="7">
      <t>カイ</t>
    </rPh>
    <phoneticPr fontId="21"/>
  </si>
  <si>
    <t>急激な負荷変動に対する考慮は特にしていない。</t>
  </si>
  <si>
    <t>一般的な負荷変動を考慮し、ある程度制御可能なシステムになっている。</t>
  </si>
  <si>
    <t>食堂</t>
    <rPh sb="0" eb="2">
      <t>ショクドウ</t>
    </rPh>
    <phoneticPr fontId="21"/>
  </si>
  <si>
    <t>＊）日本建築学会編：建築設計資料集成Ⅰ、環境、p13、丸善、1978</t>
    <rPh sb="2" eb="4">
      <t>ニホン</t>
    </rPh>
    <rPh sb="4" eb="6">
      <t>ケンチク</t>
    </rPh>
    <rPh sb="6" eb="8">
      <t>ガッカイ</t>
    </rPh>
    <rPh sb="8" eb="9">
      <t>ヘン</t>
    </rPh>
    <rPh sb="10" eb="12">
      <t>ケンチク</t>
    </rPh>
    <rPh sb="12" eb="14">
      <t>セッケイ</t>
    </rPh>
    <rPh sb="14" eb="16">
      <t>シリョウ</t>
    </rPh>
    <rPh sb="16" eb="18">
      <t>シュウセイ</t>
    </rPh>
    <rPh sb="20" eb="22">
      <t>カンキョウ</t>
    </rPh>
    <rPh sb="27" eb="29">
      <t>マルゼン</t>
    </rPh>
    <phoneticPr fontId="21"/>
  </si>
  <si>
    <r>
      <t xml:space="preserve">1.1.2 </t>
    </r>
    <r>
      <rPr>
        <b/>
        <sz val="10"/>
        <rFont val="ＭＳ Ｐゴシック"/>
        <family val="3"/>
        <charset val="128"/>
      </rPr>
      <t>設備騒音対策</t>
    </r>
    <rPh sb="6" eb="8">
      <t>セツビ</t>
    </rPh>
    <rPh sb="8" eb="10">
      <t>ソウオン</t>
    </rPh>
    <rPh sb="10" eb="11">
      <t>タイ</t>
    </rPh>
    <rPh sb="11" eb="12">
      <t>サク</t>
    </rPh>
    <phoneticPr fontId="21"/>
  </si>
  <si>
    <t>建物全体・共用部分</t>
    <phoneticPr fontId="21"/>
  </si>
  <si>
    <t>住</t>
  </si>
  <si>
    <t>騒音対策を行っていない（評価する取組みにおいてなんら取組みがない）</t>
  </si>
  <si>
    <t>防音管巻き、位置など</t>
    <rPh sb="0" eb="2">
      <t>ボウオン</t>
    </rPh>
    <rPh sb="2" eb="3">
      <t>カン</t>
    </rPh>
    <rPh sb="3" eb="4">
      <t>マ</t>
    </rPh>
    <rPh sb="6" eb="8">
      <t>イチ</t>
    </rPh>
    <phoneticPr fontId="21"/>
  </si>
  <si>
    <t>防振吊り、防振支持、フレキシブルジョイント、貫通部の防振施工など</t>
  </si>
  <si>
    <t>同上（固体伝播音）</t>
    <rPh sb="0" eb="2">
      <t>ドウジョウ</t>
    </rPh>
    <rPh sb="3" eb="5">
      <t>コタイ</t>
    </rPh>
    <rPh sb="5" eb="7">
      <t>デンパン</t>
    </rPh>
    <rPh sb="7" eb="8">
      <t>オン</t>
    </rPh>
    <phoneticPr fontId="21"/>
  </si>
  <si>
    <t>防振吊り、防振支持、フレキシブルジョイント、貫通部の防振施工など</t>
    <rPh sb="0" eb="2">
      <t>ボウシン</t>
    </rPh>
    <rPh sb="2" eb="3">
      <t>ツ</t>
    </rPh>
    <rPh sb="5" eb="7">
      <t>ボウシン</t>
    </rPh>
    <rPh sb="7" eb="9">
      <t>シジ</t>
    </rPh>
    <rPh sb="22" eb="24">
      <t>カンツウ</t>
    </rPh>
    <rPh sb="24" eb="25">
      <t>ブ</t>
    </rPh>
    <rPh sb="26" eb="28">
      <t>ボウシン</t>
    </rPh>
    <rPh sb="28" eb="30">
      <t>セコウ</t>
    </rPh>
    <phoneticPr fontId="21"/>
  </si>
  <si>
    <t>防音塀、遮蔽体、防振支持、位置など</t>
    <rPh sb="0" eb="2">
      <t>ボウオン</t>
    </rPh>
    <rPh sb="2" eb="3">
      <t>ヘイ</t>
    </rPh>
    <phoneticPr fontId="21"/>
  </si>
  <si>
    <t>ビルマルチエアコン室内機等からの騒音</t>
    <rPh sb="9" eb="12">
      <t>シツナイキ</t>
    </rPh>
    <rPh sb="12" eb="13">
      <t>トウ</t>
    </rPh>
    <rPh sb="16" eb="18">
      <t>ソウオン</t>
    </rPh>
    <phoneticPr fontId="21"/>
  </si>
  <si>
    <t>低騒音タイプの機器の採用など</t>
    <rPh sb="0" eb="3">
      <t>テイソウオン</t>
    </rPh>
    <rPh sb="7" eb="9">
      <t>キキ</t>
    </rPh>
    <rPh sb="10" eb="12">
      <t>サイヨウ</t>
    </rPh>
    <phoneticPr fontId="21"/>
  </si>
  <si>
    <t>位置、風量・風速の適正化など</t>
  </si>
  <si>
    <t>１～７地域</t>
    <rPh sb="3" eb="5">
      <t>チイキ</t>
    </rPh>
    <phoneticPr fontId="21"/>
  </si>
  <si>
    <t>1～7地域</t>
    <rPh sb="3" eb="5">
      <t>チイキ</t>
    </rPh>
    <phoneticPr fontId="21"/>
  </si>
  <si>
    <t>■集合住宅の延床面積のうち、住戸部分の床面積の比率</t>
    <rPh sb="1" eb="3">
      <t>シュウゴウ</t>
    </rPh>
    <rPh sb="3" eb="5">
      <t>ジュウタク</t>
    </rPh>
    <rPh sb="7" eb="10">
      <t>ユカメンセキ</t>
    </rPh>
    <rPh sb="14" eb="16">
      <t>ジュウコ</t>
    </rPh>
    <rPh sb="16" eb="18">
      <t>ブブン</t>
    </rPh>
    <rPh sb="19" eb="22">
      <t>ユカメンセキ</t>
    </rPh>
    <rPh sb="23" eb="25">
      <t>ヒリツ</t>
    </rPh>
    <phoneticPr fontId="21"/>
  </si>
  <si>
    <t>（該当するレベルなし）</t>
    <rPh sb="1" eb="3">
      <t>ガイトウ</t>
    </rPh>
    <phoneticPr fontId="21"/>
  </si>
  <si>
    <t>レベル1: [BPI] ≧ 1.03</t>
  </si>
  <si>
    <t>レベル2: [BPI] ＝ 1.00</t>
  </si>
  <si>
    <t>レベル3: [BPI] ＝ 0.97</t>
  </si>
  <si>
    <t>レベル4: [BPI] ＝ 0.90</t>
  </si>
  <si>
    <t>レベル5: [BPI] ≦ 0.80</t>
  </si>
  <si>
    <t>レベル1: [BPI] ≧ 1.03</t>
    <phoneticPr fontId="21"/>
  </si>
  <si>
    <t>レベル4: [BPI] ＝ 0.93</t>
    <phoneticPr fontId="21"/>
  </si>
  <si>
    <t>レベル5: [BPI] ≦ 0.85</t>
    <phoneticPr fontId="21"/>
  </si>
  <si>
    <t>自然エネルギーの利用</t>
    <rPh sb="0" eb="2">
      <t>シゼン</t>
    </rPh>
    <rPh sb="8" eb="10">
      <t>リヨウ</t>
    </rPh>
    <rPh sb="9" eb="10">
      <t>チョクリ</t>
    </rPh>
    <phoneticPr fontId="21"/>
  </si>
  <si>
    <t>0MJ/㎡・年≦　[利用量]　＜1MJ/㎡・年　※利用なし、モニュメントの計画含む</t>
  </si>
  <si>
    <t>1MJ/㎡・年≦　[利用量]　＜15MJ/㎡･年</t>
  </si>
  <si>
    <t>15MJ/㎡・年≦　[利用量]</t>
  </si>
  <si>
    <t>自然エネルギーの直接利用量（採光や通風など）を評価する。太陽光発電やソーラーパネル等などの電気や熱に変換して利用するものについては、「3．設備システムの高効率化」で評価する。</t>
    <rPh sb="0" eb="2">
      <t>シゼン</t>
    </rPh>
    <rPh sb="8" eb="10">
      <t>チョクセツ</t>
    </rPh>
    <rPh sb="10" eb="12">
      <t>リヨウ</t>
    </rPh>
    <rPh sb="12" eb="13">
      <t>リョウ</t>
    </rPh>
    <rPh sb="14" eb="16">
      <t>サイコウ</t>
    </rPh>
    <rPh sb="17" eb="19">
      <t>ツウフウ</t>
    </rPh>
    <rPh sb="23" eb="25">
      <t>ヒョウカ</t>
    </rPh>
    <rPh sb="28" eb="30">
      <t>タイヨウ</t>
    </rPh>
    <rPh sb="30" eb="31">
      <t>ヒカリ</t>
    </rPh>
    <rPh sb="31" eb="33">
      <t>ハツデン</t>
    </rPh>
    <rPh sb="41" eb="42">
      <t>トウ</t>
    </rPh>
    <rPh sb="45" eb="47">
      <t>デンキ</t>
    </rPh>
    <rPh sb="48" eb="49">
      <t>ネツ</t>
    </rPh>
    <rPh sb="50" eb="52">
      <t>ヘンカン</t>
    </rPh>
    <rPh sb="54" eb="56">
      <t>リヨウ</t>
    </rPh>
    <rPh sb="69" eb="71">
      <t>セツビ</t>
    </rPh>
    <rPh sb="76" eb="79">
      <t>コウコウリツ</t>
    </rPh>
    <rPh sb="79" eb="80">
      <t>カ</t>
    </rPh>
    <rPh sb="82" eb="84">
      <t>ヒョウカ</t>
    </rPh>
    <phoneticPr fontId="21"/>
  </si>
  <si>
    <t>事・学・物・飲・会・病(待)・ホ・工・住</t>
    <rPh sb="12" eb="13">
      <t>マ</t>
    </rPh>
    <rPh sb="19" eb="20">
      <t>ジュウ</t>
    </rPh>
    <phoneticPr fontId="21"/>
  </si>
  <si>
    <t>事・学・物・飲・会・病・ホ・工</t>
    <rPh sb="0" eb="1">
      <t>コト</t>
    </rPh>
    <rPh sb="2" eb="3">
      <t>ガク</t>
    </rPh>
    <rPh sb="4" eb="5">
      <t>モノ</t>
    </rPh>
    <rPh sb="6" eb="7">
      <t>イン</t>
    </rPh>
    <rPh sb="8" eb="9">
      <t>カイ</t>
    </rPh>
    <rPh sb="10" eb="11">
      <t>ヤマイ</t>
    </rPh>
    <rPh sb="14" eb="15">
      <t>コウ</t>
    </rPh>
    <phoneticPr fontId="21"/>
  </si>
  <si>
    <t>外気が空調機でレタンと混合され各室に熱負荷から決まる風量で配分される等、各室の負荷条件によっては、必ずしも必要な場所に必要な外気量が保証されないシステムとなっている。</t>
  </si>
  <si>
    <t>外気がレタンと混合されず、各室の必要外気量が直接各室に供給されている等、各室の負荷条件によらず、必要な場所に必要な外気量が保証されるシステムとなっている。</t>
  </si>
  <si>
    <t xml:space="preserve">評価する取組み表の評価ポイントの合計値が6～12ポイント </t>
    <phoneticPr fontId="21"/>
  </si>
  <si>
    <t>評価する取組み表の評価ポイントの合計値が13～19ポイント</t>
    <phoneticPr fontId="21"/>
  </si>
  <si>
    <t>評価する取組み表の評価ポイントの合計値が20ポイント以上</t>
    <phoneticPr fontId="21"/>
  </si>
  <si>
    <t>評価項目</t>
    <phoneticPr fontId="21"/>
  </si>
  <si>
    <t>評価ポイント</t>
    <phoneticPr fontId="21"/>
  </si>
  <si>
    <t>1～2</t>
    <phoneticPr fontId="21"/>
  </si>
  <si>
    <t>LR2 3.2</t>
  </si>
  <si>
    <t>発泡剤（断熱材等）</t>
  </si>
  <si>
    <t>冷媒</t>
  </si>
  <si>
    <t>LR3 2</t>
  </si>
  <si>
    <t>LR3 2.3</t>
  </si>
  <si>
    <t>LR3 3</t>
  </si>
  <si>
    <t>LR3 3.1</t>
  </si>
  <si>
    <t>振動</t>
    <rPh sb="0" eb="2">
      <t>ｼﾝﾄﾞｳ</t>
    </rPh>
    <phoneticPr fontId="34" type="noConversion"/>
  </si>
  <si>
    <t>採光利用：照明設備に代わり、太陽光を利用した、自然採光システムが計画されている事。（例）ライトシェルフ、トップライト、ハイサイドライトなど</t>
    <rPh sb="0" eb="2">
      <t>サイコウ</t>
    </rPh>
    <rPh sb="2" eb="4">
      <t>リヨウ</t>
    </rPh>
    <rPh sb="5" eb="7">
      <t>ショウメイ</t>
    </rPh>
    <rPh sb="7" eb="9">
      <t>セツビ</t>
    </rPh>
    <rPh sb="10" eb="11">
      <t>カ</t>
    </rPh>
    <rPh sb="14" eb="17">
      <t>タイヨウコウ</t>
    </rPh>
    <rPh sb="18" eb="20">
      <t>リヨウ</t>
    </rPh>
    <rPh sb="23" eb="25">
      <t>シゼン</t>
    </rPh>
    <rPh sb="25" eb="27">
      <t>サイコウ</t>
    </rPh>
    <rPh sb="32" eb="34">
      <t>ケイカク</t>
    </rPh>
    <rPh sb="39" eb="40">
      <t>コト</t>
    </rPh>
    <rPh sb="42" eb="43">
      <t>レイ</t>
    </rPh>
    <phoneticPr fontId="21"/>
  </si>
  <si>
    <t>　レベル　1</t>
    <phoneticPr fontId="21"/>
  </si>
  <si>
    <t>隣棟間隔指標Rwが
　・0.3以上0.4未満の場合(1ポイント)
　・0.4以上0.5未満の場合(2ポイント)
　・0.5以上の場合(3ポイント)</t>
    <phoneticPr fontId="21"/>
  </si>
  <si>
    <t>地表面対策面積率が
　・15％以上30％未満の場合(1ポイント)
　・30％以上45％未満の場合(2ポイント)
　・45％以上の場合(3ポイント)</t>
    <phoneticPr fontId="21"/>
  </si>
  <si>
    <t>屋根面対策面積率が
　・20％未満の場合(1ポイント)
　・20％以上40％未満の場合(2ポイント)
　・40％以上の場合(3ポイント)</t>
    <phoneticPr fontId="21"/>
  </si>
  <si>
    <t>外壁面対策面積率が
　・10％未満の場合(1ポイント)
　・10％以上20％未満の場合(2ポイント)
　・20％以上の場合(3ポイント)</t>
    <phoneticPr fontId="21"/>
  </si>
  <si>
    <t>「LR1エネルギー」のスコア(評価結果)が
　・3.0以上4.0未満(1ポイント)
　・4.0以上4.5未満(2ポイント)
　・4.5以上(3ポイント)</t>
    <phoneticPr fontId="21"/>
  </si>
  <si>
    <t>式修正</t>
    <rPh sb="0" eb="1">
      <t>シキ</t>
    </rPh>
    <rPh sb="1" eb="3">
      <t>シュウセイ</t>
    </rPh>
    <phoneticPr fontId="21"/>
  </si>
  <si>
    <t>2.1.4</t>
  </si>
  <si>
    <t>ゾーン別制御性</t>
  </si>
  <si>
    <t>2.1.5</t>
  </si>
  <si>
    <t>温度・湿度制御</t>
  </si>
  <si>
    <t>2.1.6</t>
  </si>
  <si>
    <t>個別制御</t>
  </si>
  <si>
    <t>2.1.7</t>
  </si>
  <si>
    <t>時間外空調に対する配慮</t>
  </si>
  <si>
    <t>2.1.8</t>
  </si>
  <si>
    <t>監視システム</t>
  </si>
  <si>
    <t xml:space="preserve"> Q1 2.3</t>
  </si>
  <si>
    <t xml:space="preserve"> Q1 3</t>
  </si>
  <si>
    <t xml:space="preserve"> Q1 3.1</t>
  </si>
  <si>
    <t>昼光率</t>
  </si>
  <si>
    <t>方位別開口</t>
  </si>
  <si>
    <t>昼光利用設備</t>
  </si>
  <si>
    <t xml:space="preserve"> Q1 3.2</t>
  </si>
  <si>
    <t>照明器具のグレア</t>
  </si>
  <si>
    <t>昼光制御</t>
  </si>
  <si>
    <t>3.2.3</t>
  </si>
  <si>
    <t xml:space="preserve"> Q1 3.3</t>
  </si>
  <si>
    <t xml:space="preserve"> Q1 4</t>
  </si>
  <si>
    <t xml:space="preserve"> Q1 4.1</t>
  </si>
  <si>
    <t xml:space="preserve"> 化学汚染物質</t>
  </si>
  <si>
    <t xml:space="preserve"> ダニ・カビ等</t>
  </si>
  <si>
    <t xml:space="preserve"> レジオネラ対策</t>
  </si>
  <si>
    <t xml:space="preserve"> Q1 4.2</t>
  </si>
  <si>
    <t>換気量</t>
  </si>
  <si>
    <t>自然換気性能</t>
  </si>
  <si>
    <t>取り入れ外気への配慮</t>
  </si>
  <si>
    <t xml:space="preserve"> Q1 4.3</t>
  </si>
  <si>
    <t xml:space="preserve"> Q2</t>
  </si>
  <si>
    <t>機能性</t>
  </si>
  <si>
    <t xml:space="preserve"> Q2 1</t>
  </si>
  <si>
    <t>機能性・使いやすさ</t>
    <rPh sb="0" eb="3">
      <t>キノウセイ</t>
    </rPh>
    <rPh sb="4" eb="5">
      <t>ヅカ</t>
    </rPh>
    <phoneticPr fontId="21"/>
  </si>
  <si>
    <t xml:space="preserve"> Q2 1.1</t>
  </si>
  <si>
    <t>広さ・収納性</t>
  </si>
  <si>
    <t>バリアフリー計画</t>
  </si>
  <si>
    <t xml:space="preserve"> Q2 1.2</t>
  </si>
  <si>
    <t>広さ感・景観</t>
  </si>
  <si>
    <t>リフレッシュスペース</t>
  </si>
  <si>
    <t>内装計画</t>
  </si>
  <si>
    <t>1.3.1</t>
  </si>
  <si>
    <t>効率的運用</t>
    <rPh sb="0" eb="3">
      <t>コウリツテキ</t>
    </rPh>
    <rPh sb="3" eb="5">
      <t>ウンヨウ</t>
    </rPh>
    <phoneticPr fontId="21"/>
  </si>
  <si>
    <t>事・学・物・飲・会・病・ホ・工</t>
    <rPh sb="14" eb="15">
      <t>コウ</t>
    </rPh>
    <phoneticPr fontId="21"/>
  </si>
  <si>
    <t>敷地内温熱環境の向上</t>
    <phoneticPr fontId="21"/>
  </si>
  <si>
    <t>I 敷地内の歩行者空間等へ風を導き、暑熱環境を緩和する</t>
    <phoneticPr fontId="21"/>
  </si>
  <si>
    <t>1)敷地周辺の風の状況を把握し、敷地内の歩行者空間等へ風を導く建築物の配置・形状計画とする</t>
    <phoneticPr fontId="21"/>
  </si>
  <si>
    <t>2)芝生・草地・低木等の緑地や通路等の空地を設けることにより、風の通り道を確保する。</t>
    <phoneticPr fontId="21"/>
  </si>
  <si>
    <t>当該対象区における標準的な計画の得点が３点。ＮＡは評価対象外とした項目を示す。敷地選定に関わる評価は対象外。</t>
    <rPh sb="2" eb="4">
      <t>タイショウ</t>
    </rPh>
    <rPh sb="4" eb="5">
      <t>ク</t>
    </rPh>
    <rPh sb="9" eb="11">
      <t>ヒョウジュン</t>
    </rPh>
    <rPh sb="13" eb="15">
      <t>ケイカク</t>
    </rPh>
    <phoneticPr fontId="21"/>
  </si>
  <si>
    <t>注2：</t>
    <rPh sb="0" eb="1">
      <t>チュウ</t>
    </rPh>
    <phoneticPr fontId="21"/>
  </si>
  <si>
    <t>Qは、環境品質・性能（Q）のスコアSQ(Q-1、Q-2、Q-3のスコアにそれぞれの重み係数を乗じた合計値）から算定。</t>
    <rPh sb="41" eb="42">
      <t>オモ</t>
    </rPh>
    <rPh sb="43" eb="45">
      <t>ケイスウ</t>
    </rPh>
    <rPh sb="46" eb="47">
      <t>ジョウ</t>
    </rPh>
    <rPh sb="49" eb="52">
      <t>ゴウケイチ</t>
    </rPh>
    <rPh sb="55" eb="57">
      <t>サンテイ</t>
    </rPh>
    <phoneticPr fontId="21"/>
  </si>
  <si>
    <t>Lは、環境負荷低減性（LR)のスコアSLR（LR-1、LR-2、LR-3のスコアにそれぞれの重み係数を乗じた合計値）から算定。</t>
    <rPh sb="3" eb="5">
      <t>カンキョウ</t>
    </rPh>
    <rPh sb="5" eb="7">
      <t>フカ</t>
    </rPh>
    <rPh sb="7" eb="9">
      <t>テイゲン</t>
    </rPh>
    <rPh sb="9" eb="10">
      <t>セイ</t>
    </rPh>
    <rPh sb="46" eb="47">
      <t>オモ</t>
    </rPh>
    <rPh sb="48" eb="50">
      <t>ケイスウ</t>
    </rPh>
    <rPh sb="51" eb="52">
      <t>ジョウ</t>
    </rPh>
    <rPh sb="54" eb="57">
      <t>ゴウケイチ</t>
    </rPh>
    <rPh sb="60" eb="62">
      <t>サンテイ</t>
    </rPh>
    <phoneticPr fontId="21"/>
  </si>
  <si>
    <t>注3：</t>
    <rPh sb="0" eb="1">
      <t>チュウ</t>
    </rPh>
    <phoneticPr fontId="21"/>
  </si>
  <si>
    <t>色欄について、プルダウンメニューから選択、または数値・コメントを記入のこと</t>
    <rPh sb="0" eb="1">
      <t>イロ</t>
    </rPh>
    <rPh sb="1" eb="2">
      <t>ラン</t>
    </rPh>
    <rPh sb="18" eb="20">
      <t>センタク</t>
    </rPh>
    <rPh sb="24" eb="26">
      <t>スウチ</t>
    </rPh>
    <rPh sb="32" eb="34">
      <t>キニュウ</t>
    </rPh>
    <phoneticPr fontId="21"/>
  </si>
  <si>
    <t>欄に数値またはコメントを記入</t>
    <rPh sb="0" eb="1">
      <t>ラン</t>
    </rPh>
    <rPh sb="2" eb="4">
      <t>スウチ</t>
    </rPh>
    <rPh sb="12" eb="14">
      <t>キニュウ</t>
    </rPh>
    <phoneticPr fontId="21"/>
  </si>
  <si>
    <t>■評価ソフト：</t>
    <rPh sb="1" eb="3">
      <t>ヒョウカ</t>
    </rPh>
    <phoneticPr fontId="21"/>
  </si>
  <si>
    <t>スコアシート</t>
    <phoneticPr fontId="34" type="noConversion"/>
  </si>
  <si>
    <t>解説シートの
採点結果</t>
    <rPh sb="0" eb="2">
      <t>カイセツ</t>
    </rPh>
    <rPh sb="7" eb="9">
      <t>サイテン</t>
    </rPh>
    <rPh sb="9" eb="11">
      <t>ケッカ</t>
    </rPh>
    <phoneticPr fontId="21"/>
  </si>
  <si>
    <t>建物全体・共用部分</t>
    <rPh sb="0" eb="2">
      <t>タテモノ</t>
    </rPh>
    <rPh sb="2" eb="4">
      <t>ゼンタイ</t>
    </rPh>
    <rPh sb="5" eb="7">
      <t>キョウヨウ</t>
    </rPh>
    <rPh sb="7" eb="9">
      <t>ブブン</t>
    </rPh>
    <phoneticPr fontId="21"/>
  </si>
  <si>
    <t>住居・宿泊部分</t>
    <rPh sb="0" eb="2">
      <t>ジュウキョ</t>
    </rPh>
    <rPh sb="3" eb="5">
      <t>シュクハク</t>
    </rPh>
    <rPh sb="5" eb="7">
      <t>ブブン</t>
    </rPh>
    <phoneticPr fontId="21"/>
  </si>
  <si>
    <t>建物全体</t>
    <rPh sb="0" eb="2">
      <t>タテモノ</t>
    </rPh>
    <rPh sb="2" eb="4">
      <t>ゼンタイ</t>
    </rPh>
    <phoneticPr fontId="21"/>
  </si>
  <si>
    <t>住居宿泊</t>
    <rPh sb="0" eb="2">
      <t>ジュウキョ</t>
    </rPh>
    <rPh sb="2" eb="4">
      <t>シュクハク</t>
    </rPh>
    <phoneticPr fontId="21"/>
  </si>
  <si>
    <r>
      <t>Q3</t>
    </r>
    <r>
      <rPr>
        <b/>
        <sz val="14"/>
        <rFont val="ＭＳ Ｐゴシック"/>
        <family val="3"/>
        <charset val="128"/>
      </rPr>
      <t>　室外環境（敷地内）</t>
    </r>
    <phoneticPr fontId="21"/>
  </si>
  <si>
    <t>○</t>
    <phoneticPr fontId="21"/>
  </si>
  <si>
    <t>ON</t>
    <phoneticPr fontId="21"/>
  </si>
  <si>
    <t>はい</t>
    <phoneticPr fontId="21"/>
  </si>
  <si>
    <t>いいえ</t>
    <phoneticPr fontId="21"/>
  </si>
  <si>
    <t>　レベル　1</t>
    <phoneticPr fontId="21"/>
  </si>
  <si>
    <t>■レベル　1</t>
    <phoneticPr fontId="21"/>
  </si>
  <si>
    <t>レベル</t>
    <phoneticPr fontId="21"/>
  </si>
  <si>
    <t>建築物衛生法における特定建築物に該当しない建築物</t>
    <phoneticPr fontId="21"/>
  </si>
  <si>
    <t>―</t>
    <phoneticPr fontId="21"/>
  </si>
  <si>
    <t>①　清掃用資材を保管するスペースを計画している。</t>
    <phoneticPr fontId="21"/>
  </si>
  <si>
    <t>③　清掃用具室に洗い場を設置し、安全な排水設備への排水経路を確保している。</t>
    <phoneticPr fontId="21"/>
  </si>
  <si>
    <t>④　衛生面からモップ、ウェスを洗濯・乾燥させるスペースを計画している。</t>
    <phoneticPr fontId="21"/>
  </si>
  <si>
    <t>③　水を使用し清掃する箇所（トイレ、ゴミ庫、厨房）には２／１００程度の適度な勾配を計画している。</t>
    <phoneticPr fontId="21"/>
  </si>
  <si>
    <t>⑥　トイレ毎ないしはフロア毎に清掃用流しを設置している。</t>
    <phoneticPr fontId="21"/>
  </si>
  <si>
    <t>⑧　外部ガラスや外壁、給排気口、照明など高所の維持管理作業を安全に行える設計をしている。</t>
    <phoneticPr fontId="21"/>
  </si>
  <si>
    <t>同左</t>
  </si>
  <si>
    <t>国内消費支出分</t>
    <rPh sb="0" eb="2">
      <t>コクナイ</t>
    </rPh>
    <rPh sb="2" eb="4">
      <t>ショウヒ</t>
    </rPh>
    <rPh sb="4" eb="6">
      <t>シシュツ</t>
    </rPh>
    <rPh sb="6" eb="7">
      <t>ブン</t>
    </rPh>
    <phoneticPr fontId="21"/>
  </si>
  <si>
    <t>躯体・基礎の寿命（年）</t>
    <rPh sb="0" eb="2">
      <t>クタイ</t>
    </rPh>
    <rPh sb="3" eb="5">
      <t>キソ</t>
    </rPh>
    <rPh sb="6" eb="8">
      <t>ジュミョウ</t>
    </rPh>
    <rPh sb="9" eb="10">
      <t>ネン</t>
    </rPh>
    <phoneticPr fontId="21"/>
  </si>
  <si>
    <t>Q2/2.2.1 躯体材料</t>
    <rPh sb="9" eb="11">
      <t>クタイ</t>
    </rPh>
    <rPh sb="11" eb="13">
      <t>ザイリョウ</t>
    </rPh>
    <phoneticPr fontId="21"/>
  </si>
  <si>
    <t>再利用なし</t>
    <rPh sb="0" eb="3">
      <t>サイリヨウ</t>
    </rPh>
    <phoneticPr fontId="21"/>
  </si>
  <si>
    <t>既存躯体100％</t>
    <rPh sb="0" eb="2">
      <t>キソン</t>
    </rPh>
    <rPh sb="2" eb="4">
      <t>クタイ</t>
    </rPh>
    <phoneticPr fontId="21"/>
  </si>
  <si>
    <t>高炉ｾﾒﾝﾄ100%</t>
    <rPh sb="0" eb="2">
      <t>コウロ</t>
    </rPh>
    <phoneticPr fontId="21"/>
  </si>
  <si>
    <t>更新周期(年）</t>
    <rPh sb="0" eb="2">
      <t>コウシン</t>
    </rPh>
    <rPh sb="2" eb="4">
      <t>シュウキ</t>
    </rPh>
    <rPh sb="5" eb="6">
      <t>ネン</t>
    </rPh>
    <phoneticPr fontId="21"/>
  </si>
  <si>
    <t>外装</t>
    <rPh sb="0" eb="2">
      <t>ガイソウ</t>
    </rPh>
    <phoneticPr fontId="21"/>
  </si>
  <si>
    <t>年</t>
    <rPh sb="0" eb="1">
      <t>ネン</t>
    </rPh>
    <phoneticPr fontId="21"/>
  </si>
  <si>
    <t>屋根</t>
    <rPh sb="0" eb="2">
      <t>ヤネ</t>
    </rPh>
    <phoneticPr fontId="21"/>
  </si>
  <si>
    <t>内装</t>
    <rPh sb="0" eb="2">
      <t>ナイソウ</t>
    </rPh>
    <phoneticPr fontId="21"/>
  </si>
  <si>
    <t>設備</t>
    <rPh sb="0" eb="2">
      <t>セツビ</t>
    </rPh>
    <phoneticPr fontId="21"/>
  </si>
  <si>
    <t>平均修繕率</t>
    <rPh sb="0" eb="2">
      <t>ヘイキン</t>
    </rPh>
    <rPh sb="2" eb="4">
      <t>シュウゼン</t>
    </rPh>
    <rPh sb="4" eb="5">
      <t>リツ</t>
    </rPh>
    <phoneticPr fontId="21"/>
  </si>
  <si>
    <t>/年</t>
    <rPh sb="1" eb="2">
      <t>ネン</t>
    </rPh>
    <phoneticPr fontId="21"/>
  </si>
  <si>
    <t>参照値（参照建物）</t>
    <rPh sb="0" eb="2">
      <t>サンショウ</t>
    </rPh>
    <rPh sb="2" eb="3">
      <t>チ</t>
    </rPh>
    <rPh sb="4" eb="6">
      <t>サンショウ</t>
    </rPh>
    <rPh sb="6" eb="8">
      <t>タテモノ</t>
    </rPh>
    <phoneticPr fontId="21"/>
  </si>
  <si>
    <t>建物
概要</t>
    <rPh sb="0" eb="2">
      <t>タテモノ</t>
    </rPh>
    <rPh sb="3" eb="5">
      <t>ガイヨウ</t>
    </rPh>
    <phoneticPr fontId="21"/>
  </si>
  <si>
    <t>建物規模</t>
    <rPh sb="0" eb="2">
      <t>タテモノ</t>
    </rPh>
    <rPh sb="2" eb="4">
      <t>キボ</t>
    </rPh>
    <phoneticPr fontId="21"/>
  </si>
  <si>
    <t>構造種別</t>
    <rPh sb="0" eb="2">
      <t>コウゾウ</t>
    </rPh>
    <rPh sb="2" eb="4">
      <t>シュベツ</t>
    </rPh>
    <phoneticPr fontId="21"/>
  </si>
  <si>
    <t>ライフサイクル設定</t>
    <rPh sb="7" eb="9">
      <t>セッテイ</t>
    </rPh>
    <phoneticPr fontId="21"/>
  </si>
  <si>
    <t>想定耐用年数</t>
    <rPh sb="0" eb="2">
      <t>ソウテイ</t>
    </rPh>
    <rPh sb="2" eb="4">
      <t>タイヨウ</t>
    </rPh>
    <rPh sb="4" eb="6">
      <t>ネンスウ</t>
    </rPh>
    <phoneticPr fontId="21"/>
  </si>
  <si>
    <r>
      <t>kg-CO</t>
    </r>
    <r>
      <rPr>
        <vertAlign val="subscript"/>
        <sz val="10"/>
        <rFont val="ＭＳ Ｐゴシック"/>
        <family val="3"/>
        <charset val="128"/>
      </rPr>
      <t>2</t>
    </r>
    <r>
      <rPr>
        <sz val="10"/>
        <rFont val="ＭＳ Ｐゴシック"/>
        <family val="3"/>
        <charset val="128"/>
      </rPr>
      <t>/年㎡</t>
    </r>
    <rPh sb="7" eb="8">
      <t>ネン</t>
    </rPh>
    <phoneticPr fontId="21"/>
  </si>
  <si>
    <t>地球温暖化への配慮</t>
    <rPh sb="0" eb="2">
      <t>チキュウ</t>
    </rPh>
    <rPh sb="2" eb="5">
      <t>オンダンカ</t>
    </rPh>
    <rPh sb="7" eb="9">
      <t>ハイリョ</t>
    </rPh>
    <phoneticPr fontId="21"/>
  </si>
  <si>
    <t>自然ｴﾈﾙｷﾞｰ</t>
    <rPh sb="0" eb="2">
      <t>シゼン</t>
    </rPh>
    <phoneticPr fontId="21"/>
  </si>
  <si>
    <t>非再生性材料の削減</t>
    <rPh sb="0" eb="1">
      <t>ヒ</t>
    </rPh>
    <rPh sb="1" eb="3">
      <t>サイセイ</t>
    </rPh>
    <rPh sb="3" eb="4">
      <t>セイ</t>
    </rPh>
    <rPh sb="4" eb="6">
      <t>ザイリョウ</t>
    </rPh>
    <rPh sb="7" eb="9">
      <t>サクゲン</t>
    </rPh>
    <phoneticPr fontId="21"/>
  </si>
  <si>
    <t>地域環境への配慮</t>
    <rPh sb="0" eb="2">
      <t>チイキ</t>
    </rPh>
    <rPh sb="2" eb="4">
      <t>カンキョウ</t>
    </rPh>
    <rPh sb="6" eb="8">
      <t>ハイリョ</t>
    </rPh>
    <phoneticPr fontId="21"/>
  </si>
  <si>
    <t>設備の効率的利用</t>
    <rPh sb="0" eb="2">
      <t>セツビ</t>
    </rPh>
    <rPh sb="3" eb="5">
      <t>コウリツ</t>
    </rPh>
    <rPh sb="5" eb="6">
      <t>テキ</t>
    </rPh>
    <rPh sb="6" eb="8">
      <t>リヨウ</t>
    </rPh>
    <phoneticPr fontId="21"/>
  </si>
  <si>
    <t>汚染物質回避</t>
    <rPh sb="0" eb="2">
      <t>オセン</t>
    </rPh>
    <rPh sb="2" eb="4">
      <t>ブッシツ</t>
    </rPh>
    <rPh sb="4" eb="6">
      <t>カイヒ</t>
    </rPh>
    <phoneticPr fontId="21"/>
  </si>
  <si>
    <t>周辺環境への配慮</t>
    <rPh sb="0" eb="2">
      <t>シュウヘン</t>
    </rPh>
    <rPh sb="2" eb="4">
      <t>カンキョウ</t>
    </rPh>
    <rPh sb="6" eb="8">
      <t>ハイリョ</t>
    </rPh>
    <phoneticPr fontId="21"/>
  </si>
  <si>
    <t>運用ﾏﾈｼﾞﾒﾝﾄ</t>
    <rPh sb="0" eb="2">
      <t>ウンヨウ</t>
    </rPh>
    <phoneticPr fontId="21"/>
  </si>
  <si>
    <r>
      <t>3</t>
    </r>
    <r>
      <rPr>
        <b/>
        <sz val="12"/>
        <color indexed="9"/>
        <rFont val="ＭＳ Ｐゴシック"/>
        <family val="3"/>
        <charset val="128"/>
      </rPr>
      <t>　設計上の配慮事項</t>
    </r>
    <rPh sb="2" eb="4">
      <t>セッケイ</t>
    </rPh>
    <rPh sb="4" eb="5">
      <t>ジョウ</t>
    </rPh>
    <rPh sb="6" eb="8">
      <t>ハイリョ</t>
    </rPh>
    <rPh sb="8" eb="10">
      <t>ジコウ</t>
    </rPh>
    <phoneticPr fontId="21"/>
  </si>
  <si>
    <t>総合</t>
    <rPh sb="0" eb="2">
      <t>ｿｳｺﾞｳ</t>
    </rPh>
    <phoneticPr fontId="34" type="noConversion"/>
  </si>
  <si>
    <t>その他</t>
    <rPh sb="2" eb="3">
      <t>ﾀ</t>
    </rPh>
    <phoneticPr fontId="34" type="noConversion"/>
  </si>
  <si>
    <r>
      <t>（</t>
    </r>
    <r>
      <rPr>
        <b/>
        <sz val="12"/>
        <color indexed="9"/>
        <rFont val="Arial"/>
        <family val="2"/>
      </rPr>
      <t>3</t>
    </r>
    <r>
      <rPr>
        <b/>
        <sz val="12"/>
        <color indexed="9"/>
        <rFont val="ＭＳ Ｐゴシック"/>
        <family val="3"/>
        <charset val="128"/>
      </rPr>
      <t>）　建築物の総合的な環境性能とは別枠の重要評価項目</t>
    </r>
    <rPh sb="4" eb="7">
      <t>ｹﾝﾁｸﾌﾞﾂ</t>
    </rPh>
    <rPh sb="8" eb="10">
      <t>ｿｳｺﾞｳ</t>
    </rPh>
    <rPh sb="10" eb="11">
      <t>ﾃｷ</t>
    </rPh>
    <rPh sb="12" eb="14">
      <t>ｶﾝｷｮｳ</t>
    </rPh>
    <rPh sb="14" eb="16">
      <t>ｾｲﾉｳ</t>
    </rPh>
    <rPh sb="18" eb="20">
      <t>ﾍﾞﾂﾜｸ</t>
    </rPh>
    <rPh sb="21" eb="23">
      <t>ｼﾞｭｳﾖｳ</t>
    </rPh>
    <rPh sb="23" eb="25">
      <t>ﾋｮｳｶ</t>
    </rPh>
    <rPh sb="25" eb="27">
      <t>ｺｳﾓｸ</t>
    </rPh>
    <phoneticPr fontId="34" type="noConversion"/>
  </si>
  <si>
    <t>注3</t>
    <rPh sb="0" eb="1">
      <t>チュウ</t>
    </rPh>
    <phoneticPr fontId="21"/>
  </si>
  <si>
    <t>心理性・快適性</t>
    <rPh sb="0" eb="1">
      <t>ｺｺﾛ</t>
    </rPh>
    <rPh sb="1" eb="3">
      <t>ﾘｾｲ</t>
    </rPh>
    <rPh sb="4" eb="7">
      <t>ｶｲﾃｷｾｲ</t>
    </rPh>
    <phoneticPr fontId="34" type="noConversion"/>
  </si>
  <si>
    <t>■レベル　1</t>
    <phoneticPr fontId="21"/>
  </si>
  <si>
    <t>個室8㎡/床で、かつ多床室6㎡/床以上。</t>
    <phoneticPr fontId="21"/>
  </si>
  <si>
    <t>シングル15㎡以上、かつツイン22㎡以上。</t>
    <phoneticPr fontId="21"/>
  </si>
  <si>
    <t>シングル22㎡以上、かつツイン32㎡以上。</t>
    <phoneticPr fontId="21"/>
  </si>
  <si>
    <t>個室10㎡/床で、かつ多床室8㎡/床以上。</t>
    <phoneticPr fontId="21"/>
  </si>
  <si>
    <t>シングル30㎡以上、かつツイン40㎡以上。</t>
    <phoneticPr fontId="21"/>
  </si>
  <si>
    <t>レベル</t>
    <phoneticPr fontId="21"/>
  </si>
  <si>
    <t>建物全体・共用部分</t>
    <phoneticPr fontId="21"/>
  </si>
  <si>
    <t>ホ・住</t>
    <phoneticPr fontId="21"/>
  </si>
  <si>
    <t>病・ホ</t>
    <rPh sb="0" eb="1">
      <t>ビョウ</t>
    </rPh>
    <phoneticPr fontId="21"/>
  </si>
  <si>
    <t>会話等の話の内容がわかる。</t>
    <rPh sb="0" eb="2">
      <t>カイワ</t>
    </rPh>
    <rPh sb="2" eb="3">
      <t>トウ</t>
    </rPh>
    <rPh sb="4" eb="5">
      <t>ハナシ</t>
    </rPh>
    <rPh sb="6" eb="8">
      <t>ナイヨウ</t>
    </rPh>
    <phoneticPr fontId="21"/>
  </si>
  <si>
    <t>　　　　　　　　　　　　　　　　　</t>
  </si>
  <si>
    <t>人の話し声がほとんど聞こえない。</t>
  </si>
  <si>
    <t>事・学・物・飲・会・病・ホ・工・住</t>
    <rPh sb="14" eb="15">
      <t>コウ</t>
    </rPh>
    <rPh sb="16" eb="17">
      <t>ジュウ</t>
    </rPh>
    <phoneticPr fontId="21"/>
  </si>
  <si>
    <t>病・ホ</t>
    <rPh sb="0" eb="1">
      <t>ヤマイ</t>
    </rPh>
    <phoneticPr fontId="21"/>
  </si>
  <si>
    <t>窓,外壁,屋根や床（特にピロティ）において室内への熱の侵入に対しての配慮が十分でなく、日射遮蔽性能や断熱性能が低い。</t>
  </si>
  <si>
    <t>窓,外壁,屋根や床（特にピロティ）において、室内への熱の侵入に対しての配慮がなされており、実用上、日射遮蔽性能および断熱性能に問題がない。</t>
  </si>
  <si>
    <t>窓,外壁,屋根や床（特にピロティ）において、室内への熱の侵入に対して、十分な配慮がなされており、最良の日射遮蔽性能および断熱性能を有する。</t>
  </si>
  <si>
    <t>窓システム、外壁、屋根や床（特にピロティ）において熱の侵入に対して配慮が無く、断熱性能が低い。
（窓システムSC：0.7程度、U=6.0(W/m2K) 程度、外壁・その他：U=3.0(W/m2K) 程度）</t>
  </si>
  <si>
    <t>窓システム、外壁、屋根や床（特にピロティ）において熱の侵入に対して配慮が無く、断熱性能が低い。（窓システムSC：0.7程度、U=6.0(W/m2K)程度、外壁その他：U=3.0(W/m2K)程度）</t>
  </si>
  <si>
    <t>←　直接入力</t>
    <rPh sb="2" eb="4">
      <t>チョクセツ</t>
    </rPh>
    <rPh sb="4" eb="6">
      <t>ニュウリョク</t>
    </rPh>
    <phoneticPr fontId="21"/>
  </si>
  <si>
    <t>延床面積</t>
    <rPh sb="0" eb="4">
      <t>ノベユカメンセキ</t>
    </rPh>
    <phoneticPr fontId="21"/>
  </si>
  <si>
    <t>　</t>
  </si>
  <si>
    <t>吹出し口、吸込み口からの騒音</t>
    <rPh sb="12" eb="14">
      <t>ソウオン</t>
    </rPh>
    <phoneticPr fontId="21"/>
  </si>
  <si>
    <t>低騒音型吹出し口、低騒音型吸込み口、位置、風量・風速の適正化など</t>
  </si>
  <si>
    <t>○</t>
  </si>
  <si>
    <t>教室の天井高2.7m以上。</t>
    <rPh sb="0" eb="2">
      <t>キョウシツ</t>
    </rPh>
    <rPh sb="3" eb="5">
      <t>テンジョウ</t>
    </rPh>
    <rPh sb="5" eb="6">
      <t>ダカ</t>
    </rPh>
    <rPh sb="10" eb="12">
      <t>イジョウ</t>
    </rPh>
    <phoneticPr fontId="21"/>
  </si>
  <si>
    <t>教室の天井高3.0m以上。</t>
  </si>
  <si>
    <t>教室の天井高3.1m以上。</t>
  </si>
  <si>
    <t>教室の天井高3.2m以上。</t>
  </si>
  <si>
    <t>物</t>
    <rPh sb="0" eb="1">
      <t>モノ</t>
    </rPh>
    <phoneticPr fontId="21"/>
  </si>
  <si>
    <r>
      <t xml:space="preserve">1.2.3 </t>
    </r>
    <r>
      <rPr>
        <b/>
        <sz val="10"/>
        <rFont val="ＭＳ Ｐゴシック"/>
        <family val="3"/>
        <charset val="128"/>
      </rPr>
      <t>内装計画</t>
    </r>
    <rPh sb="6" eb="8">
      <t>ナイソウ</t>
    </rPh>
    <rPh sb="8" eb="10">
      <t>ケイカク</t>
    </rPh>
    <phoneticPr fontId="21"/>
  </si>
  <si>
    <t>評価する取組み</t>
    <rPh sb="0" eb="2">
      <t>ヒョウカ</t>
    </rPh>
    <rPh sb="4" eb="6">
      <t>トリク</t>
    </rPh>
    <phoneticPr fontId="21"/>
  </si>
  <si>
    <t>建物全体のコンセプトが明確にあり、内装計画の段階で、コンセプトを反映するための取り組みが具体的にされている。（例えばエコロジーをテーマとする場合に天然素材やエコマテリアルを多用する等）</t>
    <rPh sb="87" eb="88">
      <t>ヨウ</t>
    </rPh>
    <phoneticPr fontId="21"/>
  </si>
  <si>
    <t>建物全体のコンセプトが明確にあり、内装計画の段階で、コンセプトを反映するための取り組みが具体的にされている。（例えば、エコロジーをテーマとする場合に天然素材やエコマテリアルを多用する等）</t>
    <rPh sb="55" eb="56">
      <t>タト</t>
    </rPh>
    <rPh sb="88" eb="89">
      <t>ヨウ</t>
    </rPh>
    <phoneticPr fontId="21"/>
  </si>
  <si>
    <t>その他の燃料
（　　　）</t>
    <rPh sb="2" eb="3">
      <t>タ</t>
    </rPh>
    <rPh sb="4" eb="6">
      <t>ネンリョウ</t>
    </rPh>
    <phoneticPr fontId="21"/>
  </si>
  <si>
    <t>上水使用</t>
    <rPh sb="0" eb="1">
      <t>ウエ</t>
    </rPh>
    <rPh sb="1" eb="2">
      <t>ミズ</t>
    </rPh>
    <rPh sb="2" eb="4">
      <t>シヨウ</t>
    </rPh>
    <phoneticPr fontId="21"/>
  </si>
  <si>
    <t>kg/㎡</t>
  </si>
  <si>
    <t xml:space="preserve"> 百貨店、マーケット など</t>
    <rPh sb="1" eb="4">
      <t>ヒャッカテン</t>
    </rPh>
    <phoneticPr fontId="21"/>
  </si>
  <si>
    <t>電力</t>
    <rPh sb="0" eb="2">
      <t>デンリョク</t>
    </rPh>
    <phoneticPr fontId="21"/>
  </si>
  <si>
    <t>搬送熱量/ポンプ消費エネルギー（2次エネルギー基準）</t>
  </si>
  <si>
    <t>空調機搬送ATF</t>
  </si>
  <si>
    <t>搬送熱量/ファン消費エネルギー（2次エネルギー基準）</t>
  </si>
  <si>
    <t>全熱交換器効果</t>
  </si>
  <si>
    <t>削減熱量、エネルギー量</t>
  </si>
  <si>
    <t>または
居住者や入居者が植栽管理・清掃活動、運用計画の立案を直接行うなど、建物の維持管理に対して居住者が参加している。</t>
    <phoneticPr fontId="21"/>
  </si>
  <si>
    <t>■　環境設計の配慮事項</t>
    <rPh sb="2" eb="4">
      <t>カンキョウ</t>
    </rPh>
    <rPh sb="4" eb="6">
      <t>セッケイ</t>
    </rPh>
    <rPh sb="7" eb="9">
      <t>ハイリョ</t>
    </rPh>
    <rPh sb="9" eb="11">
      <t>ジコウ</t>
    </rPh>
    <phoneticPr fontId="21"/>
  </si>
  <si>
    <t>■建物名称</t>
    <rPh sb="1" eb="3">
      <t>タテモノ</t>
    </rPh>
    <rPh sb="3" eb="5">
      <t>メイショウ</t>
    </rPh>
    <phoneticPr fontId="21"/>
  </si>
  <si>
    <t>計画上の配慮事項</t>
    <rPh sb="0" eb="2">
      <t>ケイカク</t>
    </rPh>
    <rPh sb="2" eb="3">
      <t>ジョウ</t>
    </rPh>
    <rPh sb="4" eb="6">
      <t>ハイリョ</t>
    </rPh>
    <rPh sb="6" eb="8">
      <t>ジコウ</t>
    </rPh>
    <phoneticPr fontId="21"/>
  </si>
  <si>
    <t>総合</t>
    <rPh sb="0" eb="2">
      <t>ソウゴウ</t>
    </rPh>
    <phoneticPr fontId="21"/>
  </si>
  <si>
    <t>注）　設計における総合的なコンセプトを簡潔に記載してください。
　</t>
    <rPh sb="3" eb="5">
      <t>セッケイ</t>
    </rPh>
    <phoneticPr fontId="21"/>
  </si>
  <si>
    <t>Q1 
室内環境</t>
    <rPh sb="4" eb="6">
      <t>シツナイ</t>
    </rPh>
    <rPh sb="6" eb="8">
      <t>カンキョウ</t>
    </rPh>
    <phoneticPr fontId="21"/>
  </si>
  <si>
    <t>注）　「Q1　室内環境」に対する配慮事項を簡潔に記載してください。</t>
    <rPh sb="16" eb="18">
      <t>ハイリョ</t>
    </rPh>
    <rPh sb="18" eb="20">
      <t>ジコウ</t>
    </rPh>
    <phoneticPr fontId="21"/>
  </si>
  <si>
    <t>Q2 
サービス性能</t>
    <rPh sb="8" eb="10">
      <t>セイノウ</t>
    </rPh>
    <phoneticPr fontId="21"/>
  </si>
  <si>
    <t>Q3 
室外環境（敷地内）</t>
    <rPh sb="4" eb="6">
      <t>シツガイ</t>
    </rPh>
    <rPh sb="6" eb="8">
      <t>カンキョウ</t>
    </rPh>
    <rPh sb="9" eb="11">
      <t>シキチ</t>
    </rPh>
    <rPh sb="11" eb="12">
      <t>ナイ</t>
    </rPh>
    <phoneticPr fontId="21"/>
  </si>
  <si>
    <t>LR2 
資源・マテリアル</t>
    <rPh sb="5" eb="7">
      <t>シゲン</t>
    </rPh>
    <phoneticPr fontId="21"/>
  </si>
  <si>
    <t>その他</t>
    <rPh sb="2" eb="3">
      <t>ホカ</t>
    </rPh>
    <phoneticPr fontId="21"/>
  </si>
  <si>
    <t>注）　上記の６つのカテゴリー以外に、建設工事における廃棄物削減・リサイクル、歴史的建造物の保存など、建物自体の環境性能としてＣＡＳＢＥＥで評価し難い環境配慮の取組みがあれば、ここに記載してください。</t>
    <rPh sb="18" eb="20">
      <t>ケンセツ</t>
    </rPh>
    <rPh sb="45" eb="47">
      <t>ホゾン</t>
    </rPh>
    <phoneticPr fontId="21"/>
  </si>
  <si>
    <t>照度均斉度</t>
    <phoneticPr fontId="21"/>
  </si>
  <si>
    <t>4.1.1</t>
    <phoneticPr fontId="21"/>
  </si>
  <si>
    <t>4.1.2</t>
    <phoneticPr fontId="21"/>
  </si>
  <si>
    <t xml:space="preserve"> アスベスト対策</t>
    <phoneticPr fontId="21"/>
  </si>
  <si>
    <t>4.1.3</t>
    <phoneticPr fontId="21"/>
  </si>
  <si>
    <t>4.1.4</t>
    <phoneticPr fontId="21"/>
  </si>
  <si>
    <t>4.2.1</t>
    <phoneticPr fontId="21"/>
  </si>
  <si>
    <t>4.2.2</t>
    <phoneticPr fontId="21"/>
  </si>
  <si>
    <t>4.2.3</t>
    <phoneticPr fontId="21"/>
  </si>
  <si>
    <t>4.2.4</t>
    <phoneticPr fontId="21"/>
  </si>
  <si>
    <t>給気計画</t>
    <phoneticPr fontId="21"/>
  </si>
  <si>
    <t>4.3.1</t>
    <phoneticPr fontId="21"/>
  </si>
  <si>
    <t>CO2の監視</t>
    <phoneticPr fontId="21"/>
  </si>
  <si>
    <t>4.3.2</t>
    <phoneticPr fontId="21"/>
  </si>
  <si>
    <t>喫煙の制御</t>
    <phoneticPr fontId="21"/>
  </si>
  <si>
    <t>Q2</t>
    <phoneticPr fontId="21"/>
  </si>
  <si>
    <t>サービス性能</t>
    <phoneticPr fontId="21"/>
  </si>
  <si>
    <t>1.1.1</t>
    <phoneticPr fontId="21"/>
  </si>
  <si>
    <t>1.1.2</t>
    <phoneticPr fontId="21"/>
  </si>
  <si>
    <t>高度情報通信設備対応</t>
    <phoneticPr fontId="21"/>
  </si>
  <si>
    <t>1.1.3</t>
    <phoneticPr fontId="21"/>
  </si>
  <si>
    <t>1.2.1</t>
    <phoneticPr fontId="21"/>
  </si>
  <si>
    <t>1.2.2</t>
    <phoneticPr fontId="21"/>
  </si>
  <si>
    <t>1.2.3</t>
    <phoneticPr fontId="21"/>
  </si>
  <si>
    <t xml:space="preserve"> Q2 1.3</t>
    <phoneticPr fontId="21"/>
  </si>
  <si>
    <t>0</t>
    <phoneticPr fontId="21"/>
  </si>
  <si>
    <t>2.1.1</t>
    <phoneticPr fontId="21"/>
  </si>
  <si>
    <t>2.1.2</t>
    <phoneticPr fontId="21"/>
  </si>
  <si>
    <t>2.1.2</t>
    <phoneticPr fontId="21"/>
  </si>
  <si>
    <t>2.2.1</t>
    <phoneticPr fontId="21"/>
  </si>
  <si>
    <t>2.2.1</t>
    <phoneticPr fontId="21"/>
  </si>
  <si>
    <t>2.2.2</t>
    <phoneticPr fontId="21"/>
  </si>
  <si>
    <t>2.2.3</t>
    <phoneticPr fontId="21"/>
  </si>
  <si>
    <t>2.2.4</t>
    <phoneticPr fontId="21"/>
  </si>
  <si>
    <t>2.2.4</t>
    <phoneticPr fontId="21"/>
  </si>
  <si>
    <t>2.2.5</t>
    <phoneticPr fontId="21"/>
  </si>
  <si>
    <t>2.2.5</t>
    <phoneticPr fontId="21"/>
  </si>
  <si>
    <t>2.2.6</t>
    <phoneticPr fontId="21"/>
  </si>
  <si>
    <t xml:space="preserve"> Q2 2</t>
    <phoneticPr fontId="21"/>
  </si>
  <si>
    <t>2.3.1</t>
    <phoneticPr fontId="21"/>
  </si>
  <si>
    <t xml:space="preserve"> Q2 2.3</t>
    <phoneticPr fontId="21"/>
  </si>
  <si>
    <t>2.3.1</t>
    <phoneticPr fontId="21"/>
  </si>
  <si>
    <t>2.3.2</t>
    <phoneticPr fontId="21"/>
  </si>
  <si>
    <t xml:space="preserve"> Q2 2.3</t>
    <phoneticPr fontId="21"/>
  </si>
  <si>
    <t>一次ｴﾈﾙｷﾞｰあたり　非住宅</t>
    <rPh sb="0" eb="2">
      <t>イチジ</t>
    </rPh>
    <rPh sb="12" eb="13">
      <t>ヒ</t>
    </rPh>
    <rPh sb="13" eb="15">
      <t>ジュウタク</t>
    </rPh>
    <phoneticPr fontId="21"/>
  </si>
  <si>
    <t>同上　　住宅（専有部）</t>
    <rPh sb="0" eb="2">
      <t>ドウジョウ</t>
    </rPh>
    <rPh sb="4" eb="6">
      <t>ジュウタク</t>
    </rPh>
    <rPh sb="7" eb="9">
      <t>センユウ</t>
    </rPh>
    <rPh sb="9" eb="10">
      <t>ブ</t>
    </rPh>
    <phoneticPr fontId="21"/>
  </si>
  <si>
    <t>木部の防腐剤</t>
    <rPh sb="0" eb="2">
      <t>モクブ</t>
    </rPh>
    <rPh sb="3" eb="6">
      <t>ボウフザイ</t>
    </rPh>
    <phoneticPr fontId="21"/>
  </si>
  <si>
    <r>
      <t xml:space="preserve">3.2.1 </t>
    </r>
    <r>
      <rPr>
        <b/>
        <sz val="10"/>
        <rFont val="ＭＳ Ｐゴシック"/>
        <family val="3"/>
        <charset val="128"/>
      </rPr>
      <t>消火剤</t>
    </r>
    <rPh sb="6" eb="8">
      <t>ショウカ</t>
    </rPh>
    <rPh sb="8" eb="9">
      <t>ザイ</t>
    </rPh>
    <phoneticPr fontId="21"/>
  </si>
  <si>
    <r>
      <t xml:space="preserve">3.2.2 </t>
    </r>
    <r>
      <rPr>
        <b/>
        <sz val="10"/>
        <rFont val="ＭＳ Ｐゴシック"/>
        <family val="3"/>
        <charset val="128"/>
      </rPr>
      <t>発泡剤（断熱材等）</t>
    </r>
    <rPh sb="6" eb="8">
      <t>ハッポウ</t>
    </rPh>
    <rPh sb="8" eb="9">
      <t>ザイ</t>
    </rPh>
    <rPh sb="10" eb="13">
      <t>ダンネツザイ</t>
    </rPh>
    <rPh sb="13" eb="14">
      <t>トウ</t>
    </rPh>
    <phoneticPr fontId="21"/>
  </si>
  <si>
    <t>ODP及びGWPが高いハロン消火剤を使用している（クリティカルユース含む）。</t>
    <rPh sb="3" eb="4">
      <t>オヨ</t>
    </rPh>
    <rPh sb="9" eb="10">
      <t>タカ</t>
    </rPh>
    <rPh sb="14" eb="17">
      <t>ショウカザイ</t>
    </rPh>
    <rPh sb="18" eb="20">
      <t>シヨウ</t>
    </rPh>
    <rPh sb="34" eb="35">
      <t>フク</t>
    </rPh>
    <phoneticPr fontId="21"/>
  </si>
  <si>
    <t>ハロゲン化物消火剤を使用している。</t>
    <rPh sb="4" eb="5">
      <t>カ</t>
    </rPh>
    <rPh sb="5" eb="6">
      <t>ブツ</t>
    </rPh>
    <rPh sb="6" eb="9">
      <t>ショウカザイ</t>
    </rPh>
    <rPh sb="10" eb="12">
      <t>シヨウ</t>
    </rPh>
    <phoneticPr fontId="21"/>
  </si>
  <si>
    <t>錆止め</t>
    <rPh sb="0" eb="1">
      <t>サビ</t>
    </rPh>
    <rPh sb="1" eb="2">
      <t>ド</t>
    </rPh>
    <phoneticPr fontId="21"/>
  </si>
  <si>
    <t>躯体</t>
    <rPh sb="0" eb="1">
      <t>ムクロ</t>
    </rPh>
    <rPh sb="1" eb="2">
      <t>タイ</t>
    </rPh>
    <phoneticPr fontId="21"/>
  </si>
  <si>
    <t>躯体以外</t>
    <rPh sb="2" eb="4">
      <t>イガイ</t>
    </rPh>
    <phoneticPr fontId="21"/>
  </si>
  <si>
    <t>塗り床</t>
    <rPh sb="0" eb="1">
      <t>ヌ</t>
    </rPh>
    <rPh sb="2" eb="3">
      <t>ユカ</t>
    </rPh>
    <phoneticPr fontId="21"/>
  </si>
  <si>
    <t>備考　　　　注1：</t>
    <rPh sb="6" eb="7">
      <t>チュウ</t>
    </rPh>
    <phoneticPr fontId="21"/>
  </si>
  <si>
    <t>建材種別</t>
    <rPh sb="0" eb="2">
      <t>ケンザイ</t>
    </rPh>
    <rPh sb="2" eb="4">
      <t>シュベツ</t>
    </rPh>
    <phoneticPr fontId="21"/>
  </si>
  <si>
    <t>接着剤</t>
    <rPh sb="0" eb="3">
      <t>セッチャクザイ</t>
    </rPh>
    <phoneticPr fontId="21"/>
  </si>
  <si>
    <t>ビニル床タイル・シート用接着剤</t>
    <rPh sb="3" eb="4">
      <t>ユカ</t>
    </rPh>
    <rPh sb="11" eb="12">
      <t>ヨウ</t>
    </rPh>
    <rPh sb="12" eb="15">
      <t>セッチャクザイ</t>
    </rPh>
    <phoneticPr fontId="21"/>
  </si>
  <si>
    <t>タイル用接着剤</t>
    <rPh sb="3" eb="4">
      <t>ヨウ</t>
    </rPh>
    <rPh sb="4" eb="7">
      <t>セッチャクザイ</t>
    </rPh>
    <phoneticPr fontId="21"/>
  </si>
  <si>
    <t>壁紙用接着剤</t>
    <rPh sb="0" eb="2">
      <t>カベガミ</t>
    </rPh>
    <rPh sb="2" eb="3">
      <t>ヨウ</t>
    </rPh>
    <rPh sb="3" eb="6">
      <t>セッチャクザイ</t>
    </rPh>
    <phoneticPr fontId="21"/>
  </si>
  <si>
    <t>フローリングボード用接着剤</t>
    <rPh sb="9" eb="10">
      <t>ヨウ</t>
    </rPh>
    <rPh sb="10" eb="13">
      <t>セッチャクザイ</t>
    </rPh>
    <phoneticPr fontId="21"/>
  </si>
  <si>
    <t>シーリング材</t>
    <rPh sb="5" eb="6">
      <t>ザイ</t>
    </rPh>
    <phoneticPr fontId="21"/>
  </si>
  <si>
    <t>サッシ用シーリング</t>
    <rPh sb="3" eb="4">
      <t>ヨウ</t>
    </rPh>
    <phoneticPr fontId="21"/>
  </si>
  <si>
    <t>ガラス用シーリング</t>
    <rPh sb="3" eb="4">
      <t>ヨウ</t>
    </rPh>
    <phoneticPr fontId="21"/>
  </si>
  <si>
    <t>タイル目地シーリング</t>
    <rPh sb="3" eb="5">
      <t>メジ</t>
    </rPh>
    <phoneticPr fontId="21"/>
  </si>
  <si>
    <t>打ち継ぎ目地</t>
    <rPh sb="0" eb="1">
      <t>ウ</t>
    </rPh>
    <rPh sb="2" eb="3">
      <t>ツ</t>
    </rPh>
    <rPh sb="4" eb="5">
      <t>メ</t>
    </rPh>
    <rPh sb="5" eb="6">
      <t>ジ</t>
    </rPh>
    <phoneticPr fontId="21"/>
  </si>
  <si>
    <t>防水工事材料</t>
    <rPh sb="0" eb="2">
      <t>ボウスイ</t>
    </rPh>
    <rPh sb="2" eb="4">
      <t>コウジ</t>
    </rPh>
    <rPh sb="4" eb="6">
      <t>ザイリョウ</t>
    </rPh>
    <phoneticPr fontId="21"/>
  </si>
  <si>
    <t>防水工事のプライマー</t>
    <rPh sb="0" eb="2">
      <t>ボウスイ</t>
    </rPh>
    <rPh sb="2" eb="4">
      <t>コウジ</t>
    </rPh>
    <phoneticPr fontId="21"/>
  </si>
  <si>
    <t>a（傾き）</t>
    <rPh sb="2" eb="3">
      <t>カタム</t>
    </rPh>
    <phoneticPr fontId="21"/>
  </si>
  <si>
    <t>ｂ（切片）</t>
    <rPh sb="2" eb="4">
      <t>セッペン</t>
    </rPh>
    <phoneticPr fontId="21"/>
  </si>
  <si>
    <t>等級3</t>
    <rPh sb="0" eb="2">
      <t>トウキュウ</t>
    </rPh>
    <phoneticPr fontId="21"/>
  </si>
  <si>
    <t>合計＝</t>
    <phoneticPr fontId="21"/>
  </si>
  <si>
    <t>1.2.1</t>
    <phoneticPr fontId="21"/>
  </si>
  <si>
    <t>雨水利用システム導入の有無</t>
    <phoneticPr fontId="21"/>
  </si>
  <si>
    <t>1.2.2</t>
    <phoneticPr fontId="21"/>
  </si>
  <si>
    <t>2.1</t>
    <phoneticPr fontId="21"/>
  </si>
  <si>
    <t>2.1</t>
    <phoneticPr fontId="21"/>
  </si>
  <si>
    <t>2.2</t>
    <phoneticPr fontId="21"/>
  </si>
  <si>
    <t>2.2</t>
    <phoneticPr fontId="21"/>
  </si>
  <si>
    <t>2.3</t>
    <phoneticPr fontId="21"/>
  </si>
  <si>
    <t>2.3</t>
    <phoneticPr fontId="21"/>
  </si>
  <si>
    <t>2.4</t>
    <phoneticPr fontId="21"/>
  </si>
  <si>
    <t>2.4</t>
    <phoneticPr fontId="21"/>
  </si>
  <si>
    <t>2.5</t>
    <phoneticPr fontId="21"/>
  </si>
  <si>
    <t>持続可能な森林から産出された木材</t>
    <phoneticPr fontId="21"/>
  </si>
  <si>
    <t>2.6</t>
    <phoneticPr fontId="21"/>
  </si>
  <si>
    <t>事・学・物・飲・会・病・ホ・工</t>
    <rPh sb="2" eb="3">
      <t>ガク</t>
    </rPh>
    <rPh sb="4" eb="5">
      <t>ブツ</t>
    </rPh>
    <rPh sb="6" eb="7">
      <t>イン</t>
    </rPh>
    <rPh sb="8" eb="9">
      <t>カイ</t>
    </rPh>
    <rPh sb="14" eb="15">
      <t>コウ</t>
    </rPh>
    <phoneticPr fontId="21"/>
  </si>
  <si>
    <t>空気取り入れ口は敷地周囲の状況を勘案して、汚染源のない方位に設けられている。かつ、各種排気口と異なる方位か、または3ｍ以上離れて設置されている。</t>
  </si>
  <si>
    <t>「光害対策ガイドライン」のチェックリストを満たしている項目が一部である。（1ポイント）</t>
  </si>
  <si>
    <t>「光害対策ガイドライン」のチェックリストの項目の過半を満たしている。（2ポイント）</t>
  </si>
  <si>
    <t>2)　広告物照明における光害対策</t>
    <rPh sb="5" eb="6">
      <t>ブツ</t>
    </rPh>
    <rPh sb="6" eb="8">
      <t>ショウメイ</t>
    </rPh>
    <phoneticPr fontId="21"/>
  </si>
  <si>
    <t>a.　建設に係るCO2排出量</t>
    <rPh sb="3" eb="5">
      <t>ケンセツ</t>
    </rPh>
    <rPh sb="6" eb="7">
      <t>カカ</t>
    </rPh>
    <rPh sb="11" eb="13">
      <t>ハイシュツ</t>
    </rPh>
    <rPh sb="13" eb="14">
      <t>リョウ</t>
    </rPh>
    <phoneticPr fontId="21"/>
  </si>
  <si>
    <t>kg-CO2/年m2</t>
    <rPh sb="7" eb="8">
      <t>ネン</t>
    </rPh>
    <phoneticPr fontId="21"/>
  </si>
  <si>
    <t>S造、</t>
    <rPh sb="1" eb="2">
      <t>ゾウ</t>
    </rPh>
    <phoneticPr fontId="21"/>
  </si>
  <si>
    <t>LR2/2.2 削減分</t>
    <rPh sb="8" eb="10">
      <t>サクゲン</t>
    </rPh>
    <rPh sb="10" eb="11">
      <t>ブン</t>
    </rPh>
    <phoneticPr fontId="21"/>
  </si>
  <si>
    <t>LR2/2.3 削減分</t>
    <rPh sb="8" eb="10">
      <t>サクゲン</t>
    </rPh>
    <rPh sb="10" eb="11">
      <t>ブン</t>
    </rPh>
    <phoneticPr fontId="21"/>
  </si>
  <si>
    <t>b.　修繕・更新・解体に係るCO2排出量</t>
    <rPh sb="3" eb="5">
      <t>シュウゼン</t>
    </rPh>
    <rPh sb="6" eb="8">
      <t>コウシン</t>
    </rPh>
    <rPh sb="9" eb="11">
      <t>カイタイ</t>
    </rPh>
    <rPh sb="12" eb="13">
      <t>カカ</t>
    </rPh>
    <rPh sb="17" eb="19">
      <t>ハイシュツ</t>
    </rPh>
    <rPh sb="19" eb="20">
      <t>リョウ</t>
    </rPh>
    <phoneticPr fontId="21"/>
  </si>
  <si>
    <t>削減後</t>
    <rPh sb="0" eb="2">
      <t>サクゲン</t>
    </rPh>
    <rPh sb="2" eb="3">
      <t>ゴ</t>
    </rPh>
    <phoneticPr fontId="21"/>
  </si>
  <si>
    <t>c.　運用に係るCO2排出量</t>
    <rPh sb="3" eb="5">
      <t>ウンヨウ</t>
    </rPh>
    <rPh sb="6" eb="7">
      <t>カカ</t>
    </rPh>
    <rPh sb="11" eb="13">
      <t>ハイシュツ</t>
    </rPh>
    <rPh sb="13" eb="14">
      <t>リョウ</t>
    </rPh>
    <phoneticPr fontId="21"/>
  </si>
  <si>
    <t>電力　（実排出係数）</t>
    <rPh sb="0" eb="2">
      <t>デンリョク</t>
    </rPh>
    <rPh sb="4" eb="5">
      <t>ジツ</t>
    </rPh>
    <rPh sb="5" eb="7">
      <t>ハイシュツ</t>
    </rPh>
    <rPh sb="7" eb="9">
      <t>ケイスウ</t>
    </rPh>
    <phoneticPr fontId="28"/>
  </si>
  <si>
    <t>事務室の天井高2.5m以上となっており、かつ、すべての執務者が十分な屋外の情報を得られるように窓が設置されている。</t>
    <phoneticPr fontId="21"/>
  </si>
  <si>
    <t>売場の天井高3.0m以上。</t>
    <phoneticPr fontId="21"/>
  </si>
  <si>
    <t>住居・宿泊部の天井高2.3m以上。</t>
    <phoneticPr fontId="21"/>
  </si>
  <si>
    <t>事務室の天井高2.7m以上となっており、かつ、すべての執務者が十分な屋外の情報を得られるように窓が設置されている。</t>
    <phoneticPr fontId="21"/>
  </si>
  <si>
    <t>売場の天井高3.3m以上。</t>
    <phoneticPr fontId="21"/>
  </si>
  <si>
    <t>住居・宿泊部の天井高2.5m以上。</t>
    <phoneticPr fontId="21"/>
  </si>
  <si>
    <t>教室・専有部のほぼ全体（80%以上）が、外皮に２方向面しており、有効な採光・通風が確保されている。</t>
    <rPh sb="0" eb="2">
      <t>キョウシツ</t>
    </rPh>
    <rPh sb="3" eb="5">
      <t>センユウ</t>
    </rPh>
    <rPh sb="5" eb="6">
      <t>ブ</t>
    </rPh>
    <phoneticPr fontId="21"/>
  </si>
  <si>
    <t>2300N/㎡以上～2900N/㎡未満</t>
    <phoneticPr fontId="21"/>
  </si>
  <si>
    <t>1800N/㎡以上～2100N/㎡未満</t>
    <phoneticPr fontId="21"/>
  </si>
  <si>
    <t>3500N/㎡以上～4500N/㎡未満</t>
    <phoneticPr fontId="21"/>
  </si>
  <si>
    <t>4200N/㎡以上～5200N/㎡未満</t>
    <phoneticPr fontId="21"/>
  </si>
  <si>
    <t>適正な水圧、防音管巻き、管の防振支持金具、便器の防振支持、浴室の防振支持、位置など</t>
    <rPh sb="0" eb="2">
      <t>テキセイ</t>
    </rPh>
    <rPh sb="3" eb="5">
      <t>スイアツ</t>
    </rPh>
    <rPh sb="6" eb="8">
      <t>ボウオン</t>
    </rPh>
    <rPh sb="8" eb="9">
      <t>カン</t>
    </rPh>
    <rPh sb="9" eb="10">
      <t>マ</t>
    </rPh>
    <rPh sb="12" eb="13">
      <t>カン</t>
    </rPh>
    <rPh sb="14" eb="16">
      <t>ボウシン</t>
    </rPh>
    <rPh sb="16" eb="18">
      <t>シジ</t>
    </rPh>
    <rPh sb="18" eb="20">
      <t>カナグ</t>
    </rPh>
    <rPh sb="21" eb="23">
      <t>ベンキ</t>
    </rPh>
    <rPh sb="24" eb="28">
      <t>ボウシンシジ</t>
    </rPh>
    <rPh sb="29" eb="31">
      <t>ヨクシツ</t>
    </rPh>
    <rPh sb="32" eb="36">
      <t>ボウシンシジ</t>
    </rPh>
    <rPh sb="37" eb="39">
      <t>イチ</t>
    </rPh>
    <phoneticPr fontId="21"/>
  </si>
  <si>
    <t>ウォーターハンマー</t>
  </si>
  <si>
    <t>適正な水圧、ウォーターハンマー防止器の採用など</t>
  </si>
  <si>
    <t>エアコン室内機等からの騒音</t>
  </si>
  <si>
    <t>低騒音タイプの機器の採用など</t>
  </si>
  <si>
    <t>エアコン室外機からの騒音</t>
  </si>
  <si>
    <t>防振ゴム、防振マット、低騒音タイプの機器</t>
  </si>
  <si>
    <t>換気扇からの騒音</t>
    <rPh sb="6" eb="8">
      <t>ソウオン</t>
    </rPh>
    <phoneticPr fontId="21"/>
  </si>
  <si>
    <t>遮音</t>
    <rPh sb="0" eb="2">
      <t>シャオン</t>
    </rPh>
    <phoneticPr fontId="21"/>
  </si>
  <si>
    <r>
      <t xml:space="preserve">1.2.1 </t>
    </r>
    <r>
      <rPr>
        <b/>
        <sz val="10"/>
        <rFont val="ＭＳ Ｐゴシック"/>
        <family val="3"/>
        <charset val="128"/>
      </rPr>
      <t>開口部遮音性能</t>
    </r>
    <rPh sb="6" eb="9">
      <t>カイコウブ</t>
    </rPh>
    <rPh sb="9" eb="11">
      <t>シャオン</t>
    </rPh>
    <phoneticPr fontId="21"/>
  </si>
  <si>
    <t>建物全体・共用部分</t>
    <phoneticPr fontId="21"/>
  </si>
  <si>
    <t>事・学・物・飲・会・病・ホ・工・住</t>
    <rPh sb="4" eb="5">
      <t>ブツ</t>
    </rPh>
    <rPh sb="8" eb="9">
      <t>カイ</t>
    </rPh>
    <phoneticPr fontId="21"/>
  </si>
  <si>
    <t>騒音が気になる。</t>
    <rPh sb="0" eb="2">
      <t>ソウオン</t>
    </rPh>
    <rPh sb="3" eb="4">
      <t>キ</t>
    </rPh>
    <phoneticPr fontId="21"/>
  </si>
  <si>
    <t>騒音がほとんど気にならない。</t>
    <rPh sb="0" eb="2">
      <t>ソウオン</t>
    </rPh>
    <rPh sb="7" eb="8">
      <t>キ</t>
    </rPh>
    <phoneticPr fontId="21"/>
  </si>
  <si>
    <t>騒音が気にならない</t>
    <rPh sb="0" eb="2">
      <t>ソウオン</t>
    </rPh>
    <rPh sb="3" eb="4">
      <t>キ</t>
    </rPh>
    <phoneticPr fontId="21"/>
  </si>
  <si>
    <t>騒音が気にならない。</t>
    <rPh sb="0" eb="2">
      <t>ソウオン</t>
    </rPh>
    <rPh sb="3" eb="4">
      <t>キ</t>
    </rPh>
    <phoneticPr fontId="21"/>
  </si>
  <si>
    <t>窓システム、外壁、屋根や床（特にピロティ）において、室内への熱の侵入に対して、十分な配慮がなされており、最良の日射遮蔽性能および断熱性能を有する。
（窓システムSC：0.2程度、U=3.0(W/m2K) 程度、外壁その他：U=1.0(W/m2K) 程度）</t>
  </si>
  <si>
    <t xml:space="preserve">  レベル 2</t>
  </si>
  <si>
    <t xml:space="preserve">  レベル 3</t>
  </si>
  <si>
    <t xml:space="preserve">  レベル 4</t>
  </si>
  <si>
    <t xml:space="preserve">  レベル 5</t>
  </si>
  <si>
    <t>1.0％≦ [昼光率] ＜1.25％</t>
    <phoneticPr fontId="21"/>
  </si>
  <si>
    <t>1.25％≦ [昼光率]</t>
    <phoneticPr fontId="21"/>
  </si>
  <si>
    <t xml:space="preserve">2.0％≦ [昼光率] </t>
    <phoneticPr fontId="21"/>
  </si>
  <si>
    <t>住居・宿泊部分</t>
    <phoneticPr fontId="21"/>
  </si>
  <si>
    <t>-</t>
    <phoneticPr fontId="21"/>
  </si>
  <si>
    <t>建物全体・共用部分</t>
    <phoneticPr fontId="21"/>
  </si>
  <si>
    <t>-</t>
    <phoneticPr fontId="21"/>
  </si>
  <si>
    <t>昼光利用設備がない。</t>
    <phoneticPr fontId="21"/>
  </si>
  <si>
    <t>効率評価の事例</t>
    <rPh sb="0" eb="2">
      <t>コウリツ</t>
    </rPh>
    <rPh sb="2" eb="4">
      <t>ヒョウカ</t>
    </rPh>
    <rPh sb="5" eb="7">
      <t>ジレイ</t>
    </rPh>
    <phoneticPr fontId="21"/>
  </si>
  <si>
    <t>設備項目</t>
  </si>
  <si>
    <t>評価項目</t>
  </si>
  <si>
    <t>評価概要</t>
  </si>
  <si>
    <t>備考</t>
  </si>
  <si>
    <t>熱源設備</t>
  </si>
  <si>
    <t>熱源機COP評価</t>
  </si>
  <si>
    <t>製造熱量/熱源機消費エネルギー（1次エネルギー基準）</t>
  </si>
  <si>
    <t>熱源システムCOP評価</t>
  </si>
  <si>
    <t>製造熱量/熱源機+補機消費エネルギー（1次エネルギー基準）</t>
  </si>
  <si>
    <t>地域冷暖房導入を含む</t>
  </si>
  <si>
    <t>熱媒搬送WTF</t>
  </si>
  <si>
    <t>等級1</t>
    <rPh sb="0" eb="2">
      <t>トウキュウ</t>
    </rPh>
    <phoneticPr fontId="21"/>
  </si>
  <si>
    <t>等級2</t>
    <rPh sb="0" eb="2">
      <t>トウキュウ</t>
    </rPh>
    <phoneticPr fontId="21"/>
  </si>
  <si>
    <t>等級4</t>
    <rPh sb="0" eb="2">
      <t>トウキュウ</t>
    </rPh>
    <phoneticPr fontId="21"/>
  </si>
  <si>
    <t>等級未入力</t>
    <rPh sb="0" eb="2">
      <t>トウキュウ</t>
    </rPh>
    <rPh sb="2" eb="5">
      <t>ミニュウリョク</t>
    </rPh>
    <phoneticPr fontId="21"/>
  </si>
  <si>
    <t>MJ/年㎡</t>
    <rPh sb="3" eb="4">
      <t>ネン</t>
    </rPh>
    <phoneticPr fontId="21"/>
  </si>
  <si>
    <t>レベル３を満たし、かつ複数の機器の使い分けが可能</t>
    <rPh sb="11" eb="13">
      <t>フクスウ</t>
    </rPh>
    <rPh sb="14" eb="16">
      <t>キキ</t>
    </rPh>
    <rPh sb="17" eb="18">
      <t>ツカ</t>
    </rPh>
    <rPh sb="19" eb="20">
      <t>ワ</t>
    </rPh>
    <rPh sb="22" eb="24">
      <t>カノウ</t>
    </rPh>
    <phoneticPr fontId="21"/>
  </si>
  <si>
    <r>
      <t xml:space="preserve">3.3.2 </t>
    </r>
    <r>
      <rPr>
        <b/>
        <sz val="10"/>
        <rFont val="ＭＳ Ｐゴシック"/>
        <family val="3"/>
        <charset val="128"/>
      </rPr>
      <t>照度均斉度</t>
    </r>
    <rPh sb="6" eb="8">
      <t>ショウド</t>
    </rPh>
    <rPh sb="8" eb="10">
      <t>キンセイ</t>
    </rPh>
    <rPh sb="10" eb="11">
      <t>ド</t>
    </rPh>
    <phoneticPr fontId="21"/>
  </si>
  <si>
    <t>事・学・病(診)・ホ・工・住</t>
    <rPh sb="2" eb="3">
      <t>ガク</t>
    </rPh>
    <rPh sb="6" eb="7">
      <t>ミ</t>
    </rPh>
    <phoneticPr fontId="21"/>
  </si>
  <si>
    <t>全般照明方式の場合で室内に許容できる程度の暗い部分がある。タスク・アンビエント照明方式の場合で作業面の明るさと周りの明るさのバランスが不十分。</t>
    <rPh sb="41" eb="43">
      <t>ホウシキ</t>
    </rPh>
    <phoneticPr fontId="21"/>
  </si>
  <si>
    <t>全般照明方式の場合で室内に暗い部分がない。タスク・アンビエント照明方式の場合で作業面の明るさと周りの明るさのバランスが良い。</t>
    <rPh sb="33" eb="35">
      <t>ホウシキ</t>
    </rPh>
    <phoneticPr fontId="21"/>
  </si>
  <si>
    <t>明るさや学習形態に応じた制御区画ではない。</t>
  </si>
  <si>
    <t>照明制御ができない。</t>
  </si>
  <si>
    <t>複数ベッド単位の大まかな照明制御ができる。</t>
  </si>
  <si>
    <t>室内で大まかな照明制御ができる。</t>
  </si>
  <si>
    <t>ベッド単位の細かな照明制御ができる。</t>
  </si>
  <si>
    <t>室内の複数部分に対して細かい照明制御ができる、または、自動照明制御ができる。</t>
    <rPh sb="27" eb="29">
      <t>ジドウ</t>
    </rPh>
    <rPh sb="29" eb="31">
      <t>ショウメイ</t>
    </rPh>
    <rPh sb="31" eb="33">
      <t>セイギョ</t>
    </rPh>
    <phoneticPr fontId="21"/>
  </si>
  <si>
    <t>４作業単位で照明制御できる、または、照明制御盤・器具等で調整できる。</t>
    <rPh sb="6" eb="8">
      <t>ショウメイ</t>
    </rPh>
    <phoneticPr fontId="21"/>
  </si>
  <si>
    <t>21年以上～30年未満</t>
  </si>
  <si>
    <t>30年以上</t>
  </si>
  <si>
    <r>
      <t xml:space="preserve">2.2.4 </t>
    </r>
    <r>
      <rPr>
        <b/>
        <sz val="10"/>
        <rFont val="ＭＳ Ｐゴシック"/>
        <family val="3"/>
        <charset val="128"/>
      </rPr>
      <t>空調換気ダクトの更新必要間隔</t>
    </r>
    <rPh sb="6" eb="8">
      <t>クウチョウ</t>
    </rPh>
    <rPh sb="8" eb="10">
      <t>カンキ</t>
    </rPh>
    <phoneticPr fontId="21"/>
  </si>
  <si>
    <t>5年以上～10年未満</t>
  </si>
  <si>
    <t>10年以上～15年未満</t>
  </si>
  <si>
    <t>10年</t>
  </si>
  <si>
    <t>15年</t>
  </si>
  <si>
    <t>ほぼ全てに亜鉛鉄板を使用</t>
    <rPh sb="2" eb="3">
      <t>スベ</t>
    </rPh>
    <rPh sb="5" eb="7">
      <t>アエン</t>
    </rPh>
    <rPh sb="7" eb="9">
      <t>テッパン</t>
    </rPh>
    <rPh sb="10" eb="12">
      <t>シヨウ</t>
    </rPh>
    <phoneticPr fontId="21"/>
  </si>
  <si>
    <t>日影規制を満たしている、または当該敷地に日影規制が無い場合。</t>
    <phoneticPr fontId="21"/>
  </si>
  <si>
    <r>
      <t>日影規制に対して１ランク上</t>
    </r>
    <r>
      <rPr>
        <vertAlign val="superscript"/>
        <sz val="9"/>
        <rFont val="ＭＳ Ｐゴシック"/>
        <family val="3"/>
        <charset val="128"/>
      </rPr>
      <t>*</t>
    </r>
    <r>
      <rPr>
        <sz val="9"/>
        <rFont val="ＭＳ Ｐゴシック"/>
        <family val="3"/>
        <charset val="128"/>
      </rPr>
      <t>の基準を満たしている</t>
    </r>
    <phoneticPr fontId="21"/>
  </si>
  <si>
    <t>*日照阻害の抑制において、1ランク上とは、例えば近隣商業地域で日影規制が5時間/3時間（5m、10m）の場合、それより1つ厳しい基準が準住居地域で、4時間/2.5時間とすると、準住居地域の日影規制を満たしている場合である。</t>
    <phoneticPr fontId="21"/>
  </si>
  <si>
    <r>
      <t>3.3.1</t>
    </r>
    <r>
      <rPr>
        <b/>
        <sz val="10"/>
        <rFont val="ＭＳ Ｐゴシック"/>
        <family val="3"/>
        <charset val="128"/>
      </rPr>
      <t>　屋外照明及び屋内照明のうち外に漏れる光への対策</t>
    </r>
    <phoneticPr fontId="21"/>
  </si>
  <si>
    <t>3.3.2</t>
    <phoneticPr fontId="21"/>
  </si>
  <si>
    <t>昼光の建物外壁による反射光（グレア）への対策</t>
    <phoneticPr fontId="34" type="noConversion"/>
  </si>
  <si>
    <t>d. LCCO2算定条件</t>
    <rPh sb="8" eb="10">
      <t>サンテイ</t>
    </rPh>
    <rPh sb="10" eb="12">
      <t>ジョウケン</t>
    </rPh>
    <phoneticPr fontId="21"/>
  </si>
  <si>
    <r>
      <t xml:space="preserve">2.1.2 </t>
    </r>
    <r>
      <rPr>
        <b/>
        <sz val="10"/>
        <rFont val="ＭＳ Ｐゴシック"/>
        <family val="3"/>
        <charset val="128"/>
      </rPr>
      <t>免震・制振性能</t>
    </r>
    <phoneticPr fontId="21"/>
  </si>
  <si>
    <t>地熱利用：熱源や空調設備に代わり、冷暖房負荷低減に有効な地熱利用システムが計画されている事。（例）クール＆ヒートチューブ・ピットなど</t>
    <rPh sb="0" eb="2">
      <t>チネツ</t>
    </rPh>
    <rPh sb="2" eb="4">
      <t>リヨウ</t>
    </rPh>
    <rPh sb="5" eb="7">
      <t>ネツゲン</t>
    </rPh>
    <rPh sb="8" eb="10">
      <t>クウチョウ</t>
    </rPh>
    <rPh sb="10" eb="12">
      <t>セツビ</t>
    </rPh>
    <rPh sb="13" eb="14">
      <t>カ</t>
    </rPh>
    <rPh sb="17" eb="20">
      <t>レイダンボウ</t>
    </rPh>
    <rPh sb="20" eb="22">
      <t>フカ</t>
    </rPh>
    <rPh sb="22" eb="24">
      <t>テイゲン</t>
    </rPh>
    <rPh sb="25" eb="27">
      <t>ユウコウ</t>
    </rPh>
    <rPh sb="28" eb="30">
      <t>チネツ</t>
    </rPh>
    <rPh sb="30" eb="32">
      <t>リヨウ</t>
    </rPh>
    <rPh sb="37" eb="39">
      <t>ケイカク</t>
    </rPh>
    <rPh sb="44" eb="45">
      <t>コト</t>
    </rPh>
    <rPh sb="47" eb="48">
      <t>レイ</t>
    </rPh>
    <phoneticPr fontId="21"/>
  </si>
  <si>
    <t>その他：その他、自然を活用した有効なシステムが計画されていること。</t>
    <rPh sb="2" eb="3">
      <t>タ</t>
    </rPh>
    <phoneticPr fontId="21"/>
  </si>
  <si>
    <t>ON</t>
  </si>
  <si>
    <t>-</t>
    <phoneticPr fontId="21"/>
  </si>
  <si>
    <r>
      <t xml:space="preserve">2.1.2 </t>
    </r>
    <r>
      <rPr>
        <b/>
        <sz val="10"/>
        <rFont val="ＭＳ Ｐゴシック"/>
        <family val="3"/>
        <charset val="128"/>
      </rPr>
      <t>外皮性能</t>
    </r>
    <rPh sb="6" eb="8">
      <t>ガイヒ</t>
    </rPh>
    <rPh sb="8" eb="10">
      <t>セイノウ</t>
    </rPh>
    <phoneticPr fontId="21"/>
  </si>
  <si>
    <t>負荷変動・追従制御性</t>
    <phoneticPr fontId="21"/>
  </si>
  <si>
    <t>窓システム、外壁、屋根や床（特にピロティ）において、室内への熱の侵入に対しての配慮がなされており、実用上、日射遮蔽性能および断熱性能に問題がない。
（窓システムSC：0.5程度、U=4.0(W/m2K) 程度、外壁・その他：U=2.0(W/m2K) 程度）</t>
    <phoneticPr fontId="21"/>
  </si>
  <si>
    <t>窓システム、外壁、屋根や床（特にピロティ）において、室内への熱の侵入に対しての配慮がなされており、実用上、日射遮蔽性能および断熱性能に問題がない。（窓システムSC：0.5程度、U=4.0(W/m2K)程度、外壁その他：U=2.0(W/m2K)程度）</t>
    <phoneticPr fontId="21"/>
  </si>
  <si>
    <t>窓システム、外壁、屋根や床（特にピロティ）において、室内への熱の侵入に対して、十分な配慮がなされており、最良の日射遮蔽性能および断熱性能を有する。（窓システムSC：0.2程度、U=3.0(W/m2K)程度、外壁その他：U=1.0(W/m2K)程度）</t>
    <phoneticPr fontId="21"/>
  </si>
  <si>
    <r>
      <t xml:space="preserve">2.1.3 </t>
    </r>
    <r>
      <rPr>
        <b/>
        <sz val="10"/>
        <rFont val="ＭＳ Ｐゴシック"/>
        <family val="3"/>
        <charset val="128"/>
      </rPr>
      <t>ゾーン別制御性</t>
    </r>
    <rPh sb="9" eb="10">
      <t>ベツ</t>
    </rPh>
    <rPh sb="10" eb="13">
      <t>セイギョセイ</t>
    </rPh>
    <phoneticPr fontId="21"/>
  </si>
  <si>
    <r>
      <t xml:space="preserve">3.2.1 </t>
    </r>
    <r>
      <rPr>
        <b/>
        <sz val="10"/>
        <rFont val="ＭＳ Ｐゴシック"/>
        <family val="3"/>
        <charset val="128"/>
      </rPr>
      <t>昼光制御</t>
    </r>
    <rPh sb="6" eb="7">
      <t>ヒル</t>
    </rPh>
    <rPh sb="7" eb="8">
      <t>ヒカリ</t>
    </rPh>
    <rPh sb="8" eb="10">
      <t>セイギョ</t>
    </rPh>
    <phoneticPr fontId="21"/>
  </si>
  <si>
    <r>
      <t>3.2.2</t>
    </r>
    <r>
      <rPr>
        <b/>
        <sz val="10"/>
        <rFont val="ＭＳ Ｐゴシック"/>
        <family val="3"/>
        <charset val="128"/>
      </rPr>
      <t>　映り込み対策</t>
    </r>
    <rPh sb="6" eb="7">
      <t>ウツ</t>
    </rPh>
    <rPh sb="8" eb="9">
      <t>コ</t>
    </rPh>
    <rPh sb="10" eb="12">
      <t>タイサク</t>
    </rPh>
    <phoneticPr fontId="21"/>
  </si>
  <si>
    <t>住宅の品質確保の促進に関する法律（日本住宅性能表示基準、3.劣化の軽減に関する事）における木材、鉄骨又はコンクリートの評価方法基準（平成26年国土交通省告示第151号）で等級1相当</t>
    <rPh sb="17" eb="19">
      <t>ニホン</t>
    </rPh>
    <rPh sb="25" eb="27">
      <t>キジュン</t>
    </rPh>
    <rPh sb="45" eb="47">
      <t>モクザイ</t>
    </rPh>
    <rPh sb="61" eb="63">
      <t>ホウホウ</t>
    </rPh>
    <rPh sb="63" eb="65">
      <t>キジュン</t>
    </rPh>
    <rPh sb="88" eb="90">
      <t>ソウトウ</t>
    </rPh>
    <phoneticPr fontId="21"/>
  </si>
  <si>
    <t>住宅の品質確保の促進に関する法律（日本住宅性能表示基準、3.劣化の軽減に関する事）における木材、鉄骨又はコンクリートの評価方法基準（平成26年国土交通省告示第151号）で等級2相当</t>
    <rPh sb="88" eb="90">
      <t>ソウトウ</t>
    </rPh>
    <phoneticPr fontId="21"/>
  </si>
  <si>
    <t>住宅の品質確保の促進に関する法律（日本住宅性能表示基準、3.劣化の軽減に関する事）における木材、鉄骨又はコンクリートの評価方法基準（平成26年国土交通省告示第151号）で等級3相当</t>
    <rPh sb="88" eb="90">
      <t>ソウトウ</t>
    </rPh>
    <phoneticPr fontId="21"/>
  </si>
  <si>
    <t xml:space="preserve">1.00 ＜ [BPIm] </t>
    <phoneticPr fontId="21"/>
  </si>
  <si>
    <t>0.97 ＜ [BPIm] ≦1.00</t>
    <phoneticPr fontId="21"/>
  </si>
  <si>
    <t>0.90 ＜ [BPIm] ≦ 0.97</t>
    <phoneticPr fontId="21"/>
  </si>
  <si>
    <t xml:space="preserve">        [BPIm] ≦ 0.90</t>
    <phoneticPr fontId="21"/>
  </si>
  <si>
    <t xml:space="preserve">        [BPIm] ≦ 0.93</t>
    <phoneticPr fontId="21"/>
  </si>
  <si>
    <t>0.93 ＜ [BPIm] ≦ 0.97</t>
    <phoneticPr fontId="21"/>
  </si>
  <si>
    <t>0.97 ＜ [BPIm] ≦ 1.00</t>
    <phoneticPr fontId="21"/>
  </si>
  <si>
    <t>1.00 ＜ [BPIm]</t>
    <phoneticPr fontId="21"/>
  </si>
  <si>
    <t>日本住宅性能表示基準「5-1断熱等性能等級」における等級１に相当</t>
    <rPh sb="14" eb="16">
      <t>ダンネツ</t>
    </rPh>
    <rPh sb="16" eb="17">
      <t>トウ</t>
    </rPh>
    <rPh sb="17" eb="19">
      <t>セイノウ</t>
    </rPh>
    <rPh sb="30" eb="32">
      <t>ソウトウ</t>
    </rPh>
    <phoneticPr fontId="21"/>
  </si>
  <si>
    <t>日本住宅性能表示基準「5-1断熱等性能等級」における等級２に相当</t>
    <phoneticPr fontId="21"/>
  </si>
  <si>
    <t>日本住宅性能表示基準「5-1断熱等性能等級」における等級３に相当</t>
    <phoneticPr fontId="21"/>
  </si>
  <si>
    <t>日本住宅性能表示基準「5-1断熱等性能等級」における等級４に相当</t>
    <phoneticPr fontId="21"/>
  </si>
  <si>
    <t>土壌改良材</t>
  </si>
  <si>
    <t>自然エネルギー利用</t>
    <rPh sb="0" eb="2">
      <t>シゼン</t>
    </rPh>
    <rPh sb="7" eb="9">
      <t>リヨウ</t>
    </rPh>
    <phoneticPr fontId="21"/>
  </si>
  <si>
    <t>採点シートの
採点結果</t>
    <rPh sb="0" eb="2">
      <t>サイテン</t>
    </rPh>
    <rPh sb="7" eb="9">
      <t>サイテン</t>
    </rPh>
    <rPh sb="9" eb="11">
      <t>ケッカ</t>
    </rPh>
    <phoneticPr fontId="21"/>
  </si>
  <si>
    <t>※参照建物の一次エネルギー消費量(参照値)はレベル３相当とする。</t>
    <rPh sb="1" eb="3">
      <t>サンショウ</t>
    </rPh>
    <rPh sb="3" eb="5">
      <t>タテモノ</t>
    </rPh>
    <rPh sb="6" eb="8">
      <t>イチジ</t>
    </rPh>
    <rPh sb="13" eb="16">
      <t>ショウヒリョウ</t>
    </rPh>
    <rPh sb="17" eb="19">
      <t>サンショウ</t>
    </rPh>
    <rPh sb="19" eb="20">
      <t>チ</t>
    </rPh>
    <rPh sb="26" eb="28">
      <t>ソウトウ</t>
    </rPh>
    <phoneticPr fontId="21"/>
  </si>
  <si>
    <t>Ａａ0</t>
    <phoneticPr fontId="21"/>
  </si>
  <si>
    <t>Ａｂ0</t>
    <phoneticPr fontId="21"/>
  </si>
  <si>
    <t>Ｂａ0</t>
    <phoneticPr fontId="21"/>
  </si>
  <si>
    <t>Ｂｂ0</t>
    <phoneticPr fontId="21"/>
  </si>
  <si>
    <t>Ｃａ0</t>
    <phoneticPr fontId="21"/>
  </si>
  <si>
    <t>Ｃｂ0</t>
    <phoneticPr fontId="21"/>
  </si>
  <si>
    <t>Ｃｂ1</t>
    <phoneticPr fontId="21"/>
  </si>
  <si>
    <t>算定プログラムによる評価</t>
    <rPh sb="0" eb="2">
      <t>サンテイ</t>
    </rPh>
    <rPh sb="10" eb="12">
      <t>ヒョウカ</t>
    </rPh>
    <phoneticPr fontId="21"/>
  </si>
  <si>
    <t>Ａ：単位住戸全体を暖房する方式</t>
  </si>
  <si>
    <t>Ｂ：居室のみを暖房する方式（連続運転）</t>
  </si>
  <si>
    <t>Ｃ：居室のみを暖房する方式（間歇運転）</t>
  </si>
  <si>
    <t>－：上記以外（不明な場合を含む）</t>
    <rPh sb="2" eb="4">
      <t>ジョウキ</t>
    </rPh>
    <rPh sb="4" eb="6">
      <t>イガイ</t>
    </rPh>
    <rPh sb="7" eb="9">
      <t>フメイ</t>
    </rPh>
    <rPh sb="10" eb="12">
      <t>バアイ</t>
    </rPh>
    <rPh sb="13" eb="14">
      <t>フク</t>
    </rPh>
    <phoneticPr fontId="3"/>
  </si>
  <si>
    <t>ａ ：単位住戸全体を冷房する方式</t>
  </si>
  <si>
    <t>ｂ ：居室のみを冷房する方式（間歇運転）</t>
  </si>
  <si>
    <t>採点レベル</t>
    <rPh sb="0" eb="2">
      <t>サイテン</t>
    </rPh>
    <phoneticPr fontId="21"/>
  </si>
  <si>
    <t>「－」の場合</t>
    <phoneticPr fontId="21"/>
  </si>
  <si>
    <t>算定プログラムを使わない場合の評価</t>
    <rPh sb="0" eb="2">
      <t>サンテイ</t>
    </rPh>
    <rPh sb="8" eb="9">
      <t>ツカ</t>
    </rPh>
    <rPh sb="12" eb="14">
      <t>バアイ</t>
    </rPh>
    <rPh sb="15" eb="17">
      <t>ヒョウカ</t>
    </rPh>
    <phoneticPr fontId="21"/>
  </si>
  <si>
    <t>3a.3b</t>
    <phoneticPr fontId="21"/>
  </si>
  <si>
    <t>3b.c</t>
    <phoneticPr fontId="21"/>
  </si>
  <si>
    <t>㎡</t>
    <phoneticPr fontId="21"/>
  </si>
  <si>
    <t>LR1/3c 仕様基準評価の場合のCO2排出量算出に用いる一次エネルギー消費量</t>
    <rPh sb="7" eb="9">
      <t>シヨウ</t>
    </rPh>
    <rPh sb="9" eb="11">
      <t>キジュン</t>
    </rPh>
    <rPh sb="11" eb="13">
      <t>ヒョウカ</t>
    </rPh>
    <rPh sb="14" eb="16">
      <t>バアイ</t>
    </rPh>
    <phoneticPr fontId="21"/>
  </si>
  <si>
    <t>LR1/3cの</t>
    <phoneticPr fontId="21"/>
  </si>
  <si>
    <t>LR1/2. 自然ｴﾈﾙｷﾞｰ利用</t>
    <rPh sb="7" eb="9">
      <t>シゼン</t>
    </rPh>
    <rPh sb="15" eb="17">
      <t>リヨウ</t>
    </rPh>
    <phoneticPr fontId="21"/>
  </si>
  <si>
    <t>図を貼り付けるときは</t>
    <rPh sb="0" eb="1">
      <t>ズ</t>
    </rPh>
    <rPh sb="2" eb="3">
      <t>ハ</t>
    </rPh>
    <rPh sb="4" eb="5">
      <t>ツ</t>
    </rPh>
    <phoneticPr fontId="21"/>
  </si>
  <si>
    <t>シートの保護を解除してください</t>
    <phoneticPr fontId="21"/>
  </si>
  <si>
    <t xml:space="preserve">評価する取組みのうち、何れの手法も採用していない。または、何れかの手法が採用されているが、有効性は検討されていない。
 </t>
    <rPh sb="11" eb="12">
      <t>イズ</t>
    </rPh>
    <rPh sb="14" eb="16">
      <t>シュホウ</t>
    </rPh>
    <rPh sb="17" eb="19">
      <t>サイヨウ</t>
    </rPh>
    <phoneticPr fontId="21"/>
  </si>
  <si>
    <t>評価する取組みのうち、何れかの手法が有効性を検討した上で採用されている。（但し、モニュメントの計画を除く。）</t>
    <phoneticPr fontId="21"/>
  </si>
  <si>
    <t>対象外</t>
    <rPh sb="0" eb="3">
      <t>タイショウガイ</t>
    </rPh>
    <phoneticPr fontId="21"/>
  </si>
  <si>
    <t>用途別スコア入力</t>
    <rPh sb="0" eb="2">
      <t>ﾖｳﾄ</t>
    </rPh>
    <rPh sb="2" eb="3">
      <t>ﾍﾞﾂ</t>
    </rPh>
    <rPh sb="6" eb="8">
      <t>ﾆｭｳﾘｮｸ</t>
    </rPh>
    <phoneticPr fontId="34" type="noConversion"/>
  </si>
  <si>
    <t>↓Q1とQ2の1は対象外の為、入力不要です。</t>
  </si>
  <si>
    <t>事務所</t>
    <rPh sb="0" eb="2">
      <t>ｼﾞﾑ</t>
    </rPh>
    <rPh sb="2" eb="3">
      <t>ｼｮ</t>
    </rPh>
    <phoneticPr fontId="169" type="noConversion"/>
  </si>
  <si>
    <t>学校</t>
    <rPh sb="0" eb="2">
      <t>ｶﾞｯｺｳ</t>
    </rPh>
    <phoneticPr fontId="169" type="noConversion"/>
  </si>
  <si>
    <t>物販店</t>
    <rPh sb="0" eb="1">
      <t>ﾌﾞﾂ</t>
    </rPh>
    <rPh sb="1" eb="2">
      <t>ﾊﾝ</t>
    </rPh>
    <rPh sb="2" eb="3">
      <t>ﾃﾝ</t>
    </rPh>
    <phoneticPr fontId="169" type="noConversion"/>
  </si>
  <si>
    <t>飲食店</t>
    <rPh sb="0" eb="2">
      <t>ｲﾝｼｮｸ</t>
    </rPh>
    <rPh sb="2" eb="3">
      <t>ﾐｾ</t>
    </rPh>
    <phoneticPr fontId="169" type="noConversion"/>
  </si>
  <si>
    <t>集会所</t>
    <rPh sb="0" eb="3">
      <t>ｼｭｳｶｲｼﾞｮ</t>
    </rPh>
    <phoneticPr fontId="169" type="noConversion"/>
  </si>
  <si>
    <t>工場</t>
    <rPh sb="0" eb="2">
      <t>ｺｳｼﾞｮｳ</t>
    </rPh>
    <phoneticPr fontId="169" type="noConversion"/>
  </si>
  <si>
    <t>病院</t>
    <rPh sb="0" eb="2">
      <t>ﾋﾞｮｳｲﾝ</t>
    </rPh>
    <phoneticPr fontId="169" type="noConversion"/>
  </si>
  <si>
    <t>集合住宅</t>
    <rPh sb="0" eb="2">
      <t>ｼｭｳｺﾞｳ</t>
    </rPh>
    <rPh sb="2" eb="4">
      <t>ｼﾞｭｳﾀｸ</t>
    </rPh>
    <phoneticPr fontId="169" type="noConversion"/>
  </si>
  <si>
    <t>面積加重</t>
    <rPh sb="0" eb="2">
      <t>メンセキ</t>
    </rPh>
    <rPh sb="2" eb="4">
      <t>カジュウ</t>
    </rPh>
    <phoneticPr fontId="21"/>
  </si>
  <si>
    <t>評価点</t>
    <rPh sb="0" eb="2">
      <t>ヒョウカ</t>
    </rPh>
    <rPh sb="2" eb="3">
      <t>テン</t>
    </rPh>
    <phoneticPr fontId="21"/>
  </si>
  <si>
    <t>学校
(小中高)</t>
    <rPh sb="0" eb="2">
      <t>ガッコウ</t>
    </rPh>
    <phoneticPr fontId="21"/>
  </si>
  <si>
    <t>（１）　設計仕様に基づく評価の補正</t>
    <phoneticPr fontId="21"/>
  </si>
  <si>
    <t>（２）　実測結果に基づく評価</t>
    <phoneticPr fontId="21"/>
  </si>
  <si>
    <t>■エネルギー消費実績に基づくレベルの加点・減点（工場、集合住宅を除く）</t>
    <rPh sb="24" eb="26">
      <t>コウジョウ</t>
    </rPh>
    <rPh sb="27" eb="29">
      <t>シュウゴウ</t>
    </rPh>
    <rPh sb="29" eb="31">
      <t>ジュウタク</t>
    </rPh>
    <rPh sb="32" eb="33">
      <t>ノゾ</t>
    </rPh>
    <phoneticPr fontId="21"/>
  </si>
  <si>
    <t>色欄について、プルダウンメニューから選択、または数値を記入</t>
    <rPh sb="0" eb="1">
      <t>イロ</t>
    </rPh>
    <rPh sb="1" eb="2">
      <t>ラン</t>
    </rPh>
    <rPh sb="18" eb="20">
      <t>センタク</t>
    </rPh>
    <rPh sb="24" eb="26">
      <t>スウチ</t>
    </rPh>
    <rPh sb="27" eb="29">
      <t>キニュウ</t>
    </rPh>
    <phoneticPr fontId="21"/>
  </si>
  <si>
    <r>
      <t xml:space="preserve">1. </t>
    </r>
    <r>
      <rPr>
        <b/>
        <sz val="10"/>
        <rFont val="ＭＳ Ｐゴシック"/>
        <family val="3"/>
        <charset val="128"/>
      </rPr>
      <t>エネルギー消費量実績の入力</t>
    </r>
    <rPh sb="8" eb="11">
      <t>ショウヒリョウ</t>
    </rPh>
    <rPh sb="11" eb="13">
      <t>ジッセキ</t>
    </rPh>
    <rPh sb="14" eb="16">
      <t>ニュウリョク</t>
    </rPh>
    <phoneticPr fontId="21"/>
  </si>
  <si>
    <t>GJ/年</t>
    <phoneticPr fontId="21"/>
  </si>
  <si>
    <t>2)　除外部分の入力</t>
    <phoneticPr fontId="21"/>
  </si>
  <si>
    <t>室用途</t>
    <rPh sb="0" eb="1">
      <t>シツ</t>
    </rPh>
    <rPh sb="1" eb="3">
      <t>ヨウト</t>
    </rPh>
    <phoneticPr fontId="21"/>
  </si>
  <si>
    <t>エネルギー消費量</t>
    <rPh sb="5" eb="7">
      <t>ショウヒ</t>
    </rPh>
    <rPh sb="7" eb="8">
      <t>リョウ</t>
    </rPh>
    <phoneticPr fontId="21"/>
  </si>
  <si>
    <t>電算室</t>
    <rPh sb="0" eb="3">
      <t>デンサンシツ</t>
    </rPh>
    <phoneticPr fontId="21"/>
  </si>
  <si>
    <t>2.　使用状況に準じた延床面積の構成比率の入力</t>
    <rPh sb="3" eb="5">
      <t>シヨウ</t>
    </rPh>
    <rPh sb="5" eb="7">
      <t>ジョウキョウ</t>
    </rPh>
    <rPh sb="8" eb="9">
      <t>ジュン</t>
    </rPh>
    <rPh sb="11" eb="13">
      <t>ノベユカ</t>
    </rPh>
    <rPh sb="13" eb="15">
      <t>メンセキ</t>
    </rPh>
    <rPh sb="16" eb="18">
      <t>コウセイ</t>
    </rPh>
    <rPh sb="18" eb="20">
      <t>ヒリツ</t>
    </rPh>
    <rPh sb="21" eb="23">
      <t>ニュウリョク</t>
    </rPh>
    <phoneticPr fontId="21"/>
  </si>
  <si>
    <t>　　　　3.　地区の選択</t>
    <rPh sb="7" eb="9">
      <t>チク</t>
    </rPh>
    <rPh sb="10" eb="12">
      <t>センタク</t>
    </rPh>
    <phoneticPr fontId="21"/>
  </si>
  <si>
    <t>関東</t>
    <rPh sb="0" eb="2">
      <t>カントウ</t>
    </rPh>
    <phoneticPr fontId="21"/>
  </si>
  <si>
    <t>1)　実績評価の対象面積</t>
    <rPh sb="3" eb="5">
      <t>ジッセキ</t>
    </rPh>
    <rPh sb="5" eb="7">
      <t>ヒョウカ</t>
    </rPh>
    <rPh sb="8" eb="10">
      <t>タイショウ</t>
    </rPh>
    <rPh sb="10" eb="12">
      <t>メンセキ</t>
    </rPh>
    <phoneticPr fontId="21"/>
  </si>
  <si>
    <t>2)　延床面積の構成比率入力</t>
    <rPh sb="3" eb="7">
      <t>ノベユカメンセキ</t>
    </rPh>
    <rPh sb="8" eb="10">
      <t>コウセイ</t>
    </rPh>
    <rPh sb="10" eb="12">
      <t>ヒリツ</t>
    </rPh>
    <rPh sb="12" eb="14">
      <t>ニュウリョク</t>
    </rPh>
    <phoneticPr fontId="21"/>
  </si>
  <si>
    <t>地区選択に基づく境界値aおよびb</t>
    <rPh sb="0" eb="2">
      <t>チク</t>
    </rPh>
    <rPh sb="2" eb="4">
      <t>センタク</t>
    </rPh>
    <rPh sb="5" eb="6">
      <t>モト</t>
    </rPh>
    <rPh sb="8" eb="10">
      <t>キョウカイ</t>
    </rPh>
    <rPh sb="10" eb="11">
      <t>チ</t>
    </rPh>
    <phoneticPr fontId="21"/>
  </si>
  <si>
    <t>用途別面積(㎡)</t>
    <rPh sb="0" eb="2">
      <t>ヨウト</t>
    </rPh>
    <rPh sb="2" eb="3">
      <t>ベツ</t>
    </rPh>
    <rPh sb="3" eb="5">
      <t>メンセキ</t>
    </rPh>
    <phoneticPr fontId="21"/>
  </si>
  <si>
    <t>構成比率</t>
    <rPh sb="0" eb="2">
      <t>コウセイ</t>
    </rPh>
    <rPh sb="2" eb="4">
      <t>ヒリツ</t>
    </rPh>
    <phoneticPr fontId="21"/>
  </si>
  <si>
    <t>境界値a</t>
    <phoneticPr fontId="21"/>
  </si>
  <si>
    <t>境界値b</t>
    <phoneticPr fontId="21"/>
  </si>
  <si>
    <t>電算･情報センター</t>
    <rPh sb="0" eb="2">
      <t>デンサン</t>
    </rPh>
    <rPh sb="3" eb="5">
      <t>ジョウホウ</t>
    </rPh>
    <phoneticPr fontId="21"/>
  </si>
  <si>
    <t>官公庁</t>
    <rPh sb="0" eb="3">
      <t>カンコウチョウ</t>
    </rPh>
    <phoneticPr fontId="21"/>
  </si>
  <si>
    <t>幼稚園・保育園</t>
    <rPh sb="0" eb="3">
      <t>ヨウチエン</t>
    </rPh>
    <rPh sb="4" eb="7">
      <t>ホイクエン</t>
    </rPh>
    <phoneticPr fontId="21"/>
  </si>
  <si>
    <t>小・中学校</t>
    <rPh sb="0" eb="1">
      <t>ショウ</t>
    </rPh>
    <rPh sb="2" eb="3">
      <t>チュウ</t>
    </rPh>
    <rPh sb="3" eb="5">
      <t>ガッコウ</t>
    </rPh>
    <phoneticPr fontId="21"/>
  </si>
  <si>
    <t>高等学校</t>
    <rPh sb="0" eb="2">
      <t>コウトウ</t>
    </rPh>
    <rPh sb="2" eb="4">
      <t>ガッコウ</t>
    </rPh>
    <phoneticPr fontId="21"/>
  </si>
  <si>
    <t>大学・専門学校</t>
    <rPh sb="0" eb="2">
      <t>ダイガク</t>
    </rPh>
    <rPh sb="3" eb="5">
      <t>センモン</t>
    </rPh>
    <rPh sb="5" eb="7">
      <t>ガッコウ</t>
    </rPh>
    <phoneticPr fontId="21"/>
  </si>
  <si>
    <t>研究機関</t>
    <rPh sb="0" eb="2">
      <t>ケンキュウ</t>
    </rPh>
    <rPh sb="2" eb="4">
      <t>キカン</t>
    </rPh>
    <phoneticPr fontId="21"/>
  </si>
  <si>
    <t>ﾃﾞﾊﾟｰﾄ･ｽｰﾊﾟｰ</t>
    <phoneticPr fontId="21"/>
  </si>
  <si>
    <t>物販店</t>
    <phoneticPr fontId="21"/>
  </si>
  <si>
    <t>飲食店</t>
    <phoneticPr fontId="21"/>
  </si>
  <si>
    <t>劇場・ホール</t>
    <rPh sb="0" eb="2">
      <t>ゲキジョウ</t>
    </rPh>
    <phoneticPr fontId="21"/>
  </si>
  <si>
    <t>展示施設</t>
    <rPh sb="0" eb="2">
      <t>テンジ</t>
    </rPh>
    <rPh sb="2" eb="4">
      <t>シセツ</t>
    </rPh>
    <phoneticPr fontId="21"/>
  </si>
  <si>
    <t>スポーツ施設</t>
    <rPh sb="4" eb="6">
      <t>シセツ</t>
    </rPh>
    <phoneticPr fontId="21"/>
  </si>
  <si>
    <t>福祉施設</t>
    <rPh sb="0" eb="2">
      <t>フクシ</t>
    </rPh>
    <rPh sb="2" eb="4">
      <t>シセツ</t>
    </rPh>
    <phoneticPr fontId="21"/>
  </si>
  <si>
    <t>ホテル</t>
    <phoneticPr fontId="21"/>
  </si>
  <si>
    <t>ホテル</t>
    <phoneticPr fontId="21"/>
  </si>
  <si>
    <t>（メインシートより）</t>
    <phoneticPr fontId="21"/>
  </si>
  <si>
    <t>4.　エネルギー消費実績に基づくレベルの上下</t>
    <rPh sb="20" eb="22">
      <t>ジョウゲ</t>
    </rPh>
    <phoneticPr fontId="21"/>
  </si>
  <si>
    <r>
      <t>1)　実績評価の対象面積</t>
    </r>
    <r>
      <rPr>
        <b/>
        <sz val="10"/>
        <color indexed="10"/>
        <rFont val="ＭＳ Ｐゴシック"/>
        <family val="3"/>
        <charset val="128"/>
      </rPr>
      <t>（工場、集合住宅を除く）</t>
    </r>
    <rPh sb="3" eb="5">
      <t>ジッセキ</t>
    </rPh>
    <rPh sb="5" eb="7">
      <t>ヒョウカ</t>
    </rPh>
    <rPh sb="8" eb="10">
      <t>タイショウ</t>
    </rPh>
    <rPh sb="10" eb="12">
      <t>メンセキ</t>
    </rPh>
    <phoneticPr fontId="21"/>
  </si>
  <si>
    <t>㎡</t>
    <phoneticPr fontId="21"/>
  </si>
  <si>
    <t>2)　延床面積あたりのエネルギー消費量実績　</t>
    <rPh sb="3" eb="5">
      <t>ノベユカ</t>
    </rPh>
    <rPh sb="5" eb="7">
      <t>メンセキ</t>
    </rPh>
    <rPh sb="16" eb="18">
      <t>ショウヒ</t>
    </rPh>
    <rPh sb="18" eb="19">
      <t>リョウ</t>
    </rPh>
    <rPh sb="19" eb="21">
      <t>ジッセキ</t>
    </rPh>
    <phoneticPr fontId="21"/>
  </si>
  <si>
    <t>MJ/㎡年</t>
    <phoneticPr fontId="21"/>
  </si>
  <si>
    <t>3)　境界値</t>
    <rPh sb="3" eb="5">
      <t>キョウカイ</t>
    </rPh>
    <rPh sb="5" eb="6">
      <t>チ</t>
    </rPh>
    <phoneticPr fontId="21"/>
  </si>
  <si>
    <t>境界値 a</t>
    <rPh sb="0" eb="2">
      <t>キョウカイ</t>
    </rPh>
    <rPh sb="2" eb="3">
      <t>チ</t>
    </rPh>
    <phoneticPr fontId="21"/>
  </si>
  <si>
    <t>境界値 b</t>
    <rPh sb="0" eb="2">
      <t>キョウカイ</t>
    </rPh>
    <rPh sb="2" eb="3">
      <t>チ</t>
    </rPh>
    <phoneticPr fontId="21"/>
  </si>
  <si>
    <t>MJ/㎡年</t>
    <phoneticPr fontId="21"/>
  </si>
  <si>
    <t>4)　エネルギー消費実績に基づくレベルの上下</t>
    <rPh sb="8" eb="10">
      <t>ショウヒ</t>
    </rPh>
    <rPh sb="10" eb="12">
      <t>ジッセキ</t>
    </rPh>
    <rPh sb="13" eb="14">
      <t>モト</t>
    </rPh>
    <rPh sb="20" eb="22">
      <t>ジョウゲ</t>
    </rPh>
    <phoneticPr fontId="21"/>
  </si>
  <si>
    <t>※加点条件；[実績値]&lt;境界値a、　減点条件；[実績値]&gt;境界値b</t>
    <rPh sb="1" eb="3">
      <t>カテン</t>
    </rPh>
    <rPh sb="3" eb="5">
      <t>ジョウケン</t>
    </rPh>
    <rPh sb="7" eb="9">
      <t>ジッセキ</t>
    </rPh>
    <rPh sb="9" eb="10">
      <t>チ</t>
    </rPh>
    <rPh sb="12" eb="14">
      <t>キョウカイ</t>
    </rPh>
    <rPh sb="14" eb="15">
      <t>チ</t>
    </rPh>
    <rPh sb="18" eb="20">
      <t>ゲンテン</t>
    </rPh>
    <rPh sb="20" eb="22">
      <t>ジョウケン</t>
    </rPh>
    <phoneticPr fontId="21"/>
  </si>
  <si>
    <t>■エネルギー消費実績に基づく加点・減点の判断基準値　[MJ/㎡年]</t>
    <rPh sb="6" eb="8">
      <t>ショウヒ</t>
    </rPh>
    <rPh sb="8" eb="10">
      <t>ジッセキ</t>
    </rPh>
    <rPh sb="11" eb="12">
      <t>モト</t>
    </rPh>
    <rPh sb="14" eb="16">
      <t>カテン</t>
    </rPh>
    <rPh sb="17" eb="19">
      <t>ゲンテン</t>
    </rPh>
    <rPh sb="20" eb="22">
      <t>ハンダン</t>
    </rPh>
    <rPh sb="22" eb="24">
      <t>キジュン</t>
    </rPh>
    <rPh sb="24" eb="25">
      <t>チ</t>
    </rPh>
    <rPh sb="31" eb="32">
      <t>ネン</t>
    </rPh>
    <phoneticPr fontId="21"/>
  </si>
  <si>
    <t>境界値a</t>
    <rPh sb="0" eb="2">
      <t>キョウカイ</t>
    </rPh>
    <rPh sb="2" eb="3">
      <t>チ</t>
    </rPh>
    <phoneticPr fontId="21"/>
  </si>
  <si>
    <t>東北</t>
    <rPh sb="0" eb="2">
      <t>トウホク</t>
    </rPh>
    <phoneticPr fontId="21"/>
  </si>
  <si>
    <t>中部</t>
    <rPh sb="0" eb="2">
      <t>チュウブ</t>
    </rPh>
    <phoneticPr fontId="21"/>
  </si>
  <si>
    <t>関西</t>
    <rPh sb="0" eb="2">
      <t>カンサイ</t>
    </rPh>
    <phoneticPr fontId="21"/>
  </si>
  <si>
    <t>中国・四国</t>
    <rPh sb="0" eb="2">
      <t>チュウゴク</t>
    </rPh>
    <rPh sb="3" eb="5">
      <t>シコク</t>
    </rPh>
    <phoneticPr fontId="21"/>
  </si>
  <si>
    <t>九州</t>
    <rPh sb="0" eb="2">
      <t>キュウシュウ</t>
    </rPh>
    <phoneticPr fontId="21"/>
  </si>
  <si>
    <t>a</t>
    <phoneticPr fontId="21"/>
  </si>
  <si>
    <t>b</t>
    <phoneticPr fontId="21"/>
  </si>
  <si>
    <t>c</t>
    <phoneticPr fontId="21"/>
  </si>
  <si>
    <t>d</t>
    <phoneticPr fontId="21"/>
  </si>
  <si>
    <t>e</t>
    <phoneticPr fontId="21"/>
  </si>
  <si>
    <t>f</t>
    <phoneticPr fontId="21"/>
  </si>
  <si>
    <t>g</t>
    <phoneticPr fontId="21"/>
  </si>
  <si>
    <t>ﾃﾞﾊﾟｰﾄ･ｽｰﾊﾟｰ</t>
    <phoneticPr fontId="21"/>
  </si>
  <si>
    <t>物販店</t>
    <phoneticPr fontId="21"/>
  </si>
  <si>
    <t>飲食店</t>
    <phoneticPr fontId="21"/>
  </si>
  <si>
    <t>境界値b</t>
    <phoneticPr fontId="21"/>
  </si>
  <si>
    <t>f</t>
    <phoneticPr fontId="21"/>
  </si>
  <si>
    <t>g</t>
    <phoneticPr fontId="21"/>
  </si>
  <si>
    <t>e</t>
  </si>
  <si>
    <t>c</t>
  </si>
  <si>
    <t>g</t>
  </si>
  <si>
    <t>f</t>
  </si>
  <si>
    <t>d</t>
  </si>
  <si>
    <t>b</t>
  </si>
  <si>
    <t>a</t>
  </si>
  <si>
    <t>評　価　ソ　フ　ト</t>
    <rPh sb="0" eb="1">
      <t>ヒョウ</t>
    </rPh>
    <rPh sb="2" eb="3">
      <t>アタイ</t>
    </rPh>
    <phoneticPr fontId="21"/>
  </si>
  <si>
    <r>
      <t>CASBEE-</t>
    </r>
    <r>
      <rPr>
        <sz val="9"/>
        <rFont val="ＭＳ Ｐゴシック"/>
        <family val="3"/>
        <charset val="128"/>
      </rPr>
      <t>建築</t>
    </r>
    <r>
      <rPr>
        <sz val="9"/>
        <rFont val="Arial"/>
        <family val="2"/>
      </rPr>
      <t>(</t>
    </r>
    <r>
      <rPr>
        <sz val="9"/>
        <rFont val="ＭＳ Ｐゴシック"/>
        <family val="3"/>
        <charset val="128"/>
      </rPr>
      <t>既存</t>
    </r>
    <r>
      <rPr>
        <sz val="9"/>
        <rFont val="Arial"/>
        <family val="2"/>
      </rPr>
      <t>)2014</t>
    </r>
    <r>
      <rPr>
        <sz val="9"/>
        <rFont val="ＭＳ Ｐゴシック"/>
        <family val="3"/>
        <charset val="128"/>
      </rPr>
      <t>年版</t>
    </r>
    <rPh sb="7" eb="9">
      <t>ケンチク</t>
    </rPh>
    <rPh sb="10" eb="12">
      <t>キゾン</t>
    </rPh>
    <rPh sb="17" eb="18">
      <t>ネン</t>
    </rPh>
    <rPh sb="18" eb="19">
      <t>バン</t>
    </rPh>
    <phoneticPr fontId="21"/>
  </si>
  <si>
    <t>45＜ [騒音レベル]
（やや騒音を感じる）</t>
    <phoneticPr fontId="21"/>
  </si>
  <si>
    <t>50＜ [騒音レベル]
（騒音を感じる）</t>
    <phoneticPr fontId="21"/>
  </si>
  <si>
    <t>45＜ [騒音レベル] ≦50
（やや騒音を感じる）</t>
    <phoneticPr fontId="21"/>
  </si>
  <si>
    <t>40＜ [騒音レベル] ≦45
（特に気にならない）</t>
    <phoneticPr fontId="21"/>
  </si>
  <si>
    <t>55＜ [騒音レベル]
（騒音を無視できない）</t>
    <phoneticPr fontId="21"/>
  </si>
  <si>
    <t>40＜ [騒音レベル]
（特に気にならない）</t>
    <phoneticPr fontId="21"/>
  </si>
  <si>
    <t>50＜ [騒音レベル] ≦55
（騒音を感じる）</t>
    <phoneticPr fontId="21"/>
  </si>
  <si>
    <t>35＜ [騒音レベル] ≦40
（静か）</t>
    <phoneticPr fontId="21"/>
  </si>
  <si>
    <t>45＜ [騒音レベル]　（やや騒音を感じる）</t>
    <phoneticPr fontId="21"/>
  </si>
  <si>
    <t>40＜ [騒音レベル] ≦45　（特に気にならない）</t>
    <phoneticPr fontId="21"/>
  </si>
  <si>
    <t>テレビ、ラジオ、会話等の一般の発生音がかなり聞こえる。</t>
    <phoneticPr fontId="21"/>
  </si>
  <si>
    <t>テレビ、ラジオ、会話等の一般の発生音が小さく聞こえる。</t>
    <phoneticPr fontId="21"/>
  </si>
  <si>
    <t>テレビ、ラジオ、会話等の一般の発生音が通常では聞こえない。</t>
    <phoneticPr fontId="21"/>
  </si>
  <si>
    <t xml:space="preserve">隣戸の生活がかなり分かる。 </t>
    <phoneticPr fontId="21"/>
  </si>
  <si>
    <t>隣戸住宅の生活がわかるがあまり気にならない。</t>
    <phoneticPr fontId="21"/>
  </si>
  <si>
    <t>隣戸の気配を感じない。</t>
    <phoneticPr fontId="21"/>
  </si>
  <si>
    <t>人の話し声が気になる。(Dr-30未満)</t>
    <phoneticPr fontId="21"/>
  </si>
  <si>
    <t>会話等の話の内容がわかる。(Dr-35未満)</t>
    <phoneticPr fontId="21"/>
  </si>
  <si>
    <t>(Dr-30)</t>
    <phoneticPr fontId="21"/>
  </si>
  <si>
    <t>(Dr-35)</t>
    <phoneticPr fontId="21"/>
  </si>
  <si>
    <t>人の話し声が気にならない。(Dr-35)</t>
    <phoneticPr fontId="21"/>
  </si>
  <si>
    <t>会話等の一般の発生音が小さく聞える。(Dr-40)</t>
    <phoneticPr fontId="21"/>
  </si>
  <si>
    <t>(Dr-40)</t>
    <phoneticPr fontId="21"/>
  </si>
  <si>
    <t>(Dr-45)　　　</t>
    <phoneticPr fontId="21"/>
  </si>
  <si>
    <t>人の話し声がほとんど聞こえない。(Dr-45以上)</t>
    <phoneticPr fontId="21"/>
  </si>
  <si>
    <t>会話等の一般の発生音がほとんど聞えない。(Dr-50以上)</t>
    <phoneticPr fontId="21"/>
  </si>
  <si>
    <t>テレビ、ラジオ、会話等の一般の発生音がかなり聞こえる。(Dr-40未満)</t>
    <phoneticPr fontId="21"/>
  </si>
  <si>
    <t>隣戸の生活がかなり分かる。 (Dr-40未満)</t>
    <phoneticPr fontId="21"/>
  </si>
  <si>
    <t>テレビ、ラジオ、会話等の一般の発生音が小さく聞こえる。(Dr-45)</t>
    <phoneticPr fontId="21"/>
  </si>
  <si>
    <t>隣戸住宅の生活がわかるがあまり気にならない。(Dr-45)</t>
    <phoneticPr fontId="21"/>
  </si>
  <si>
    <t>(Dr-50)</t>
    <phoneticPr fontId="21"/>
  </si>
  <si>
    <t>テレビ、ラジオ、会話等の一般の発生音が通常では聞こえない。(Dr-55以上)</t>
    <phoneticPr fontId="21"/>
  </si>
  <si>
    <t>隣戸の気配を感じない。(Dr-55以上)</t>
    <phoneticPr fontId="21"/>
  </si>
  <si>
    <t>住</t>
    <phoneticPr fontId="21"/>
  </si>
  <si>
    <t>椅子の移動音、物の落下音がかなりうるさい。(Lr-65より悪い)</t>
    <phoneticPr fontId="21"/>
  </si>
  <si>
    <t>(Lr-65)</t>
    <phoneticPr fontId="21"/>
  </si>
  <si>
    <t>椅子の移動音、物の落下音がかなり気になる。(Lr-60)</t>
    <phoneticPr fontId="21"/>
  </si>
  <si>
    <t>(Lr-55)</t>
    <phoneticPr fontId="21"/>
  </si>
  <si>
    <t>椅子の移動音、物の落下音が小さく聞こえる。(Lr-50 またはそれより良い)</t>
    <phoneticPr fontId="21"/>
  </si>
  <si>
    <t>椅子の移動音、物の落下音がかなり気になる。(Lr-55より悪い)</t>
    <phoneticPr fontId="21"/>
  </si>
  <si>
    <t>(Lr-55)</t>
    <phoneticPr fontId="21"/>
  </si>
  <si>
    <t>椅子の移動音、物の落下音が小さく聞こえる。(Lr-50)</t>
    <phoneticPr fontId="21"/>
  </si>
  <si>
    <t>(Lr-45)</t>
    <phoneticPr fontId="21"/>
  </si>
  <si>
    <t>椅子の移動音、物の落下音がほとんど聞こえない。(Lr-40 またはそれより良い)</t>
    <phoneticPr fontId="21"/>
  </si>
  <si>
    <t>人のとびはねや走り回る音はうるさい。（Lr-65より悪い）</t>
  </si>
  <si>
    <t>（Lr-65）</t>
  </si>
  <si>
    <t>人のとびはねや走り回る音はよく聞こえる。（Lr-60）</t>
  </si>
  <si>
    <t>（Lr-55）</t>
  </si>
  <si>
    <t>人のとびはねや走り回る音は小さく聞こえる。（Lr-50 またはそれより良い）</t>
  </si>
  <si>
    <t>人のとびはねや走り回る音がかなり気になる。（Lr-60より悪い）</t>
  </si>
  <si>
    <t>（Lr-60）</t>
  </si>
  <si>
    <t>人のとびはねや走り回る音が聞こえる。（Lr-55）</t>
  </si>
  <si>
    <t>（Lr-50）</t>
  </si>
  <si>
    <t>人のとびはねや走り回る音が聞こえるが意識することはあまりない。（Lr-45 またはそれより良い）</t>
    <phoneticPr fontId="21"/>
  </si>
  <si>
    <t>冷房期：20℃以上、22℃未満　又は　28℃以上、30℃未満の範囲にある。
中間期：19℃以上、21℃未満　又は　27℃以上、29℃未満の範囲にある。
暖房期：18℃より高く、20℃以下　又は　26℃より高く、28℃以下の範囲にある。</t>
    <phoneticPr fontId="21"/>
  </si>
  <si>
    <t>冷房期：22℃以上、24℃未満　又は　26℃以上、28℃未満の範囲にある。
中間期：21℃以上、23℃未満　又は　25℃以上、27℃未満の範囲にある。
暖房期：20℃より高く、22℃以下　又は　24℃より高く、26℃以下の範囲にある。</t>
    <phoneticPr fontId="21"/>
  </si>
  <si>
    <t>冷房期：24℃以上、26℃未満の範囲にある。
中間期：23℃以上、25℃未満の範囲にある。
暖房期：22℃より高く、24℃以下の範囲にある。</t>
    <phoneticPr fontId="21"/>
  </si>
  <si>
    <t>冷房期：22℃未満　又は　28℃以上の範囲にある。
中間期：21℃未満　又は　27℃以上の範囲にある。
暖房期：20℃以下　又は　26℃より高い範囲にある。</t>
    <phoneticPr fontId="21"/>
  </si>
  <si>
    <t>冷房期：22℃未満　又は　29℃以上の範囲にある。
中間期：20℃未満　又は　28℃以上の範囲にある。
暖房期：18℃以下　又は　27℃より高い範囲にある。</t>
    <phoneticPr fontId="21"/>
  </si>
  <si>
    <t>レベル3を満たさない。</t>
  </si>
  <si>
    <t>冷房期：22℃未満　又は　28℃以上の範囲にある。
中間期：20℃未満　又は　27℃以上の範囲にある。
暖房期：18℃以下　又は　26℃より高い範囲にある。</t>
    <phoneticPr fontId="21"/>
  </si>
  <si>
    <t>(該当するレベルなし)</t>
    <phoneticPr fontId="21"/>
  </si>
  <si>
    <t>冷房期：22℃以上、24℃未満　又は　27℃以上、29℃未満の範囲にある。
中間期：20℃以上、23℃未満　又は　25℃以上、28℃未満の範囲にある。
暖房期：18℃より高く、20℃以下　又は　24℃より高く、26℃以下の範囲にある。</t>
    <phoneticPr fontId="21"/>
  </si>
  <si>
    <t>10℃以上、30℃以下の範囲にある。</t>
    <rPh sb="9" eb="11">
      <t>イカ</t>
    </rPh>
    <phoneticPr fontId="21"/>
  </si>
  <si>
    <t>冷房期：22℃以上、24℃未満　又は　26℃以上、28℃未満の範囲にある。
中間期：20℃以上、23℃未満　又は　25℃以上、27℃未満の範囲にある。
暖房期：18℃より高く、20℃以下　又は　22℃より高く、26℃以下の範囲にある。</t>
    <phoneticPr fontId="21"/>
  </si>
  <si>
    <t>冷房期：24℃以上、26℃未満の範囲にある。
中間期：23℃以上、25℃未満の範囲にある。
暖房期：23℃より高く、25℃以下の範囲にある。</t>
    <phoneticPr fontId="21"/>
  </si>
  <si>
    <t>夏期：25℃以上、28℃以下の範囲にある。
冬期：18℃以上、20℃以下の範囲にある。</t>
    <rPh sb="0" eb="1">
      <t>ナツ</t>
    </rPh>
    <rPh sb="12" eb="14">
      <t>イカ</t>
    </rPh>
    <rPh sb="22" eb="23">
      <t>フユ</t>
    </rPh>
    <rPh sb="23" eb="24">
      <t>キ</t>
    </rPh>
    <phoneticPr fontId="21"/>
  </si>
  <si>
    <t>冷房期：24℃以上、26℃未満の範囲にある。
中間期：23℃以上、25℃未満の範囲にある。
暖房期：20℃より高く、22℃以下の範囲にある。</t>
    <phoneticPr fontId="21"/>
  </si>
  <si>
    <t>冷房期：20℃未満　又は　30℃以上の範囲にある。
中間期：19℃未満　又は　29℃以上の範囲にある。
暖房期：18℃以下　又は　28℃より高い範囲にある。</t>
    <phoneticPr fontId="21"/>
  </si>
  <si>
    <t>事･学(大学等)･物･飲･会･病･ホ･工･住</t>
    <rPh sb="0" eb="1">
      <t>コト</t>
    </rPh>
    <rPh sb="2" eb="3">
      <t>ガク</t>
    </rPh>
    <rPh sb="4" eb="7">
      <t>ダイガクナド</t>
    </rPh>
    <rPh sb="9" eb="10">
      <t>モノ</t>
    </rPh>
    <rPh sb="11" eb="12">
      <t>イン</t>
    </rPh>
    <rPh sb="13" eb="14">
      <t>カイ</t>
    </rPh>
    <rPh sb="15" eb="16">
      <t>ヤマイ</t>
    </rPh>
    <rPh sb="19" eb="20">
      <t>コウ</t>
    </rPh>
    <rPh sb="21" eb="22">
      <t>ジュウ</t>
    </rPh>
    <phoneticPr fontId="21"/>
  </si>
  <si>
    <t>レベル３を満たさない。</t>
    <phoneticPr fontId="21"/>
  </si>
  <si>
    <t>冬期：35％以上、45％未満　かつ　夏期：55％より大きく、75％以下の範囲にある。</t>
    <phoneticPr fontId="21"/>
  </si>
  <si>
    <t>冬期：30％以上、45％未満　かつ　夏期：55％より大きく、80％以下の範囲にある。</t>
    <phoneticPr fontId="21"/>
  </si>
  <si>
    <t>45％以上、55％以下の範囲にある。</t>
    <phoneticPr fontId="21"/>
  </si>
  <si>
    <t>ブラインドによりグレアを制御、もしくはカーテン、スクリーン、オーニング、庇のうち、２種類以上を組み合わせてグレアを制御。</t>
    <phoneticPr fontId="21"/>
  </si>
  <si>
    <t>ブラインドに、カーテン、スクリーン、オーニング、庇のうち、１種類以上を組み合わせてグレアを制御。</t>
    <phoneticPr fontId="21"/>
  </si>
  <si>
    <t>１作業単位で照明制御できる、かつ、端末・リモコン等で調整できる、または自動照明制御ができる。</t>
    <rPh sb="6" eb="8">
      <t>ショウメイ</t>
    </rPh>
    <rPh sb="35" eb="37">
      <t>ジドウ</t>
    </rPh>
    <rPh sb="37" eb="39">
      <t>ショウメイ</t>
    </rPh>
    <rPh sb="39" eb="41">
      <t>セイギョ</t>
    </rPh>
    <phoneticPr fontId="21"/>
  </si>
  <si>
    <t>ベッド単位の細かい照明制御ができる、または、自動照明制御ができる。</t>
    <phoneticPr fontId="21"/>
  </si>
  <si>
    <t>室内の複数部分に対して端末、リモコン等で細かな照明制御ができる、または、自動照明制御ができる。</t>
    <rPh sb="23" eb="25">
      <t>ショウメイ</t>
    </rPh>
    <rPh sb="36" eb="38">
      <t>ジドウ</t>
    </rPh>
    <rPh sb="38" eb="40">
      <t>ショウメイ</t>
    </rPh>
    <rPh sb="40" eb="42">
      <t>セイギョ</t>
    </rPh>
    <phoneticPr fontId="21"/>
  </si>
  <si>
    <t>事・学(大学等)・物・飲・会・病・ホ・工・住</t>
    <rPh sb="2" eb="3">
      <t>ガク</t>
    </rPh>
    <rPh sb="11" eb="12">
      <t>イン</t>
    </rPh>
    <rPh sb="13" eb="14">
      <t>カイ</t>
    </rPh>
    <rPh sb="21" eb="22">
      <t>ジュウ</t>
    </rPh>
    <phoneticPr fontId="21"/>
  </si>
  <si>
    <t>レベル３を満たさない。</t>
    <phoneticPr fontId="21"/>
  </si>
  <si>
    <t>ホルムアルデヒド濃度が100μg/m3以下。測定によらない場合、建築基準法を満たしている。</t>
    <phoneticPr fontId="21"/>
  </si>
  <si>
    <t>ホルムアルデヒド濃度が75μg/m3以下。</t>
    <phoneticPr fontId="21"/>
  </si>
  <si>
    <t>ホルムアルデヒド濃度が75μg/m3以下。
かつ、トルエン濃度が195μg/m3以下。</t>
    <phoneticPr fontId="21"/>
  </si>
  <si>
    <t>ホルムアルデヒド濃度が50μg/m3以下。</t>
    <phoneticPr fontId="21"/>
  </si>
  <si>
    <t>ホルムアルデヒド濃度が50μg/m3以下。
かつ、トルエン濃度が130μg/m3以下。</t>
    <phoneticPr fontId="21"/>
  </si>
  <si>
    <t>レベル３を満たさない</t>
    <phoneticPr fontId="21"/>
  </si>
  <si>
    <t>［CO2濃度］ ≦1,000 ppm、かつ ［粉塵濃度］ ≦0.15 mg/㎥</t>
    <phoneticPr fontId="21"/>
  </si>
  <si>
    <t>［二酸化炭素］≦1,500 ppm</t>
    <phoneticPr fontId="21"/>
  </si>
  <si>
    <t>［CO2濃度］　≦800 ppm、かつ［粉塵濃度］　≦0.12 mg/㎥</t>
    <phoneticPr fontId="21"/>
  </si>
  <si>
    <t>レベル３の基準に加え、定期的に換気(窓開け)を行っている、などの運用面の取組を評価</t>
    <phoneticPr fontId="21"/>
  </si>
  <si>
    <t>［CO2濃度］　≦600 ppm、　かつ　［粉塵濃度］　≦0.08 mg/㎥</t>
    <phoneticPr fontId="21"/>
  </si>
  <si>
    <t>［二酸化炭素］≦　600 ppm</t>
    <phoneticPr fontId="21"/>
  </si>
  <si>
    <t>レベル３を満たさない</t>
  </si>
  <si>
    <t>病・ホ</t>
    <phoneticPr fontId="21"/>
  </si>
  <si>
    <r>
      <t>ＯＡフロア等によりレイアウト変更に対応できるようになっており、かつＯＡ機器用コンセント容量が40ＶＡ/ｍ</t>
    </r>
    <r>
      <rPr>
        <vertAlign val="superscript"/>
        <sz val="9"/>
        <rFont val="ＭＳ Ｐゴシック"/>
        <family val="3"/>
        <charset val="128"/>
      </rPr>
      <t>2</t>
    </r>
    <r>
      <rPr>
        <sz val="9"/>
        <rFont val="ＭＳ Ｐゴシック"/>
        <family val="3"/>
        <charset val="128"/>
      </rPr>
      <t>以上となっている。加えて、通信に関しては、レベル３を満たすとともに、複数の通信事業者の回線がビル内へ引き込まれており、各階への通信事業者用配線スペースが別途、確保されている。また、これらの更新履歴が図面に反映され、保存されている。</t>
    </r>
    <phoneticPr fontId="21"/>
  </si>
  <si>
    <r>
      <t>ＯＡフロア等によりレイアウト変更に対応できるようになっており、かつＯＡ機器用コンセント容量が50ＶＡ/ｍ</t>
    </r>
    <r>
      <rPr>
        <vertAlign val="superscript"/>
        <sz val="9"/>
        <rFont val="ＭＳ Ｐゴシック"/>
        <family val="3"/>
        <charset val="128"/>
      </rPr>
      <t>2</t>
    </r>
    <r>
      <rPr>
        <sz val="9"/>
        <rFont val="ＭＳ Ｐゴシック"/>
        <family val="3"/>
        <charset val="128"/>
      </rPr>
      <t>以上となっている。加えて、通信に関しては、レベル４を満たすとともに、各階へはGigabit通信回線が引き込まれており、別途、フロア間通信のためのテナントEPSが確保されている。また、これらの更新履歴が図面に反映され、保存されている。</t>
    </r>
    <phoneticPr fontId="21"/>
  </si>
  <si>
    <t>各住戸または各客室に100Mbitクラスのブロードバンドが利用可能な環境が整備されていること。また、これらの更新履歴が図面に反映され、保存されている。</t>
    <phoneticPr fontId="21"/>
  </si>
  <si>
    <t>各住戸または各客室にGbitクラスのブロードバンドが利用可能な環境が整備されていること。また、これらの更新履歴が図面に反映され、保存されている。</t>
    <phoneticPr fontId="21"/>
  </si>
  <si>
    <t>事</t>
    <rPh sb="0" eb="1">
      <t>コト</t>
    </rPh>
    <phoneticPr fontId="21"/>
  </si>
  <si>
    <r>
      <t xml:space="preserve">1.3.1 </t>
    </r>
    <r>
      <rPr>
        <b/>
        <sz val="10"/>
        <rFont val="ＭＳ Ｐゴシック"/>
        <family val="3"/>
        <charset val="128"/>
      </rPr>
      <t>総合的な取組み</t>
    </r>
    <rPh sb="6" eb="9">
      <t>ソウゴウテキ</t>
    </rPh>
    <rPh sb="10" eb="12">
      <t>トリクミ</t>
    </rPh>
    <phoneticPr fontId="21"/>
  </si>
  <si>
    <t>維持管理の環境配慮において、取り組みがなされていない。(評価ポイント2以下)</t>
    <phoneticPr fontId="21"/>
  </si>
  <si>
    <t>延床面積500㎡以下の建築物は
レベル3とする。
注）500㎡以下の建物は直接入力により、レベル3を選択してください。</t>
    <phoneticPr fontId="21"/>
  </si>
  <si>
    <t>維持管理の環境配慮において、取り組みが十分とは言えない。(評価ポイント3～5)</t>
    <phoneticPr fontId="21"/>
  </si>
  <si>
    <t>維持管理の環境配慮において、取り組みが標準的である。(評価ポイント6～8)</t>
    <phoneticPr fontId="21"/>
  </si>
  <si>
    <t>維持管理の環境配慮において、取り組みが標準以上である。(評価ポイント9～11)</t>
    <phoneticPr fontId="21"/>
  </si>
  <si>
    <t>維持管理の環境配慮において、充実した取り組みが行われている。(評価ポイント12以上)</t>
    <phoneticPr fontId="21"/>
  </si>
  <si>
    <t>Ⅰ 建築物衛生法における特定建築物の場合に評価する取組み</t>
    <rPh sb="2" eb="5">
      <t>ケンチクブツ</t>
    </rPh>
    <rPh sb="5" eb="8">
      <t>エイセイホウ</t>
    </rPh>
    <rPh sb="12" eb="14">
      <t>トクテイ</t>
    </rPh>
    <rPh sb="14" eb="17">
      <t>ケンチクブツ</t>
    </rPh>
    <rPh sb="18" eb="20">
      <t>バアイ</t>
    </rPh>
    <rPh sb="21" eb="23">
      <t>ヒョウカ</t>
    </rPh>
    <rPh sb="25" eb="27">
      <t>トリク</t>
    </rPh>
    <phoneticPr fontId="21"/>
  </si>
  <si>
    <t>評価内容</t>
    <phoneticPr fontId="21"/>
  </si>
  <si>
    <t>1) 業務仕様</t>
    <phoneticPr fontId="21"/>
  </si>
  <si>
    <t>清掃管理および設備管理仕様書の基本方針において環境配慮を明示している。</t>
  </si>
  <si>
    <r>
      <t>2)</t>
    </r>
    <r>
      <rPr>
        <sz val="9"/>
        <rFont val="ＭＳ Ｐゴシック"/>
        <family val="3"/>
        <charset val="128"/>
      </rPr>
      <t xml:space="preserve"> 契約形態</t>
    </r>
    <phoneticPr fontId="21"/>
  </si>
  <si>
    <t>安定した品質を維持するために業務契約期間を2年以上としている。</t>
  </si>
  <si>
    <r>
      <t>3)</t>
    </r>
    <r>
      <rPr>
        <sz val="9"/>
        <rFont val="ＭＳ Ｐゴシック"/>
        <family val="3"/>
        <charset val="128"/>
      </rPr>
      <t xml:space="preserve"> 業務手順</t>
    </r>
    <phoneticPr fontId="21"/>
  </si>
  <si>
    <t>清掃管理と設備管理における業務標準手順書を用意している。</t>
  </si>
  <si>
    <t>4) インスペクション</t>
    <phoneticPr fontId="21"/>
  </si>
  <si>
    <t>清掃および設備の維持管理状態のインスペクション記録がある。</t>
  </si>
  <si>
    <r>
      <t>5)</t>
    </r>
    <r>
      <rPr>
        <sz val="9"/>
        <rFont val="ＭＳ Ｐゴシック"/>
        <family val="3"/>
        <charset val="128"/>
      </rPr>
      <t xml:space="preserve"> 計画</t>
    </r>
    <phoneticPr fontId="21"/>
  </si>
  <si>
    <t>外気に接するガラス･照明の清掃を含めた計画書がある。</t>
  </si>
  <si>
    <r>
      <t>6)</t>
    </r>
    <r>
      <rPr>
        <sz val="9"/>
        <rFont val="ＭＳ Ｐゴシック"/>
        <family val="3"/>
        <charset val="128"/>
      </rPr>
      <t xml:space="preserve"> 業務員への教育</t>
    </r>
    <phoneticPr fontId="21"/>
  </si>
  <si>
    <t>年1回以上の環境等をテーマにしたトレーニングの計画と記録がある。</t>
  </si>
  <si>
    <t>7) EMS</t>
    <phoneticPr fontId="21"/>
  </si>
  <si>
    <t>管理者が外部評価による環境マネジメントシステム(EMS)の認証を得ている。</t>
  </si>
  <si>
    <t>Ⅱ 建築物衛生法における特定建築物に該当しない建築物の場合に評価する取組み</t>
    <phoneticPr fontId="21"/>
  </si>
  <si>
    <r>
      <t>1)</t>
    </r>
    <r>
      <rPr>
        <sz val="9"/>
        <rFont val="ＭＳ Ｐゴシック"/>
        <family val="3"/>
        <charset val="128"/>
      </rPr>
      <t xml:space="preserve"> 頻度</t>
    </r>
    <phoneticPr fontId="21"/>
  </si>
  <si>
    <t>施設清掃や設備点検･清掃の箇所別頻度の設定がなされている。</t>
  </si>
  <si>
    <r>
      <t>2)</t>
    </r>
    <r>
      <rPr>
        <sz val="9"/>
        <rFont val="ＭＳ Ｐゴシック"/>
        <family val="3"/>
        <charset val="128"/>
      </rPr>
      <t xml:space="preserve"> 役割</t>
    </r>
    <phoneticPr fontId="21"/>
  </si>
  <si>
    <t>施設清掃と設備点検･清掃における各責任者･委託先が決められている。</t>
  </si>
  <si>
    <r>
      <t>3)</t>
    </r>
    <r>
      <rPr>
        <sz val="9"/>
        <rFont val="ＭＳ Ｐゴシック"/>
        <family val="3"/>
        <charset val="128"/>
      </rPr>
      <t xml:space="preserve"> 手順</t>
    </r>
    <phoneticPr fontId="21"/>
  </si>
  <si>
    <t>施設清掃と設備点検･清掃における作業手順書やマニュアルを用意している。</t>
  </si>
  <si>
    <r>
      <t>4)</t>
    </r>
    <r>
      <rPr>
        <sz val="9"/>
        <rFont val="ＭＳ Ｐゴシック"/>
        <family val="3"/>
        <charset val="128"/>
      </rPr>
      <t xml:space="preserve"> 点検</t>
    </r>
    <phoneticPr fontId="21"/>
  </si>
  <si>
    <t>施設清掃と設備点検･清掃の点検記録がある。</t>
  </si>
  <si>
    <r>
      <t>5)</t>
    </r>
    <r>
      <rPr>
        <sz val="9"/>
        <rFont val="ＭＳ Ｐゴシック"/>
        <family val="3"/>
        <charset val="128"/>
      </rPr>
      <t xml:space="preserve"> 実施</t>
    </r>
    <phoneticPr fontId="21"/>
  </si>
  <si>
    <t>施設清掃や設備点検･清掃の実施記録がある。</t>
  </si>
  <si>
    <r>
      <t>6)</t>
    </r>
    <r>
      <rPr>
        <sz val="9"/>
        <rFont val="ＭＳ Ｐゴシック"/>
        <family val="3"/>
        <charset val="128"/>
      </rPr>
      <t xml:space="preserve"> 共有</t>
    </r>
    <phoneticPr fontId="21"/>
  </si>
  <si>
    <t>施設清掃と設備点検･清掃の点検結果を共有する機会を設けている。</t>
  </si>
  <si>
    <t>清掃管理業務の取り組みにおいて、取り組みが十分とは言えない。(評価ポイント0～1)</t>
    <phoneticPr fontId="21"/>
  </si>
  <si>
    <t>清掃管理業務の取り組みにおいて、取り組みが標準的である。(評価ポイント2～4)</t>
    <phoneticPr fontId="21"/>
  </si>
  <si>
    <t>清掃管理業務の取り組みにおいて、取り組みが標準以上である。(評価ポイント5～8)</t>
    <phoneticPr fontId="21"/>
  </si>
  <si>
    <t>清掃管理業務の取り組みにおいて、充実した取り組みが行われている。(評価ポイント9以上)</t>
    <phoneticPr fontId="21"/>
  </si>
  <si>
    <t>充分な長さのエントランスマットを設置している。(外部、内部含む5ｍ以上)</t>
    <phoneticPr fontId="21"/>
  </si>
  <si>
    <t>ある程度の長さのエントランスマットを設置している。</t>
    <phoneticPr fontId="21"/>
  </si>
  <si>
    <t>① 清掃業務において効果的な方法を採用している。</t>
    <phoneticPr fontId="21"/>
  </si>
  <si>
    <t>② 清掃業務において環境影響の少ない方法を採用している。</t>
    <phoneticPr fontId="21"/>
  </si>
  <si>
    <t>① トイレ、共用部、厨房、玄関マットは毎日、清掃を実施する事としている。</t>
    <phoneticPr fontId="21"/>
  </si>
  <si>
    <t>② 希釈をする洗浄剤の希釈方法を明記している。</t>
    <phoneticPr fontId="21"/>
  </si>
  <si>
    <r>
      <t>①</t>
    </r>
    <r>
      <rPr>
        <sz val="9"/>
        <rFont val="ＭＳ Ｐゴシック"/>
        <family val="3"/>
        <charset val="128"/>
      </rPr>
      <t xml:space="preserve"> 環境ラベル取得製品の採用。(エコマーク、グリーンマークなど)</t>
    </r>
    <phoneticPr fontId="21"/>
  </si>
  <si>
    <t>① 環境ラベル取得製品を採用している。（エコマーク、グリーンマークなど）</t>
    <phoneticPr fontId="21"/>
  </si>
  <si>
    <t>② 清掃用ケミカルのⅰ 床用保護剤、ⅱ 床用洗浄剤(カーペット含む)、ⅲ トイレ用洗浄剤、ⅳ ガラス用洗浄剤の4製品に関して、環境負荷と安全に配慮した製品を採用している。(判定表を参照)</t>
    <phoneticPr fontId="21"/>
  </si>
  <si>
    <t>② 清掃資材専用の保管スペースがある。</t>
    <phoneticPr fontId="21"/>
  </si>
  <si>
    <t>③ トイレ、共用部、厨房などの清掃に使用するケミカルの2種類以上についてMSDS（化学物質安全データシート）を保管している。</t>
    <phoneticPr fontId="21"/>
  </si>
  <si>
    <t>① トイレ清掃では除菌剤配合洗剤を使用している。</t>
    <phoneticPr fontId="21"/>
  </si>
  <si>
    <t>② 感染防止を考慮した嘔吐物の処理方法がある。</t>
    <phoneticPr fontId="21"/>
  </si>
  <si>
    <t>手袋、メガネ、マスクなどの保護具の着用を促している。</t>
    <phoneticPr fontId="21"/>
  </si>
  <si>
    <t>Ⅱ 建築物衛生法における特定建築物に該当しない建築物の場合に評価する取組み</t>
  </si>
  <si>
    <t>評価内容</t>
    <phoneticPr fontId="21"/>
  </si>
  <si>
    <t>水素イオン濃度（pH）</t>
  </si>
  <si>
    <t>原液＝pH5～pH9である事。</t>
  </si>
  <si>
    <t>ⅰ 床用保護剤</t>
  </si>
  <si>
    <t>厚生労働省策定の「室内濃度に関する指針値」対象物質である揮発性有機化合物(VOC)を原料に含まない事。原料に含まれる場合は、JIS K 3920（フロアーポリッシュ試験方法）-24（皮膜からの放散成分分析）を実施し、その分析値が室内濃度指針値以下である事。</t>
  </si>
  <si>
    <t>厚生労働省策定の「室内濃度に関する指針値」対象物質である揮発性有機化合物(VOC)を原料に含まない事。</t>
  </si>
  <si>
    <t>LD50：＞2,000mg/kgである事。</t>
  </si>
  <si>
    <t>ⅱ 床用洗浄剤
ⅲ トイレ用洗浄剤
ⅳ ガラス用洗浄剤</t>
    <phoneticPr fontId="21"/>
  </si>
  <si>
    <t>製品が定める最も高濃度希釈時のVOC含有率が洗浄剤＜1%　床用保護剤＜7%である事。（沸点260℃未満のVOC対象）</t>
  </si>
  <si>
    <t>特定化学物質の環境への排出量の把握等及び管理の改善の促進に関する法律（ＰＲＴＲ法）の「第一種指定化学物質」と「第二種指定化学物質」が指定割合以下である事。</t>
  </si>
  <si>
    <t>3つの設備管理業務の取り組みポイントで-１(ﾚﾍﾞﾙ2)の取り組みがひとつでもある場合</t>
    <phoneticPr fontId="21"/>
  </si>
  <si>
    <t>建築物衛生法における特定建築物に該当しない建築物</t>
    <phoneticPr fontId="21"/>
  </si>
  <si>
    <t>空調管理は何も実施していない。</t>
    <phoneticPr fontId="21"/>
  </si>
  <si>
    <t>建築基準法施行細則第8条（建築設備等の定期報告）に基づく換気設備定期点検を年1回実施し、改善している。
※特定行政庁が規定する特殊建築物に該当しない場合は取組み「0点」として評価する。</t>
    <phoneticPr fontId="21"/>
  </si>
  <si>
    <t>建築物環境衛生管理基準レベルの空調管理を実施し、記録を保管している。</t>
    <phoneticPr fontId="21"/>
  </si>
  <si>
    <t>ねずみ等の点検・防除は何も実施していない。</t>
    <phoneticPr fontId="21"/>
  </si>
  <si>
    <r>
      <t>建築物環境衛生管理基準を満たし、</t>
    </r>
    <r>
      <rPr>
        <sz val="9"/>
        <rFont val="ＭＳ Ｐゴシック"/>
        <family val="3"/>
        <charset val="128"/>
      </rPr>
      <t>6ヶ月に1回の点検および防除を行っている。</t>
    </r>
    <rPh sb="18" eb="19">
      <t>ゲツ</t>
    </rPh>
    <rPh sb="21" eb="22">
      <t>カイ</t>
    </rPh>
    <rPh sb="23" eb="25">
      <t>テンケン</t>
    </rPh>
    <rPh sb="28" eb="30">
      <t>ボウジョ</t>
    </rPh>
    <rPh sb="31" eb="32">
      <t>オコナ</t>
    </rPh>
    <phoneticPr fontId="21"/>
  </si>
  <si>
    <t>各建築物に適用されている法律、規則、基準などに則り、ねずみ等の点検・防除を定期的に実施している。
※法律、規則、基準などがない建築物の場合は年1回のねずみ等の点検・防除を実施している。</t>
    <phoneticPr fontId="21"/>
  </si>
  <si>
    <t>建築物環境衛生管理基準レベルのねずみ等の点検・防除を実施し、記録を保管している。</t>
    <phoneticPr fontId="21"/>
  </si>
  <si>
    <t>給水・給湯管理（飲用・炊事用・浴用等）は何も実施していない。</t>
    <phoneticPr fontId="21"/>
  </si>
  <si>
    <t>「水道法」に基づき、受水槽の清掃や水質の外部検査を年1回実施し、改善している。
※直結式給水で受水槽がない場合は取組み「0点」として評価する。</t>
    <phoneticPr fontId="21"/>
  </si>
  <si>
    <t>建築物環境衛生管理基準レベルの給水・給湯管理（飲用・炊事用・浴用等）を実施し、記録を保管している。</t>
    <phoneticPr fontId="21"/>
  </si>
  <si>
    <t>合計＝</t>
    <phoneticPr fontId="21"/>
  </si>
  <si>
    <t>ポイント</t>
    <phoneticPr fontId="21"/>
  </si>
  <si>
    <t>-1（レベル2）</t>
    <phoneticPr fontId="21"/>
  </si>
  <si>
    <t>レベル3を満たさない。</t>
    <rPh sb="5" eb="6">
      <t>ミ</t>
    </rPh>
    <phoneticPr fontId="21"/>
  </si>
  <si>
    <t>Is値＝0.6以上　または　建築基準法に定められた耐震性を有する。</t>
    <phoneticPr fontId="21"/>
  </si>
  <si>
    <t>Is値=0.7以上　または　建築基準法に定められた25％増の耐震性を有する。</t>
    <phoneticPr fontId="21"/>
  </si>
  <si>
    <t>建築基準法に定められた50％増の耐震性を有する。あるいは損傷制御設計が行われている。</t>
    <phoneticPr fontId="21"/>
  </si>
  <si>
    <t>レベル2を満たさない。</t>
    <rPh sb="5" eb="6">
      <t>ミ</t>
    </rPh>
    <phoneticPr fontId="21"/>
  </si>
  <si>
    <t>主要機器は耐用年数以内である。</t>
    <phoneticPr fontId="21"/>
  </si>
  <si>
    <t>主要機器は耐用年数以内である。</t>
    <phoneticPr fontId="21"/>
  </si>
  <si>
    <t>耐震クラスS（Aクラスに加え、大きな補修をすることなく全ての機能が確保できる。）または、動的解析を行った上で設計用水平震度KHを2.0以上としている。</t>
    <phoneticPr fontId="21"/>
  </si>
  <si>
    <t>I 生物資源の保存</t>
    <phoneticPr fontId="21"/>
  </si>
  <si>
    <t>1) 地域の生態系にとって有益な生物資源を保存している。</t>
    <phoneticPr fontId="21"/>
  </si>
  <si>
    <t>II 緑の量の確保</t>
    <phoneticPr fontId="21"/>
  </si>
  <si>
    <t>1) 外構緑化指数が、10％以上20％未満を示す規模の外構緑化を行い、なおかつ中高木を植栽している。（1ポイント）</t>
    <phoneticPr fontId="21"/>
  </si>
  <si>
    <t>　外構緑化指数が、20％以上50％未満を示す規模の外構緑化を行っている。 （2ポイント）</t>
    <phoneticPr fontId="21"/>
  </si>
  <si>
    <t>　外構緑化指数が、50%以上を示す規模の外構緑化を行っている。（3ポイント）</t>
    <phoneticPr fontId="21"/>
  </si>
  <si>
    <t>2)建物緑化指数が、5％以上20％未満を示す規模の建築物の緑化を行っている。 （1ポイント）</t>
    <phoneticPr fontId="21"/>
  </si>
  <si>
    <t>　建物緑化指数が、20％以上を示す規模の建築物の緑化を行っている。 （2ポイント）</t>
    <phoneticPr fontId="21"/>
  </si>
  <si>
    <t>III 緑の質の維持</t>
    <phoneticPr fontId="21"/>
  </si>
  <si>
    <t>1)自生種の保全に配慮した緑地が形成されている。</t>
    <phoneticPr fontId="21"/>
  </si>
  <si>
    <t>2)敷地や建物の植栽条件に応じた適切な緑地が形成されている。</t>
    <phoneticPr fontId="21"/>
  </si>
  <si>
    <t>3)野生小動物の生息域の確保に配慮した緑地が形成されている。</t>
    <phoneticPr fontId="21"/>
  </si>
  <si>
    <t>IV 生物資源の管理と利用</t>
    <phoneticPr fontId="21"/>
  </si>
  <si>
    <t>1)設計当初の緑化計画目標・方針、敷地及びその周辺における生物環境に関わる立地環境特性等を把握・確認し、管理・運営方針を継続的に見直している。</t>
    <phoneticPr fontId="21"/>
  </si>
  <si>
    <t>2)緑地等の適切な育成管理・維持管理の実施に加え、極力農薬等化学物質を使用しない維持管理手法を採用している。</t>
    <phoneticPr fontId="21"/>
  </si>
  <si>
    <t>3)建物利用者や地域住民が生物とふれあい自然に親しめる環境や施設等を確保している。</t>
    <phoneticPr fontId="21"/>
  </si>
  <si>
    <t>V その他</t>
    <phoneticPr fontId="21"/>
  </si>
  <si>
    <t>生物環境の保全</t>
    <rPh sb="2" eb="4">
      <t>カンキョウ</t>
    </rPh>
    <phoneticPr fontId="21"/>
  </si>
  <si>
    <t>VI 建物利用者等の参加性</t>
    <rPh sb="3" eb="5">
      <t>タテモノ</t>
    </rPh>
    <rPh sb="5" eb="8">
      <t>リヨウシャ</t>
    </rPh>
    <rPh sb="8" eb="9">
      <t>トウ</t>
    </rPh>
    <rPh sb="10" eb="13">
      <t>サンカセイ</t>
    </rPh>
    <phoneticPr fontId="21"/>
  </si>
  <si>
    <t>VII その他</t>
    <phoneticPr fontId="21"/>
  </si>
  <si>
    <t>8）建物利用者等の参加性
施設利用者満足度評価（POE）の実施、コーポラティブ住宅等、設計プロセスに建物利用者が参加している。</t>
    <phoneticPr fontId="21"/>
  </si>
  <si>
    <t>9）その他（記述）</t>
    <phoneticPr fontId="21"/>
  </si>
  <si>
    <t>外壁面対策面積率が、
　　・10％未満の場合で何らかの対策がある場合  (1ポイント)
　　・10％以上20％未満の場合 (2ポイント)
　　・20％以上の場合 (3ポイント)</t>
    <phoneticPr fontId="21"/>
  </si>
  <si>
    <t>各種モニタリング設備が活用されていない。</t>
    <phoneticPr fontId="21"/>
  </si>
  <si>
    <t>建物で消費される各種エネルギー消費量を年間に渡って把握し、消費原単位等を用いてのベンチマーク比較を行っていること。</t>
    <rPh sb="49" eb="50">
      <t>オコナ</t>
    </rPh>
    <phoneticPr fontId="21"/>
  </si>
  <si>
    <t>レベル３に加え、主要な用途別エネルギー消費の内訳※1) を把握して、消費特性の傾向把握・分析を行い、妥当性の確認を行っていること。</t>
    <rPh sb="57" eb="58">
      <t>オコナ</t>
    </rPh>
    <phoneticPr fontId="21"/>
  </si>
  <si>
    <t>レベル４に加え、主要な設備システムに関しては、システム効率※2) の評価を行うことにより、システムの性能の評価を実施していること。</t>
    <rPh sb="56" eb="58">
      <t>ジッシ</t>
    </rPh>
    <phoneticPr fontId="21"/>
  </si>
  <si>
    <t>セキュリティ連動による消灯効果/換気停止の効果等</t>
    <rPh sb="11" eb="13">
      <t>ショウトウ</t>
    </rPh>
    <phoneticPr fontId="21"/>
  </si>
  <si>
    <t>‐</t>
    <phoneticPr fontId="21"/>
  </si>
  <si>
    <t>運用管理の組織、体制、管理方針が計画されていない。</t>
    <phoneticPr fontId="21"/>
  </si>
  <si>
    <t>運用管理の組織、体制、管理方針が計画通りに実行されている。</t>
    <phoneticPr fontId="21"/>
  </si>
  <si>
    <t>レベル３に加えて、建物全体のエネルギー消費量の目標値に対して、実績値が把握されている。</t>
    <phoneticPr fontId="21"/>
  </si>
  <si>
    <t>レベル４に加えて、BEMSデータの活用による、運用時の設備性能検証システム（コミッショニング）、設備診断システム、最適運転支援システム（アドバイザリーシステムなど）の運用支援システムを活用している。または、これら支援システムと同等の性能検証、診断、運用改善が行われている。</t>
    <phoneticPr fontId="21"/>
  </si>
  <si>
    <t>節水コマに加えて、省水型機器（例えば擬音、節水型便器など）などを用いている。</t>
    <phoneticPr fontId="21"/>
  </si>
  <si>
    <t>［雨水利用率］　＝0％
又は雨水を利用しているが、実測値がない場合</t>
    <phoneticPr fontId="21"/>
  </si>
  <si>
    <t>雨水利用をしており、実測値がある</t>
    <phoneticPr fontId="21"/>
  </si>
  <si>
    <t>20％≦　［雨水利用率］　</t>
    <phoneticPr fontId="21"/>
  </si>
  <si>
    <t>雑排水等を利用しており実測値がある。</t>
  </si>
  <si>
    <t>雑排水等の利用率が50%以上。</t>
  </si>
  <si>
    <t>雑排水等を利用しているが実測値がない、または雑排水等を利用していない。</t>
    <phoneticPr fontId="21"/>
  </si>
  <si>
    <r>
      <t xml:space="preserve">1.2.2 </t>
    </r>
    <r>
      <rPr>
        <b/>
        <sz val="10"/>
        <rFont val="ＭＳ Ｐゴシック"/>
        <family val="3"/>
        <charset val="128"/>
      </rPr>
      <t>雑排水等利用率</t>
    </r>
    <rPh sb="9" eb="10">
      <t>トウ</t>
    </rPh>
    <rPh sb="11" eb="12">
      <t>ヨウ</t>
    </rPh>
    <rPh sb="12" eb="13">
      <t>リツ</t>
    </rPh>
    <phoneticPr fontId="21"/>
  </si>
  <si>
    <r>
      <t xml:space="preserve">1.2.1 </t>
    </r>
    <r>
      <rPr>
        <b/>
        <sz val="10"/>
        <rFont val="ＭＳ Ｐゴシック"/>
        <family val="3"/>
        <charset val="128"/>
      </rPr>
      <t>雨水利用率</t>
    </r>
    <rPh sb="10" eb="11">
      <t>リツ</t>
    </rPh>
    <phoneticPr fontId="21"/>
  </si>
  <si>
    <t>従来敷地に建っていた建物の躯体等が再利用されていない。</t>
    <rPh sb="15" eb="16">
      <t>トウ</t>
    </rPh>
    <phoneticPr fontId="21"/>
  </si>
  <si>
    <t>従来敷地に建っていた建物の躯体等が再利用されている。</t>
    <rPh sb="15" eb="16">
      <t>トウ</t>
    </rPh>
    <phoneticPr fontId="21"/>
  </si>
  <si>
    <t>持続可能な森林から産出された木材を床または壁の内装材に使用している。又は、木造建築で持続可能な森林から産出された木材を使用していることが確認できない場合。</t>
    <phoneticPr fontId="21"/>
  </si>
  <si>
    <t>持続可能な森林から産出された木材を床および壁の内装材に使用している。</t>
    <phoneticPr fontId="21"/>
  </si>
  <si>
    <t>持床、壁の内装材に加えほかの部分（天井、構造体等）に持続可能な森林から産出された木材を使用している。</t>
    <phoneticPr fontId="21"/>
  </si>
  <si>
    <t>耐火・耐熱・防音材</t>
    <phoneticPr fontId="21"/>
  </si>
  <si>
    <t>鉄骨周りの耐火被覆など</t>
    <phoneticPr fontId="21"/>
  </si>
  <si>
    <t>-</t>
    <phoneticPr fontId="21"/>
  </si>
  <si>
    <t>現在断熱材等に使用されている発泡剤の種類が特定できる、かつODP=0.01以上の発泡剤を断熱材等に使用していない場合。あるいは発泡剤を用いた断熱材等を使用していないことが把握できる場合。</t>
    <phoneticPr fontId="21"/>
  </si>
  <si>
    <t>現在断熱材等に使用されている発泡剤の種類が特定できる。</t>
    <phoneticPr fontId="21"/>
  </si>
  <si>
    <t>ODP＝0.01未満の発泡剤を用いた現在断熱材等をに使用してされている。発泡剤の種類が把握できない。</t>
    <phoneticPr fontId="21"/>
  </si>
  <si>
    <t>①現地の風向や風速、温熱環境などを継続的に調査し、経年的な変化を把握している。（2ポイント）</t>
    <phoneticPr fontId="21"/>
  </si>
  <si>
    <t>1)地域の温熱環境状況に関する継続的な調査の実施</t>
    <phoneticPr fontId="21"/>
  </si>
  <si>
    <t>I温熱環境の調査</t>
    <phoneticPr fontId="21"/>
  </si>
  <si>
    <t>指導される規模に満たない流出抑制対策である。</t>
    <phoneticPr fontId="21"/>
  </si>
  <si>
    <t>指導される規模の流出抑制対策を実施している。</t>
    <phoneticPr fontId="21"/>
  </si>
  <si>
    <t>指導される規模を満たしており、かつそれ以上の雨水処理対策を実施している。</t>
    <rPh sb="20" eb="21">
      <t>ウエ</t>
    </rPh>
    <phoneticPr fontId="21"/>
  </si>
  <si>
    <t>水質汚濁防止法あるいは下水道法、または地方公共団体で定める排出基準を満たしていない。</t>
    <phoneticPr fontId="21"/>
  </si>
  <si>
    <t>事・学・物・飲・会・病・ホ・工</t>
    <rPh sb="0" eb="1">
      <t>コト</t>
    </rPh>
    <rPh sb="2" eb="3">
      <t>ガク</t>
    </rPh>
    <rPh sb="4" eb="5">
      <t>モノ</t>
    </rPh>
    <rPh sb="6" eb="7">
      <t>イン</t>
    </rPh>
    <rPh sb="8" eb="9">
      <t>カイ</t>
    </rPh>
    <rPh sb="10" eb="11">
      <t>ヤマイ</t>
    </rPh>
    <phoneticPr fontId="21"/>
  </si>
  <si>
    <t>2)室内および室外にゴミの多種分別回収が可能なストックスペースを有している場合</t>
    <rPh sb="32" eb="33">
      <t>ユウ</t>
    </rPh>
    <phoneticPr fontId="21"/>
  </si>
  <si>
    <t>4)有価物の計画的な回収を実施している場合（集団回収など）</t>
    <rPh sb="13" eb="15">
      <t>ジッシ</t>
    </rPh>
    <phoneticPr fontId="21"/>
  </si>
  <si>
    <t>6)生ゴミの減容化・減量化、堆肥化対策を計画している場合（ディスポーザー、生ゴミの自家処理・コンポスト化、バイオマス利用など）</t>
    <rPh sb="58" eb="60">
      <t>リヨウ</t>
    </rPh>
    <phoneticPr fontId="21"/>
  </si>
  <si>
    <t>I ゴミの種類や量の推計</t>
    <phoneticPr fontId="21"/>
  </si>
  <si>
    <t>1)ゴミ処理負荷低減対策の計画のために、敷地内（室内・室外）から日常的に発生するゴミの種類や量を計測している場合。</t>
    <phoneticPr fontId="21"/>
  </si>
  <si>
    <t>II 分別回収を推進するための空間整備や設備の設置</t>
    <phoneticPr fontId="21"/>
  </si>
  <si>
    <t>3)室内や室外にゴミの分別回収容器・ボックスを設置している</t>
    <phoneticPr fontId="21"/>
  </si>
  <si>
    <t>1～2</t>
    <phoneticPr fontId="21"/>
  </si>
  <si>
    <t>III ゴミの減容化・減量化、あるいは堆肥化するための設備の設置</t>
    <phoneticPr fontId="21"/>
  </si>
  <si>
    <t>7)ビン・缶類などの減容化・減量化対策を計画している場合</t>
    <phoneticPr fontId="21"/>
  </si>
  <si>
    <t>レベル４を満たさない</t>
    <phoneticPr fontId="21"/>
  </si>
  <si>
    <t>生物環境の保全に関して十分配慮されており、充実した取り組みが行われている。(評価ポイント12以上）</t>
    <phoneticPr fontId="21"/>
  </si>
  <si>
    <t>生物環境の保全に関して配慮されており、比較的多くの取り組みが行われている。(評価ポイント9～11)</t>
    <phoneticPr fontId="21"/>
  </si>
  <si>
    <t>生物環境の保全に関して配慮されており、標準的な取り組みが行われている。(評価ポイント6～8)</t>
    <phoneticPr fontId="21"/>
  </si>
  <si>
    <t>生物環境の保全に関して配慮に欠け、取り組みが不十分である。(評価ポイント0～2)</t>
    <rPh sb="2" eb="4">
      <t>カンキョウ</t>
    </rPh>
    <phoneticPr fontId="21"/>
  </si>
  <si>
    <t>生物環境の保全に関して配慮されているが、取り組みが十分とはいえない。(評価ポイント3～5)</t>
    <phoneticPr fontId="21"/>
  </si>
  <si>
    <t>地域性・アメニティへの配慮に関して取組みが十分とはいえない。(評価ポイント1～2)</t>
    <phoneticPr fontId="21"/>
  </si>
  <si>
    <t>地域性・アメニティへの配慮に関して標準的な取組みが行われている。(評価ポイント3～4)</t>
    <phoneticPr fontId="21"/>
  </si>
  <si>
    <t>地域性・アメニティへの配慮に関して比較的多くの取組みが行われている。(評価ポイント5)</t>
    <phoneticPr fontId="21"/>
  </si>
  <si>
    <t>地域性・アメニティへの配慮に関して充実した取組みが行われている。(評価ポイント6以上）</t>
    <phoneticPr fontId="21"/>
  </si>
  <si>
    <t>集合住宅以外の評価(3.1a. 3.1b)</t>
    <rPh sb="0" eb="2">
      <t>シュウゴウ</t>
    </rPh>
    <rPh sb="2" eb="4">
      <t>ジュウタク</t>
    </rPh>
    <rPh sb="4" eb="6">
      <t>イガイ</t>
    </rPh>
    <rPh sb="7" eb="9">
      <t>ヒョウカ</t>
    </rPh>
    <phoneticPr fontId="21"/>
  </si>
  <si>
    <t>集合住宅の評価(3.1c)</t>
    <rPh sb="0" eb="2">
      <t>シュウゴウ</t>
    </rPh>
    <rPh sb="2" eb="4">
      <t>ジュウタク</t>
    </rPh>
    <rPh sb="5" eb="7">
      <t>ヒョウカ</t>
    </rPh>
    <phoneticPr fontId="21"/>
  </si>
  <si>
    <t>実績値を用いた総合評価</t>
  </si>
  <si>
    <t>実績値を用いた総合評価</t>
    <phoneticPr fontId="21"/>
  </si>
  <si>
    <t>LR1 3.1</t>
    <phoneticPr fontId="21"/>
  </si>
  <si>
    <t>LR1 3.1</t>
    <phoneticPr fontId="21"/>
  </si>
  <si>
    <t>LR1 3.2</t>
    <phoneticPr fontId="21"/>
  </si>
  <si>
    <t>[3.1a、3.1bによる設備システムの高効率化のスコア]が2.0点未満</t>
  </si>
  <si>
    <t>[3,1a、3.1bによる設備システムの高効率化のスコア]が2.0点以上</t>
  </si>
  <si>
    <t>スコア-1.0</t>
  </si>
  <si>
    <t>1.0以上1.5未満</t>
  </si>
  <si>
    <t>1.5以上2.0未満</t>
  </si>
  <si>
    <t>2.0以上2.5未満</t>
  </si>
  <si>
    <t>2.5以上3.0未満</t>
  </si>
  <si>
    <t>3.0以上3.5未満</t>
  </si>
  <si>
    <t>3.5以上4.0未満</t>
  </si>
  <si>
    <t>加点あり</t>
    <rPh sb="0" eb="2">
      <t>カテン</t>
    </rPh>
    <phoneticPr fontId="21"/>
  </si>
  <si>
    <t>（１）によるスコア</t>
    <phoneticPr fontId="21"/>
  </si>
  <si>
    <t>減点あり</t>
    <rPh sb="0" eb="2">
      <t>ゲンテン</t>
    </rPh>
    <phoneticPr fontId="21"/>
  </si>
  <si>
    <t>上下なし</t>
    <rPh sb="0" eb="2">
      <t>ジョウゲ</t>
    </rPh>
    <phoneticPr fontId="21"/>
  </si>
  <si>
    <t>ﾃﾞﾊﾟｰﾄ･ｽｰﾊﾟｰ</t>
  </si>
  <si>
    <r>
      <t>3.1</t>
    </r>
    <r>
      <rPr>
        <b/>
        <sz val="12"/>
        <rFont val="ＭＳ Ｐゴシック"/>
        <family val="3"/>
        <charset val="128"/>
      </rPr>
      <t>　設計仕様に基づく評価</t>
    </r>
    <phoneticPr fontId="21"/>
  </si>
  <si>
    <r>
      <t>3.2</t>
    </r>
    <r>
      <rPr>
        <b/>
        <sz val="12"/>
        <rFont val="ＭＳ Ｐゴシック"/>
        <family val="3"/>
        <charset val="128"/>
      </rPr>
      <t>　実績値を用いた総合評価</t>
    </r>
    <phoneticPr fontId="21"/>
  </si>
  <si>
    <t>工場</t>
    <rPh sb="0" eb="2">
      <t>コウジョウ</t>
    </rPh>
    <phoneticPr fontId="21"/>
  </si>
  <si>
    <t>厨房</t>
    <rPh sb="0" eb="2">
      <t>チュウボウ</t>
    </rPh>
    <phoneticPr fontId="21"/>
  </si>
  <si>
    <t>その他</t>
    <rPh sb="2" eb="3">
      <t>ホカ</t>
    </rPh>
    <phoneticPr fontId="4"/>
  </si>
  <si>
    <t>評価建物</t>
    <rPh sb="0" eb="2">
      <t>ヒョウカ</t>
    </rPh>
    <rPh sb="2" eb="4">
      <t>タテモノ</t>
    </rPh>
    <phoneticPr fontId="21"/>
  </si>
  <si>
    <t>BEI＊</t>
    <phoneticPr fontId="21"/>
  </si>
  <si>
    <t>加点有無</t>
    <rPh sb="0" eb="2">
      <t>カテン</t>
    </rPh>
    <rPh sb="2" eb="4">
      <t>ウム</t>
    </rPh>
    <phoneticPr fontId="21"/>
  </si>
  <si>
    <t>※備考；　非住宅部分の延床面積</t>
    <rPh sb="1" eb="3">
      <t>ビコウ</t>
    </rPh>
    <rPh sb="5" eb="6">
      <t>ヒ</t>
    </rPh>
    <rPh sb="6" eb="8">
      <t>ジュウタク</t>
    </rPh>
    <rPh sb="8" eb="10">
      <t>ブブン</t>
    </rPh>
    <phoneticPr fontId="21"/>
  </si>
  <si>
    <t>換算係数(参照値)</t>
    <rPh sb="0" eb="2">
      <t>カンサン</t>
    </rPh>
    <rPh sb="2" eb="4">
      <t>ケイスウ</t>
    </rPh>
    <rPh sb="5" eb="7">
      <t>サンショウ</t>
    </rPh>
    <rPh sb="7" eb="8">
      <t>チ</t>
    </rPh>
    <phoneticPr fontId="23"/>
  </si>
  <si>
    <t>㎡</t>
    <phoneticPr fontId="21"/>
  </si>
  <si>
    <t>ホルムアルデヒド濃度が100μg/m3以下。
かつ、トルエン濃度が260μg/m3以下。</t>
    <phoneticPr fontId="21"/>
  </si>
  <si>
    <t>　※運用CO2算定のための入力項目</t>
    <rPh sb="2" eb="4">
      <t>ウンヨウ</t>
    </rPh>
    <rPh sb="7" eb="9">
      <t>サンテイ</t>
    </rPh>
    <rPh sb="13" eb="15">
      <t>ニュウリョク</t>
    </rPh>
    <rPh sb="15" eb="17">
      <t>コウモク</t>
    </rPh>
    <phoneticPr fontId="21"/>
  </si>
  <si>
    <t>①非住宅部分全体（集合住宅除く）</t>
    <rPh sb="1" eb="2">
      <t>ヒ</t>
    </rPh>
    <rPh sb="2" eb="4">
      <t>ジュウタク</t>
    </rPh>
    <rPh sb="4" eb="6">
      <t>ブブン</t>
    </rPh>
    <rPh sb="6" eb="8">
      <t>ゼンタイ</t>
    </rPh>
    <rPh sb="9" eb="11">
      <t>シュウゴウ</t>
    </rPh>
    <rPh sb="11" eb="13">
      <t>ジュウタク</t>
    </rPh>
    <rPh sb="13" eb="14">
      <t>ノゾ</t>
    </rPh>
    <phoneticPr fontId="21"/>
  </si>
  <si>
    <t>1)　建物全体のエネルギー消費量実績の入力</t>
    <rPh sb="3" eb="5">
      <t>タテモノ</t>
    </rPh>
    <rPh sb="5" eb="7">
      <t>ゼンタイ</t>
    </rPh>
    <rPh sb="13" eb="15">
      <t>ショウヒ</t>
    </rPh>
    <rPh sb="15" eb="16">
      <t>リョウ</t>
    </rPh>
    <rPh sb="16" eb="18">
      <t>ジッセキ</t>
    </rPh>
    <rPh sb="19" eb="21">
      <t>ニュウリョク</t>
    </rPh>
    <phoneticPr fontId="21"/>
  </si>
  <si>
    <t>③評価対象となる建物のエネルギー種別一次エネルギー構成比率（集合住宅除く）※</t>
    <rPh sb="1" eb="3">
      <t>ヒョウカ</t>
    </rPh>
    <rPh sb="3" eb="5">
      <t>タイショウ</t>
    </rPh>
    <rPh sb="8" eb="10">
      <t>タテモノ</t>
    </rPh>
    <rPh sb="16" eb="18">
      <t>シュベツ</t>
    </rPh>
    <rPh sb="18" eb="20">
      <t>イチジ</t>
    </rPh>
    <rPh sb="25" eb="27">
      <t>コウセイ</t>
    </rPh>
    <rPh sb="27" eb="29">
      <t>ヒリツ</t>
    </rPh>
    <rPh sb="30" eb="32">
      <t>シュウゴウ</t>
    </rPh>
    <rPh sb="32" eb="34">
      <t>ジュウタク</t>
    </rPh>
    <rPh sb="34" eb="35">
      <t>ノゾ</t>
    </rPh>
    <phoneticPr fontId="21"/>
  </si>
  <si>
    <t>全体</t>
    <phoneticPr fontId="21"/>
  </si>
  <si>
    <t>-</t>
    <phoneticPr fontId="21"/>
  </si>
  <si>
    <t>エネルギー消費量の実績値（工場用途は照明と給湯分）</t>
    <rPh sb="5" eb="8">
      <t>ショウヒリョウ</t>
    </rPh>
    <rPh sb="9" eb="11">
      <t>ジッセキ</t>
    </rPh>
    <rPh sb="11" eb="12">
      <t>チ</t>
    </rPh>
    <rPh sb="13" eb="15">
      <t>コウジョウ</t>
    </rPh>
    <rPh sb="15" eb="17">
      <t>ヨウト</t>
    </rPh>
    <rPh sb="18" eb="20">
      <t>ショウメイ</t>
    </rPh>
    <rPh sb="21" eb="23">
      <t>キュウトウ</t>
    </rPh>
    <rPh sb="23" eb="24">
      <t>ブン</t>
    </rPh>
    <phoneticPr fontId="21"/>
  </si>
  <si>
    <t>評価建物のLR1の取り組みによる省エネルギー量から推計</t>
    <rPh sb="0" eb="2">
      <t>ヒョウカ</t>
    </rPh>
    <rPh sb="2" eb="4">
      <t>タテモノ</t>
    </rPh>
    <rPh sb="9" eb="10">
      <t>ト</t>
    </rPh>
    <rPh sb="11" eb="12">
      <t>ク</t>
    </rPh>
    <rPh sb="16" eb="17">
      <t>ショウ</t>
    </rPh>
    <rPh sb="22" eb="23">
      <t>リョウ</t>
    </rPh>
    <rPh sb="23" eb="24">
      <t>スイリョウ</t>
    </rPh>
    <rPh sb="25" eb="27">
      <t>スイケイ</t>
    </rPh>
    <phoneticPr fontId="21"/>
  </si>
  <si>
    <r>
      <t>kg-CO</t>
    </r>
    <r>
      <rPr>
        <vertAlign val="subscript"/>
        <sz val="10"/>
        <rFont val="ＭＳ Ｐゴシック"/>
        <family val="3"/>
        <charset val="128"/>
      </rPr>
      <t>2</t>
    </r>
    <r>
      <rPr>
        <sz val="10"/>
        <rFont val="ＭＳ Ｐゴシック"/>
        <family val="3"/>
        <charset val="128"/>
      </rPr>
      <t>/m</t>
    </r>
    <r>
      <rPr>
        <vertAlign val="superscript"/>
        <sz val="10"/>
        <rFont val="ＭＳ Ｐゴシック"/>
        <family val="3"/>
        <charset val="128"/>
      </rPr>
      <t>3</t>
    </r>
    <phoneticPr fontId="21"/>
  </si>
  <si>
    <r>
      <t>kg-CO</t>
    </r>
    <r>
      <rPr>
        <vertAlign val="subscript"/>
        <sz val="10"/>
        <rFont val="ＭＳ Ｐゴシック"/>
        <family val="3"/>
        <charset val="128"/>
      </rPr>
      <t>2</t>
    </r>
    <r>
      <rPr>
        <sz val="10"/>
        <rFont val="ＭＳ Ｐゴシック"/>
        <family val="3"/>
        <charset val="128"/>
      </rPr>
      <t>/kg</t>
    </r>
    <phoneticPr fontId="21"/>
  </si>
  <si>
    <r>
      <t>kg-CO</t>
    </r>
    <r>
      <rPr>
        <vertAlign val="subscript"/>
        <sz val="10"/>
        <rFont val="ＭＳ Ｐゴシック"/>
        <family val="3"/>
        <charset val="128"/>
      </rPr>
      <t>2</t>
    </r>
    <r>
      <rPr>
        <sz val="10"/>
        <rFont val="ＭＳ Ｐゴシック"/>
        <family val="3"/>
        <charset val="128"/>
      </rPr>
      <t>/ｔ</t>
    </r>
    <phoneticPr fontId="21"/>
  </si>
  <si>
    <r>
      <t>kg-CO</t>
    </r>
    <r>
      <rPr>
        <vertAlign val="subscript"/>
        <sz val="10"/>
        <rFont val="ＭＳ Ｐゴシック"/>
        <family val="3"/>
        <charset val="128"/>
      </rPr>
      <t>2</t>
    </r>
    <r>
      <rPr>
        <sz val="10"/>
        <rFont val="ＭＳ Ｐゴシック"/>
        <family val="3"/>
        <charset val="128"/>
      </rPr>
      <t>/㎡</t>
    </r>
    <phoneticPr fontId="21"/>
  </si>
  <si>
    <t>○○</t>
    <phoneticPr fontId="21"/>
  </si>
  <si>
    <r>
      <t>kg-CO</t>
    </r>
    <r>
      <rPr>
        <vertAlign val="subscript"/>
        <sz val="10"/>
        <rFont val="ＭＳ Ｐゴシック"/>
        <family val="3"/>
        <charset val="128"/>
      </rPr>
      <t>2</t>
    </r>
    <r>
      <rPr>
        <sz val="10"/>
        <rFont val="ＭＳ Ｐゴシック"/>
        <family val="3"/>
        <charset val="128"/>
      </rPr>
      <t>/kg</t>
    </r>
    <phoneticPr fontId="21"/>
  </si>
  <si>
    <r>
      <t>kg-CO</t>
    </r>
    <r>
      <rPr>
        <vertAlign val="subscript"/>
        <sz val="10"/>
        <rFont val="ＭＳ Ｐゴシック"/>
        <family val="3"/>
        <charset val="128"/>
      </rPr>
      <t>2</t>
    </r>
    <r>
      <rPr>
        <sz val="10"/>
        <rFont val="ＭＳ Ｐゴシック"/>
        <family val="3"/>
        <charset val="128"/>
      </rPr>
      <t>/m</t>
    </r>
    <r>
      <rPr>
        <vertAlign val="superscript"/>
        <sz val="10"/>
        <rFont val="ＭＳ Ｐゴシック"/>
        <family val="3"/>
        <charset val="128"/>
      </rPr>
      <t>3</t>
    </r>
    <phoneticPr fontId="21"/>
  </si>
  <si>
    <r>
      <t>kg-CO</t>
    </r>
    <r>
      <rPr>
        <vertAlign val="subscript"/>
        <sz val="10"/>
        <rFont val="ＭＳ Ｐゴシック"/>
        <family val="3"/>
        <charset val="128"/>
      </rPr>
      <t>2</t>
    </r>
    <r>
      <rPr>
        <sz val="10"/>
        <rFont val="ＭＳ Ｐゴシック"/>
        <family val="3"/>
        <charset val="128"/>
      </rPr>
      <t>/kg</t>
    </r>
    <phoneticPr fontId="21"/>
  </si>
  <si>
    <t>既存</t>
    <rPh sb="0" eb="2">
      <t>キゾン</t>
    </rPh>
    <phoneticPr fontId="21"/>
  </si>
  <si>
    <t>㎡ うち省エネ計画書対象面積</t>
    <rPh sb="4" eb="5">
      <t>ショウ</t>
    </rPh>
    <rPh sb="7" eb="10">
      <t>ケイカクショ</t>
    </rPh>
    <rPh sb="10" eb="12">
      <t>タイショウ</t>
    </rPh>
    <rPh sb="12" eb="14">
      <t>メンセキ</t>
    </rPh>
    <phoneticPr fontId="21"/>
  </si>
  <si>
    <t>㎡</t>
    <phoneticPr fontId="21"/>
  </si>
  <si>
    <t>工場の生産エリアへの利用量は、</t>
    <rPh sb="0" eb="2">
      <t>コウジョウ</t>
    </rPh>
    <phoneticPr fontId="21"/>
  </si>
  <si>
    <t>評価しない。</t>
    <rPh sb="0" eb="2">
      <t>ヒョウカ</t>
    </rPh>
    <phoneticPr fontId="21"/>
  </si>
  <si>
    <t>生産エリアのみの工場は対象外とする。</t>
    <rPh sb="0" eb="2">
      <t>セイサン</t>
    </rPh>
    <rPh sb="8" eb="10">
      <t>コウジョウ</t>
    </rPh>
    <rPh sb="11" eb="14">
      <t>タイショウガイ</t>
    </rPh>
    <phoneticPr fontId="21"/>
  </si>
  <si>
    <t>（評価する取組み欄で「対象外」を選択）</t>
    <rPh sb="1" eb="3">
      <t>ヒョウカ</t>
    </rPh>
    <rPh sb="5" eb="7">
      <t>トリクミ</t>
    </rPh>
    <rPh sb="8" eb="9">
      <t>ラン</t>
    </rPh>
    <rPh sb="11" eb="14">
      <t>タイショウガイ</t>
    </rPh>
    <rPh sb="16" eb="18">
      <t>センタク</t>
    </rPh>
    <phoneticPr fontId="21"/>
  </si>
  <si>
    <t>←対象外の場合に選択</t>
    <rPh sb="1" eb="4">
      <t>タイショウガイ</t>
    </rPh>
    <rPh sb="5" eb="7">
      <t>バアイ</t>
    </rPh>
    <rPh sb="8" eb="10">
      <t>センタク</t>
    </rPh>
    <phoneticPr fontId="21"/>
  </si>
  <si>
    <t>LCCO2用床面積</t>
    <rPh sb="5" eb="6">
      <t>ヨウ</t>
    </rPh>
    <rPh sb="6" eb="9">
      <t>ユカメンセキ</t>
    </rPh>
    <phoneticPr fontId="21"/>
  </si>
  <si>
    <t>②工場部分（省エネルギー計算対象部分）※</t>
    <rPh sb="1" eb="3">
      <t>コウジョウ</t>
    </rPh>
    <rPh sb="3" eb="5">
      <t>ブブン</t>
    </rPh>
    <rPh sb="6" eb="7">
      <t>ショウ</t>
    </rPh>
    <rPh sb="12" eb="14">
      <t>ケイサン</t>
    </rPh>
    <rPh sb="14" eb="16">
      <t>タイショウ</t>
    </rPh>
    <rPh sb="16" eb="18">
      <t>ブブン</t>
    </rPh>
    <phoneticPr fontId="21"/>
  </si>
  <si>
    <t>※備考；　省エネルギー計算対象の工場用途面積</t>
    <rPh sb="1" eb="3">
      <t>ビコウ</t>
    </rPh>
    <rPh sb="5" eb="6">
      <t>ショウ</t>
    </rPh>
    <rPh sb="11" eb="13">
      <t>ケイサン</t>
    </rPh>
    <rPh sb="13" eb="15">
      <t>タイショウ</t>
    </rPh>
    <rPh sb="16" eb="18">
      <t>コウジョウ</t>
    </rPh>
    <rPh sb="18" eb="20">
      <t>ヨウト</t>
    </rPh>
    <rPh sb="20" eb="22">
      <t>メンセキ</t>
    </rPh>
    <phoneticPr fontId="21"/>
  </si>
  <si>
    <t>3)　実績評価の対象となるエネルギー消費量</t>
    <rPh sb="3" eb="5">
      <t>ジッセキ</t>
    </rPh>
    <rPh sb="5" eb="7">
      <t>ヒョウカ</t>
    </rPh>
    <rPh sb="8" eb="10">
      <t>タイショウ</t>
    </rPh>
    <rPh sb="18" eb="21">
      <t>ショウヒリョウ</t>
    </rPh>
    <phoneticPr fontId="21"/>
  </si>
  <si>
    <t>除外部分の床面積(㎡)</t>
    <rPh sb="0" eb="2">
      <t>ジョガイ</t>
    </rPh>
    <rPh sb="2" eb="4">
      <t>ブブン</t>
    </rPh>
    <rPh sb="5" eb="6">
      <t>ユカ</t>
    </rPh>
    <rPh sb="6" eb="8">
      <t>メンセキ</t>
    </rPh>
    <phoneticPr fontId="21"/>
  </si>
  <si>
    <t>■建設地・地域区分</t>
    <rPh sb="1" eb="4">
      <t>ｹﾝｾﾂﾁ</t>
    </rPh>
    <rPh sb="5" eb="7">
      <t>ちいき</t>
    </rPh>
    <rPh sb="7" eb="9">
      <t>ｸﾌﾞﾝ</t>
    </rPh>
    <phoneticPr fontId="34" type="noConversion"/>
  </si>
  <si>
    <t>dB(A)</t>
    <phoneticPr fontId="21"/>
  </si>
  <si>
    <t>-</t>
    <phoneticPr fontId="21"/>
  </si>
  <si>
    <t>-</t>
    <phoneticPr fontId="21"/>
  </si>
  <si>
    <t>地域区分</t>
    <rPh sb="0" eb="2">
      <t>チイキ</t>
    </rPh>
    <phoneticPr fontId="21"/>
  </si>
  <si>
    <t>学(大学等)・
会(図)・病(診)</t>
    <rPh sb="8" eb="9">
      <t>カイ</t>
    </rPh>
    <rPh sb="10" eb="11">
      <t>ズ</t>
    </rPh>
    <rPh sb="13" eb="14">
      <t>ビョウ</t>
    </rPh>
    <rPh sb="15" eb="16">
      <t>ミ</t>
    </rPh>
    <phoneticPr fontId="21"/>
  </si>
  <si>
    <t>物・飲</t>
  </si>
  <si>
    <t>会(その他)</t>
    <rPh sb="4" eb="5">
      <t>ホカ</t>
    </rPh>
    <phoneticPr fontId="21"/>
  </si>
  <si>
    <t>事・会(図)</t>
    <rPh sb="2" eb="3">
      <t>カイ</t>
    </rPh>
    <rPh sb="4" eb="5">
      <t>ズ</t>
    </rPh>
    <phoneticPr fontId="21"/>
  </si>
  <si>
    <t>学(大学等)</t>
  </si>
  <si>
    <t>物・飲・会(その他)</t>
    <rPh sb="8" eb="9">
      <t>ホカ</t>
    </rPh>
    <phoneticPr fontId="21"/>
  </si>
  <si>
    <t>事・会(図)・病・ホ・工</t>
    <rPh sb="2" eb="3">
      <t>カイ</t>
    </rPh>
    <rPh sb="4" eb="5">
      <t>ズ</t>
    </rPh>
    <rPh sb="11" eb="12">
      <t>コウ</t>
    </rPh>
    <phoneticPr fontId="21"/>
  </si>
  <si>
    <t>物・飲・会(その他)</t>
    <rPh sb="0" eb="1">
      <t>ブツ</t>
    </rPh>
    <rPh sb="2" eb="3">
      <t>イン</t>
    </rPh>
    <rPh sb="4" eb="5">
      <t>カイ</t>
    </rPh>
    <rPh sb="8" eb="9">
      <t>ホカ</t>
    </rPh>
    <phoneticPr fontId="21"/>
  </si>
  <si>
    <t>会（その他）において、博物館・展示施設は評価対象外</t>
    <phoneticPr fontId="21"/>
  </si>
  <si>
    <t>会（その他）において、博物館・展示施設は評価対象外</t>
    <phoneticPr fontId="21"/>
  </si>
  <si>
    <t>事・学・会(図)・病・ホ・工・住</t>
    <rPh sb="4" eb="5">
      <t>カイ</t>
    </rPh>
    <rPh sb="6" eb="7">
      <t>ズ</t>
    </rPh>
    <rPh sb="15" eb="16">
      <t>ジュウ</t>
    </rPh>
    <phoneticPr fontId="21"/>
  </si>
  <si>
    <t>物・飲・会(図)・病・ホ・住</t>
    <rPh sb="2" eb="3">
      <t>イン</t>
    </rPh>
    <rPh sb="4" eb="5">
      <t>カイ</t>
    </rPh>
    <rPh sb="6" eb="7">
      <t>ズ</t>
    </rPh>
    <rPh sb="9" eb="10">
      <t>ビョウ</t>
    </rPh>
    <rPh sb="13" eb="14">
      <t>ジュウ</t>
    </rPh>
    <phoneticPr fontId="21"/>
  </si>
  <si>
    <t>事・病(診)・会(図)・工</t>
    <rPh sb="4" eb="5">
      <t>ミ</t>
    </rPh>
    <rPh sb="7" eb="8">
      <t>カイ</t>
    </rPh>
    <rPh sb="9" eb="10">
      <t>ズ</t>
    </rPh>
    <rPh sb="12" eb="13">
      <t>コウ</t>
    </rPh>
    <phoneticPr fontId="21"/>
  </si>
  <si>
    <t>事・学(大学等)・会(その他)・物・病・ホ・工・住</t>
    <rPh sb="2" eb="3">
      <t>ガク</t>
    </rPh>
    <rPh sb="9" eb="10">
      <t>カイ</t>
    </rPh>
    <rPh sb="13" eb="14">
      <t>ホカ</t>
    </rPh>
    <rPh sb="16" eb="17">
      <t>ブツ</t>
    </rPh>
    <rPh sb="24" eb="25">
      <t>ジュウ</t>
    </rPh>
    <phoneticPr fontId="21"/>
  </si>
  <si>
    <t>明るさや学習形態に応じた制御区画であり、在室者自らが点灯・消灯によって制御できる</t>
    <phoneticPr fontId="21"/>
  </si>
  <si>
    <t>会(その他)では博物館・展示施設のみを評価対象とする。博物館・展示施設は展示室のみを評価する。</t>
    <phoneticPr fontId="21"/>
  </si>
  <si>
    <t>事・学(大学)・会(図)・工</t>
    <rPh sb="0" eb="1">
      <t>コト</t>
    </rPh>
    <rPh sb="2" eb="3">
      <t>ガク</t>
    </rPh>
    <rPh sb="4" eb="6">
      <t>ダイガク</t>
    </rPh>
    <rPh sb="8" eb="9">
      <t>カイ</t>
    </rPh>
    <rPh sb="10" eb="11">
      <t>ズ</t>
    </rPh>
    <rPh sb="13" eb="14">
      <t>コウ</t>
    </rPh>
    <phoneticPr fontId="21"/>
  </si>
  <si>
    <t xml:space="preserve"> 事務所、庁舎、郵便局 など</t>
    <rPh sb="1" eb="3">
      <t>ジム</t>
    </rPh>
    <rPh sb="3" eb="4">
      <t>ショ</t>
    </rPh>
    <rPh sb="5" eb="7">
      <t>チョウシャ</t>
    </rPh>
    <rPh sb="8" eb="11">
      <t>ユウビンキョク</t>
    </rPh>
    <phoneticPr fontId="21"/>
  </si>
  <si>
    <t xml:space="preserve"> 公会堂、集会場、図書館、博物館、ボーリング場、体育館、劇場、映画館、展示施設 など</t>
    <rPh sb="1" eb="4">
      <t>コウカイドウ</t>
    </rPh>
    <rPh sb="5" eb="8">
      <t>シュウカイジョウ</t>
    </rPh>
    <rPh sb="22" eb="23">
      <t>ジョウ</t>
    </rPh>
    <rPh sb="24" eb="27">
      <t>タイイクカン</t>
    </rPh>
    <rPh sb="28" eb="30">
      <t>ゲキジョウ</t>
    </rPh>
    <rPh sb="31" eb="34">
      <t>エイガカン</t>
    </rPh>
    <rPh sb="35" eb="37">
      <t>テンジ</t>
    </rPh>
    <rPh sb="37" eb="39">
      <t>シセツ</t>
    </rPh>
    <phoneticPr fontId="21"/>
  </si>
  <si>
    <t>外壁、窓等を通しての熱の損失の防止に関する事項</t>
    <rPh sb="0" eb="2">
      <t>ガイヘキ</t>
    </rPh>
    <rPh sb="3" eb="4">
      <t>マド</t>
    </rPh>
    <rPh sb="4" eb="5">
      <t>トウ</t>
    </rPh>
    <rPh sb="6" eb="7">
      <t>トオ</t>
    </rPh>
    <rPh sb="10" eb="11">
      <t>ネツ</t>
    </rPh>
    <rPh sb="12" eb="14">
      <t>ソンシツ</t>
    </rPh>
    <rPh sb="15" eb="17">
      <t>ボウシ</t>
    </rPh>
    <rPh sb="18" eb="19">
      <t>カン</t>
    </rPh>
    <rPh sb="21" eb="23">
      <t>ジコウ</t>
    </rPh>
    <phoneticPr fontId="21"/>
  </si>
  <si>
    <t xml:space="preserve">[BPI][BPIm] = </t>
    <phoneticPr fontId="21"/>
  </si>
  <si>
    <t>＜１～７地域＞</t>
    <rPh sb="4" eb="6">
      <t>チイキ</t>
    </rPh>
    <phoneticPr fontId="21"/>
  </si>
  <si>
    <t>８地域</t>
    <phoneticPr fontId="21"/>
  </si>
  <si>
    <t>＜８地域＞</t>
    <phoneticPr fontId="21"/>
  </si>
  <si>
    <t>住宅部分</t>
    <rPh sb="0" eb="2">
      <t>ジュウタク</t>
    </rPh>
    <rPh sb="2" eb="4">
      <t>ブブン</t>
    </rPh>
    <phoneticPr fontId="21"/>
  </si>
  <si>
    <t>相当　※1、2</t>
    <rPh sb="0" eb="2">
      <t>ソウトウ</t>
    </rPh>
    <phoneticPr fontId="21"/>
  </si>
  <si>
    <t>※1</t>
    <phoneticPr fontId="21"/>
  </si>
  <si>
    <t>各住戸の相当する等級が異なる場合には、住戸毎に評価を行い、算定されたレベルを住戸数で加重平均し、四捨五入で最も近いレベルを選択する。ただし、レベル5の「等級4を超える水準」については、各住戸の平均外皮性能値に基づき評価するため、加重平均を行う必要はない。</t>
    <phoneticPr fontId="21"/>
  </si>
  <si>
    <t>※2</t>
    <phoneticPr fontId="21"/>
  </si>
  <si>
    <t>等級４を超える水準</t>
    <rPh sb="0" eb="2">
      <t>トウキュウ</t>
    </rPh>
    <rPh sb="4" eb="5">
      <t>コ</t>
    </rPh>
    <rPh sb="7" eb="9">
      <t>スイジュン</t>
    </rPh>
    <phoneticPr fontId="21"/>
  </si>
  <si>
    <t>等級4を超える</t>
    <rPh sb="0" eb="2">
      <t>トウキュウ</t>
    </rPh>
    <rPh sb="4" eb="5">
      <t>コ</t>
    </rPh>
    <phoneticPr fontId="21"/>
  </si>
  <si>
    <t>各住戸のUA値について①又は②の基準を満たし、且つ、ηAC値について等級4相当を満たすこと。
①住戸の設計UA値が基準UA値に0.85を乗じた値以下であること。
②外気に接する床の部位熱貫流率が下の値に0.85を乗じた値以下であり、かつ、住戸の設計UA値が基準UA値に0.9を乗じた値以下であること。
　　1～2地域；0.27、3地域；0.32、4～7地域；0.37</t>
    <phoneticPr fontId="21"/>
  </si>
  <si>
    <t>各住戸の開口部の平均日射熱取得率が12以下となること。</t>
    <phoneticPr fontId="21"/>
  </si>
  <si>
    <t>BPI未入力</t>
    <rPh sb="3" eb="6">
      <t>ミニュウリョク</t>
    </rPh>
    <phoneticPr fontId="21"/>
  </si>
  <si>
    <t>床面積(㎡)</t>
    <rPh sb="0" eb="3">
      <t>ユカメンセキ</t>
    </rPh>
    <rPh sb="1" eb="3">
      <t>メンセキ</t>
    </rPh>
    <phoneticPr fontId="21"/>
  </si>
  <si>
    <t>床面積比率</t>
    <rPh sb="0" eb="3">
      <t>ユカメンセキ</t>
    </rPh>
    <rPh sb="1" eb="3">
      <t>メンセキ</t>
    </rPh>
    <rPh sb="3" eb="4">
      <t>ヒ</t>
    </rPh>
    <rPh sb="4" eb="5">
      <t>リツ</t>
    </rPh>
    <phoneticPr fontId="21"/>
  </si>
  <si>
    <t>2</t>
    <phoneticPr fontId="21"/>
  </si>
  <si>
    <t>一次エネルギー消費性能（BEI等の転記）</t>
    <rPh sb="0" eb="2">
      <t>イチジ</t>
    </rPh>
    <rPh sb="7" eb="9">
      <t>ショウヒ</t>
    </rPh>
    <rPh sb="9" eb="11">
      <t>セイノウ</t>
    </rPh>
    <rPh sb="15" eb="16">
      <t>トウ</t>
    </rPh>
    <rPh sb="17" eb="19">
      <t>テンキ</t>
    </rPh>
    <phoneticPr fontId="21"/>
  </si>
  <si>
    <t>建物全体のBEI</t>
    <rPh sb="0" eb="2">
      <t>タテモノ</t>
    </rPh>
    <rPh sb="2" eb="4">
      <t>ゼンタイ</t>
    </rPh>
    <phoneticPr fontId="21"/>
  </si>
  <si>
    <t xml:space="preserve">[BEI][BEIm] = </t>
    <phoneticPr fontId="21"/>
  </si>
  <si>
    <t>下記（１）（２）（３）で評価する場合は空欄</t>
    <rPh sb="0" eb="2">
      <t>カキ</t>
    </rPh>
    <rPh sb="12" eb="14">
      <t>ヒョウカ</t>
    </rPh>
    <rPh sb="16" eb="18">
      <t>バアイ</t>
    </rPh>
    <rPh sb="19" eb="21">
      <t>クウラン</t>
    </rPh>
    <phoneticPr fontId="21"/>
  </si>
  <si>
    <t>&lt;運用期間が1年未満の場合&gt;</t>
    <phoneticPr fontId="21"/>
  </si>
  <si>
    <r>
      <t>　期間積算の基準一次エネルギー消費量に対する設計一次エネルギー消費量の比率 [BEI</t>
    </r>
    <r>
      <rPr>
        <vertAlign val="superscript"/>
        <sz val="9"/>
        <color rgb="FFFF0000"/>
        <rFont val="ＭＳ Ｐゴシック"/>
        <family val="3"/>
        <charset val="128"/>
      </rPr>
      <t>TC</t>
    </r>
    <r>
      <rPr>
        <sz val="9"/>
        <color rgb="FFFF0000"/>
        <rFont val="ＭＳ Ｐゴシック"/>
        <family val="3"/>
        <charset val="128"/>
      </rPr>
      <t>] を[BEI]欄に入力</t>
    </r>
    <rPh sb="52" eb="53">
      <t>ラン</t>
    </rPh>
    <phoneticPr fontId="21"/>
  </si>
  <si>
    <t>非住宅部分のBEI</t>
    <rPh sb="0" eb="1">
      <t>ヒ</t>
    </rPh>
    <rPh sb="1" eb="3">
      <t>ジュウタク</t>
    </rPh>
    <rPh sb="3" eb="5">
      <t>ブブン</t>
    </rPh>
    <phoneticPr fontId="21"/>
  </si>
  <si>
    <t>非住宅建築物は、建物全体のBEIと同じ数値を入力</t>
    <rPh sb="0" eb="1">
      <t>ヒ</t>
    </rPh>
    <rPh sb="1" eb="3">
      <t>ジュウタク</t>
    </rPh>
    <rPh sb="3" eb="6">
      <t>ケンチクブツ</t>
    </rPh>
    <rPh sb="8" eb="10">
      <t>タテモノ</t>
    </rPh>
    <rPh sb="10" eb="12">
      <t>ゼンタイ</t>
    </rPh>
    <rPh sb="17" eb="18">
      <t>オナ</t>
    </rPh>
    <rPh sb="19" eb="21">
      <t>スウチ</t>
    </rPh>
    <rPh sb="22" eb="24">
      <t>ニュウリョク</t>
    </rPh>
    <phoneticPr fontId="21"/>
  </si>
  <si>
    <t>下記（１）（２）（３）で評価する場合は複合用途の内の非住宅部分の（１）（２）の</t>
    <rPh sb="0" eb="2">
      <t>カキ</t>
    </rPh>
    <rPh sb="12" eb="14">
      <t>ヒョウカ</t>
    </rPh>
    <rPh sb="16" eb="18">
      <t>バアイ</t>
    </rPh>
    <phoneticPr fontId="21"/>
  </si>
  <si>
    <t>[BEI] [BEIm]の値を入力（LCCO2評価用）</t>
    <phoneticPr fontId="21"/>
  </si>
  <si>
    <r>
      <t>以下の場合は、建物全体のBEI（BEIm）での評価になります。
・非住宅建築物で、標準入力法(BEI)で評価した場合
・非住宅建築物で、モデル建物法（BEIm）で評価した場合
・住宅用途ないしは住宅を含む複合用途で、
　専有部を算定プログラム（BEI）、共用部と非住宅部分を標準入力法（BEI）で評価した場合</t>
    </r>
    <r>
      <rPr>
        <sz val="10"/>
        <color rgb="FFFF0000"/>
        <rFont val="ＭＳ Ｐゴシック"/>
        <family val="3"/>
        <charset val="128"/>
      </rPr>
      <t>（共用部を評価しない場合も含む）</t>
    </r>
    <rPh sb="155" eb="158">
      <t>キョウヨウブ</t>
    </rPh>
    <rPh sb="159" eb="161">
      <t>ヒョウカ</t>
    </rPh>
    <rPh sb="164" eb="166">
      <t>バアイ</t>
    </rPh>
    <rPh sb="167" eb="168">
      <t>フク</t>
    </rPh>
    <phoneticPr fontId="21"/>
  </si>
  <si>
    <t>■用途別BEI設定値</t>
    <rPh sb="1" eb="3">
      <t>ﾖｳﾄ</t>
    </rPh>
    <rPh sb="3" eb="4">
      <t>ﾍﾞﾂ</t>
    </rPh>
    <rPh sb="7" eb="10">
      <t>ｾｯﾃｲﾁ</t>
    </rPh>
    <phoneticPr fontId="34" type="noConversion"/>
  </si>
  <si>
    <t>ﾚﾍﾞﾙ１</t>
    <phoneticPr fontId="21"/>
  </si>
  <si>
    <t>ﾚﾍﾞﾙ２</t>
    <phoneticPr fontId="21"/>
  </si>
  <si>
    <t>ﾚﾍﾞﾙ４</t>
    <phoneticPr fontId="21"/>
  </si>
  <si>
    <t>事・学・工</t>
    <phoneticPr fontId="21"/>
  </si>
  <si>
    <t>物・飲・会・病・ホ</t>
    <phoneticPr fontId="21"/>
  </si>
  <si>
    <t>3.2(1)</t>
    <phoneticPr fontId="21"/>
  </si>
  <si>
    <t>(2)</t>
    <phoneticPr fontId="21"/>
  </si>
  <si>
    <t>(3)</t>
    <phoneticPr fontId="21"/>
  </si>
  <si>
    <r>
      <rPr>
        <b/>
        <sz val="10"/>
        <rFont val="ＭＳ Ｐゴシック"/>
        <family val="3"/>
        <charset val="128"/>
      </rPr>
      <t>次の場合は、以下の（１）（２）（３）で評価してください。</t>
    </r>
    <r>
      <rPr>
        <sz val="10"/>
        <rFont val="ＭＳ Ｐゴシック"/>
        <family val="3"/>
        <charset val="128"/>
      </rPr>
      <t xml:space="preserve">
・住宅を含む複合用途で、共用部を標準入力法（BEI）、非住宅部分をモデル建物法（BEIm）で評価した場合
・住宅用途ないしは住宅を含む複合用途で、専有部を住宅仕様基準で評価した場合</t>
    </r>
    <rPh sb="6" eb="8">
      <t>イカ</t>
    </rPh>
    <phoneticPr fontId="21"/>
  </si>
  <si>
    <t>（１）BEIによる評価</t>
    <rPh sb="9" eb="11">
      <t>ﾋｮｳｶ</t>
    </rPh>
    <phoneticPr fontId="34" type="noConversion"/>
  </si>
  <si>
    <t xml:space="preserve">[BEI] = </t>
    <phoneticPr fontId="21"/>
  </si>
  <si>
    <t>住宅の共用部、住戸部分も含めたBEIを入力</t>
    <rPh sb="0" eb="2">
      <t>ジュウタク</t>
    </rPh>
    <rPh sb="3" eb="5">
      <t>キョウヨウ</t>
    </rPh>
    <rPh sb="5" eb="6">
      <t>ブ</t>
    </rPh>
    <rPh sb="7" eb="9">
      <t>ジュウコ</t>
    </rPh>
    <rPh sb="9" eb="11">
      <t>ブブン</t>
    </rPh>
    <rPh sb="12" eb="13">
      <t>フク</t>
    </rPh>
    <rPh sb="19" eb="21">
      <t>ニュウリョク</t>
    </rPh>
    <phoneticPr fontId="21"/>
  </si>
  <si>
    <t>BEI未入力</t>
    <rPh sb="3" eb="6">
      <t>ミニュウリョク</t>
    </rPh>
    <phoneticPr fontId="21"/>
  </si>
  <si>
    <t>■用途別評価対象面積の入力</t>
    <rPh sb="1" eb="3">
      <t>ヨウト</t>
    </rPh>
    <rPh sb="3" eb="4">
      <t>ベツ</t>
    </rPh>
    <rPh sb="4" eb="6">
      <t>ヒョウカ</t>
    </rPh>
    <rPh sb="6" eb="8">
      <t>タイショウ</t>
    </rPh>
    <rPh sb="8" eb="10">
      <t>メンセキ</t>
    </rPh>
    <rPh sb="11" eb="13">
      <t>ニュウリョク</t>
    </rPh>
    <phoneticPr fontId="21"/>
  </si>
  <si>
    <t>対象面積(㎡)</t>
    <rPh sb="0" eb="2">
      <t>タイショウ</t>
    </rPh>
    <rPh sb="2" eb="4">
      <t>メンセキ</t>
    </rPh>
    <rPh sb="4" eb="6">
      <t>ユカメンセキ</t>
    </rPh>
    <phoneticPr fontId="21"/>
  </si>
  <si>
    <t>評価対象面積</t>
    <rPh sb="0" eb="2">
      <t>ヒョウカ</t>
    </rPh>
    <rPh sb="2" eb="4">
      <t>タイショウ</t>
    </rPh>
    <rPh sb="4" eb="6">
      <t>メンセキ</t>
    </rPh>
    <phoneticPr fontId="21"/>
  </si>
  <si>
    <t>（２）BEImによる評価</t>
    <rPh sb="10" eb="12">
      <t>ﾋｮｳｶ</t>
    </rPh>
    <phoneticPr fontId="34" type="noConversion"/>
  </si>
  <si>
    <t xml:space="preserve">[BEIm] = </t>
    <phoneticPr fontId="21"/>
  </si>
  <si>
    <t>（３）仕様基準による評価</t>
    <rPh sb="3" eb="5">
      <t>シヨウ</t>
    </rPh>
    <rPh sb="5" eb="7">
      <t>キジュン</t>
    </rPh>
    <rPh sb="10" eb="12">
      <t>ヒョウカ</t>
    </rPh>
    <phoneticPr fontId="21"/>
  </si>
  <si>
    <t>■住宅部分（専有部）において算定プログラムを使わない場合、以下の３カ所を必ず選択して下さい。</t>
    <rPh sb="1" eb="3">
      <t>ジュウタク</t>
    </rPh>
    <rPh sb="3" eb="5">
      <t>ブブン</t>
    </rPh>
    <rPh sb="6" eb="9">
      <t>センユウブ</t>
    </rPh>
    <rPh sb="14" eb="16">
      <t>サンテイ</t>
    </rPh>
    <rPh sb="22" eb="23">
      <t>ツカ</t>
    </rPh>
    <rPh sb="26" eb="28">
      <t>バアイ</t>
    </rPh>
    <rPh sb="29" eb="31">
      <t>イカ</t>
    </rPh>
    <rPh sb="34" eb="35">
      <t>ショ</t>
    </rPh>
    <rPh sb="36" eb="37">
      <t>カナラ</t>
    </rPh>
    <rPh sb="38" eb="40">
      <t>センタク</t>
    </rPh>
    <rPh sb="42" eb="43">
      <t>クダ</t>
    </rPh>
    <phoneticPr fontId="21"/>
  </si>
  <si>
    <t>「住宅部分の外壁、窓等を通しての熱の損失の防止に関する基準及び一次エネルギー消費量に関する基準（平成28年国土交通省告示266号）」に定められる「外壁、窓等を通しての熱の損失の防止に関する基準」および「一次エネルギー消費量に関する基準」の双方を満たす場合は「レベル３」、これを満たさない場合は、「レベル１」とする。</t>
    <rPh sb="138" eb="139">
      <t>ミ</t>
    </rPh>
    <rPh sb="143" eb="145">
      <t>バアイ</t>
    </rPh>
    <phoneticPr fontId="21"/>
  </si>
  <si>
    <t xml:space="preserve">共用部を含む非住宅部分[BEI] = </t>
    <rPh sb="0" eb="2">
      <t>キョウヨウ</t>
    </rPh>
    <rPh sb="2" eb="3">
      <t>ブ</t>
    </rPh>
    <rPh sb="4" eb="5">
      <t>フク</t>
    </rPh>
    <rPh sb="6" eb="7">
      <t>ヒ</t>
    </rPh>
    <rPh sb="7" eb="9">
      <t>ジュウタク</t>
    </rPh>
    <rPh sb="9" eb="11">
      <t>ブブン</t>
    </rPh>
    <phoneticPr fontId="21"/>
  </si>
  <si>
    <t>■評価対象面積の入力</t>
    <rPh sb="1" eb="3">
      <t>ヒョウカ</t>
    </rPh>
    <rPh sb="3" eb="5">
      <t>タイショウ</t>
    </rPh>
    <rPh sb="5" eb="7">
      <t>メンセキ</t>
    </rPh>
    <rPh sb="8" eb="10">
      <t>ニュウリョク</t>
    </rPh>
    <phoneticPr fontId="21"/>
  </si>
  <si>
    <t>仕様基準を適用した住戸の合計面積を入力</t>
    <rPh sb="0" eb="2">
      <t>シヨウ</t>
    </rPh>
    <rPh sb="2" eb="4">
      <t>キジュン</t>
    </rPh>
    <rPh sb="5" eb="7">
      <t>テキヨウ</t>
    </rPh>
    <rPh sb="9" eb="11">
      <t>ジュウコ</t>
    </rPh>
    <rPh sb="12" eb="14">
      <t>ゴウケイ</t>
    </rPh>
    <rPh sb="14" eb="16">
      <t>メンセキ</t>
    </rPh>
    <rPh sb="17" eb="19">
      <t>ニュウリョク</t>
    </rPh>
    <phoneticPr fontId="21"/>
  </si>
  <si>
    <t>■建物全体のレベル（上記（１）（２）（３）による評価）</t>
    <rPh sb="1" eb="3">
      <t>タテモノ</t>
    </rPh>
    <rPh sb="3" eb="5">
      <t>ゼンタイ</t>
    </rPh>
    <rPh sb="10" eb="12">
      <t>ジョウキ</t>
    </rPh>
    <rPh sb="24" eb="26">
      <t>ヒョウカ</t>
    </rPh>
    <phoneticPr fontId="21"/>
  </si>
  <si>
    <t>（１）BEI</t>
    <phoneticPr fontId="21"/>
  </si>
  <si>
    <t>（２）BEIｍ</t>
    <phoneticPr fontId="21"/>
  </si>
  <si>
    <t>（３）仕様基準</t>
    <rPh sb="3" eb="5">
      <t>シヨウ</t>
    </rPh>
    <rPh sb="5" eb="7">
      <t>キジュン</t>
    </rPh>
    <phoneticPr fontId="21"/>
  </si>
  <si>
    <t>評価対象面積合計</t>
    <rPh sb="0" eb="2">
      <t>ヒョウカ</t>
    </rPh>
    <rPh sb="2" eb="4">
      <t>タイショウ</t>
    </rPh>
    <rPh sb="4" eb="6">
      <t>メンセキ</t>
    </rPh>
    <rPh sb="6" eb="8">
      <t>ゴウケイ</t>
    </rPh>
    <phoneticPr fontId="21"/>
  </si>
  <si>
    <t>一次エネルギー消費量の転記</t>
    <rPh sb="0" eb="2">
      <t>イチジ</t>
    </rPh>
    <rPh sb="7" eb="10">
      <t>ショウヒリョウ</t>
    </rPh>
    <rPh sb="11" eb="13">
      <t>テンキ</t>
    </rPh>
    <phoneticPr fontId="21"/>
  </si>
  <si>
    <t>住戸合計</t>
    <rPh sb="0" eb="2">
      <t>ジュウコ</t>
    </rPh>
    <rPh sb="2" eb="4">
      <t>ゴウケイ</t>
    </rPh>
    <phoneticPr fontId="21"/>
  </si>
  <si>
    <t>共用部</t>
    <rPh sb="0" eb="2">
      <t>キョウヨウ</t>
    </rPh>
    <phoneticPr fontId="21"/>
  </si>
  <si>
    <t>共用部ゲストルーム等
住戸扱い</t>
  </si>
  <si>
    <t>■基準一次エネルギー消費量 (その他一次ｴﾈﾙｷﾞｰを含む)</t>
    <rPh sb="1" eb="3">
      <t>ｷｼﾞｭﾝ</t>
    </rPh>
    <rPh sb="3" eb="5">
      <t>ｲﾁｼﾞ</t>
    </rPh>
    <rPh sb="10" eb="13">
      <t>ｼｮｳﾋﾘｮｳ</t>
    </rPh>
    <rPh sb="17" eb="18">
      <t>ﾎｶ</t>
    </rPh>
    <rPh sb="18" eb="20">
      <t>ｲﾁｼﾞ</t>
    </rPh>
    <rPh sb="27" eb="28">
      <t>ﾌｸ</t>
    </rPh>
    <phoneticPr fontId="34" type="noConversion"/>
  </si>
  <si>
    <t>■設計一次エネルギー消費量 (その他一次ｴﾈﾙｷﾞｰを含む)</t>
    <rPh sb="1" eb="3">
      <t>ｾｯｹｲ</t>
    </rPh>
    <rPh sb="3" eb="5">
      <t>ｲﾁｼﾞ</t>
    </rPh>
    <rPh sb="10" eb="13">
      <t>ｼｮｳﾋﾘｮｳ</t>
    </rPh>
    <phoneticPr fontId="34" type="noConversion"/>
  </si>
  <si>
    <t>■太陽光発電等エネルギー量（③ｵﾝｻｲﾄの取組）</t>
    <rPh sb="1" eb="4">
      <t>ﾀｲﾖｳｺｳ</t>
    </rPh>
    <rPh sb="4" eb="6">
      <t>ﾊﾂﾃﾞﾝ</t>
    </rPh>
    <rPh sb="6" eb="7">
      <t>ﾄｳ</t>
    </rPh>
    <rPh sb="12" eb="13">
      <t>ﾘｮｳ</t>
    </rPh>
    <rPh sb="21" eb="23">
      <t>ﾄﾘｸﾐ</t>
    </rPh>
    <phoneticPr fontId="34" type="noConversion"/>
  </si>
  <si>
    <t>総量※</t>
    <rPh sb="0" eb="2">
      <t>ソウリョウ</t>
    </rPh>
    <phoneticPr fontId="21"/>
  </si>
  <si>
    <t>うちBEI評価に含まれる量（ex.自家消費分相当）</t>
    <rPh sb="5" eb="7">
      <t>ヒョウカ</t>
    </rPh>
    <rPh sb="8" eb="9">
      <t>フク</t>
    </rPh>
    <rPh sb="12" eb="13">
      <t>リョウ</t>
    </rPh>
    <rPh sb="17" eb="19">
      <t>ジカ</t>
    </rPh>
    <rPh sb="19" eb="21">
      <t>ショウヒ</t>
    </rPh>
    <rPh sb="21" eb="22">
      <t>ブン</t>
    </rPh>
    <rPh sb="22" eb="24">
      <t>ソウトウ</t>
    </rPh>
    <phoneticPr fontId="21"/>
  </si>
  <si>
    <t>※全量買取制度は評価対象外</t>
    <rPh sb="1" eb="3">
      <t>ゼンリョウ</t>
    </rPh>
    <rPh sb="3" eb="5">
      <t>カイトリ</t>
    </rPh>
    <rPh sb="5" eb="7">
      <t>セイド</t>
    </rPh>
    <rPh sb="8" eb="10">
      <t>ヒョウカ</t>
    </rPh>
    <rPh sb="10" eb="12">
      <t>タイショウ</t>
    </rPh>
    <rPh sb="12" eb="13">
      <t>ガイ</t>
    </rPh>
    <phoneticPr fontId="21"/>
  </si>
  <si>
    <t>注記；</t>
    <rPh sb="0" eb="2">
      <t>チュウキ</t>
    </rPh>
    <phoneticPr fontId="21"/>
  </si>
  <si>
    <t>住宅部分は、運用段階のLCCO2の算定に必要となるため、一次エネルギー消費量を入力する。なお非住宅部分については、LR1/3．設備システムの高効率化、および運用段階のLCCO2の算定ともにBEIを用いているため、一次エネルギー消費量の入力は不要（ただしオンサイトの取組分は要入力）。</t>
    <rPh sb="20" eb="22">
      <t>ヒツヨウ</t>
    </rPh>
    <rPh sb="28" eb="30">
      <t>イチジ</t>
    </rPh>
    <rPh sb="35" eb="38">
      <t>ショウヒリョウ</t>
    </rPh>
    <rPh sb="39" eb="41">
      <t>ニュウリョク</t>
    </rPh>
    <rPh sb="46" eb="47">
      <t>ヒ</t>
    </rPh>
    <rPh sb="47" eb="49">
      <t>ジュウタク</t>
    </rPh>
    <rPh sb="49" eb="51">
      <t>ブブン</t>
    </rPh>
    <rPh sb="63" eb="65">
      <t>セツビ</t>
    </rPh>
    <rPh sb="70" eb="74">
      <t>コウコウリツカ</t>
    </rPh>
    <rPh sb="78" eb="80">
      <t>ウンヨウ</t>
    </rPh>
    <rPh sb="80" eb="82">
      <t>ダンカイ</t>
    </rPh>
    <rPh sb="89" eb="91">
      <t>サンテイ</t>
    </rPh>
    <rPh sb="98" eb="99">
      <t>モチ</t>
    </rPh>
    <rPh sb="106" eb="108">
      <t>イチジ</t>
    </rPh>
    <rPh sb="113" eb="116">
      <t>ショウヒリョウ</t>
    </rPh>
    <rPh sb="117" eb="119">
      <t>ニュウリョク</t>
    </rPh>
    <rPh sb="120" eb="122">
      <t>フヨウ</t>
    </rPh>
    <rPh sb="132" eb="134">
      <t>トリクミ</t>
    </rPh>
    <rPh sb="134" eb="135">
      <t>ブン</t>
    </rPh>
    <rPh sb="136" eb="137">
      <t>ヨウ</t>
    </rPh>
    <rPh sb="137" eb="139">
      <t>ニュウリョク</t>
    </rPh>
    <phoneticPr fontId="21"/>
  </si>
  <si>
    <t>仕様基準でLR1/3を評価した場合</t>
    <rPh sb="0" eb="2">
      <t>シヨウ</t>
    </rPh>
    <rPh sb="2" eb="4">
      <t>キジュン</t>
    </rPh>
    <rPh sb="11" eb="13">
      <t>ヒョウカ</t>
    </rPh>
    <rPh sb="15" eb="17">
      <t>バアイ</t>
    </rPh>
    <phoneticPr fontId="21"/>
  </si>
  <si>
    <t>その他エネルギー（家電・調理分）</t>
    <rPh sb="2" eb="3">
      <t>ホカ</t>
    </rPh>
    <rPh sb="9" eb="11">
      <t>カデン</t>
    </rPh>
    <rPh sb="12" eb="15">
      <t>チョウリブン</t>
    </rPh>
    <phoneticPr fontId="21"/>
  </si>
  <si>
    <t>Ａａ3</t>
    <phoneticPr fontId="21"/>
  </si>
  <si>
    <t>Ａｂ3</t>
    <phoneticPr fontId="21"/>
  </si>
  <si>
    <t>Ｂａ3</t>
    <phoneticPr fontId="21"/>
  </si>
  <si>
    <t>Ｂｂ3</t>
    <phoneticPr fontId="21"/>
  </si>
  <si>
    <t>Ｃａ3</t>
    <phoneticPr fontId="21"/>
  </si>
  <si>
    <t>Ｃｂ3</t>
    <phoneticPr fontId="21"/>
  </si>
  <si>
    <t>レベル４を超える水準の断熱性能を満たす</t>
    <rPh sb="5" eb="6">
      <t>コ</t>
    </rPh>
    <rPh sb="8" eb="10">
      <t>スイジュン</t>
    </rPh>
    <rPh sb="11" eb="13">
      <t>ダンネツ</t>
    </rPh>
    <rPh sb="13" eb="15">
      <t>セイノウ</t>
    </rPh>
    <rPh sb="16" eb="17">
      <t>ミ</t>
    </rPh>
    <phoneticPr fontId="21"/>
  </si>
  <si>
    <t>＜用途①＞
レベル1: [BEI][BEIm] ≧ 1.10
レベル2: [BEI][BEIm] ＝ 1.00
レベル3: [BEI][BEIm] ＝ 0.80
レベル4: [BEI][BEIm] ＝ 0.70
レベル5: [BEI][BEIm] ≦ 0.60
各レベル間はBEIまたはBEImにより、小数点一桁までの直線補間で評価する。</t>
    <rPh sb="1" eb="3">
      <t>ヨウト</t>
    </rPh>
    <phoneticPr fontId="21"/>
  </si>
  <si>
    <t>＜用途②＞
レベル1: [BEI][BEIm] ≧ 1.10
レベル2: [BEI][BEIm] ＝ 1.00
レベル3: [BEI][BEIm] ＝ 0.80
レベル4: [BEI][BEIm] ＝ 0.75
レベル5: [BEI][BEIm] ≦ 0.70
各レベル間はBEIまたはBEImにより、小数点一桁までの直線補間で評価する。</t>
    <rPh sb="0" eb="2">
      <t>ヨウト</t>
    </rPh>
    <phoneticPr fontId="21"/>
  </si>
  <si>
    <t xml:space="preserve">＜用途③＞
レベル1: [BEI] ≧ 1.20
レベル2: [BEI] ＝ 1.10
レベル3: [BEI] ＝ 1.00
レベル4: [BEI] ＝ 0.90
レベル5: [BEI] ≦ 0.85
</t>
    <rPh sb="1" eb="3">
      <t>ヨウト</t>
    </rPh>
    <phoneticPr fontId="21"/>
  </si>
  <si>
    <t>「住宅部分の外壁、窓等を通しての熱の損失の防止に関する基準及び一次エネルギー消費量に関する基準（平成28年国土交通省</t>
  </si>
  <si>
    <t>告示266号）」に定められる「外壁、窓等を通しての熱の損失の防止に関する基準」および「一次エネルギー消費量に関する基準」</t>
  </si>
  <si>
    <t>の双方を満たす場合は「レベル３」とする。　上記を満たさない場合は、「レベル１」とする。</t>
  </si>
  <si>
    <t>CASBEE-BD_EB_2014(v.3.03)</t>
    <phoneticPr fontId="21"/>
  </si>
  <si>
    <t>レベル３を満たさない</t>
    <rPh sb="5" eb="6">
      <t>ミ</t>
    </rPh>
    <phoneticPr fontId="2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</si>
</sst>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8">
    <numFmt numFmtId="176" formatCode="0;0;&quot;&quot;"/>
    <numFmt numFmtId="177" formatCode="0.0_ "/>
    <numFmt numFmtId="178" formatCode="0.00_ "/>
    <numFmt numFmtId="179" formatCode="0.00_);[Red]\(0.00\)"/>
    <numFmt numFmtId="180" formatCode="0.00;0.00;&quot;適用外&quot;"/>
    <numFmt numFmtId="181" formatCode=";;&quot;&quot;"/>
    <numFmt numFmtId="182" formatCode="0;0;&quot;－&quot;"/>
    <numFmt numFmtId="183" formatCode="#,##0_ "/>
    <numFmt numFmtId="184" formatCode="0.0"/>
    <numFmt numFmtId="185" formatCode="0.0;0.0;&quot;-&quot;\ "/>
    <numFmt numFmtId="186" formatCode="0.00;0.00;&quot;-&quot;\ "/>
    <numFmt numFmtId="187" formatCode="0.0;0.0;&quot;－&quot;"/>
    <numFmt numFmtId="188" formatCode="#,##0.0;[Red]\-#,##0.0"/>
    <numFmt numFmtId="189" formatCode="0.00;0.00;&quot;－&quot;"/>
    <numFmt numFmtId="190" formatCode="0.000_ "/>
    <numFmt numFmtId="191" formatCode="0.000_);[Red]\(0.000\)"/>
    <numFmt numFmtId="192" formatCode="0_ "/>
    <numFmt numFmtId="193" formatCode="#,###&quot;㎡&quot;"/>
    <numFmt numFmtId="194" formatCode="&quot;レベル &quot;#"/>
    <numFmt numFmtId="195" formatCode="#&quot;ポイント&quot;"/>
    <numFmt numFmtId="196" formatCode="#&quot;点&quot;"/>
    <numFmt numFmtId="197" formatCode="0.00;0.00;&quot;&quot;\ "/>
    <numFmt numFmtId="198" formatCode="0.00;0.00;&quot;-&quot;"/>
    <numFmt numFmtId="199" formatCode="&quot;レベル &quot;#.0"/>
    <numFmt numFmtId="200" formatCode="&quot;レベル &quot;#0.0"/>
    <numFmt numFmtId="201" formatCode="&quot;レベル &quot;#.0;0.0;&quot;レベル&quot;"/>
    <numFmt numFmtId="202" formatCode="0.00;0.00;&quot;対象外&quot;"/>
    <numFmt numFmtId="203" formatCode="&quot;レベル &quot;#0.0;0.00;&quot;対象外&quot;"/>
    <numFmt numFmtId="204" formatCode="0.0;_Ā"/>
    <numFmt numFmtId="205" formatCode="0.000;_Ā"/>
    <numFmt numFmtId="206" formatCode="#&quot; ポイント&quot;;0.0;&quot;0 ポイント&quot;"/>
    <numFmt numFmtId="207" formatCode="#&quot; ポイント&quot;;\-#&quot; ポイント&quot;;&quot;0 ポイント&quot;"/>
    <numFmt numFmtId="208" formatCode="#&quot; ポイント&quot;;;0&quot; ポイント&quot;"/>
    <numFmt numFmtId="209" formatCode="&quot;レベル &quot;#;0;&quot;レベル&quot;"/>
    <numFmt numFmtId="210" formatCode="0.0000"/>
    <numFmt numFmtId="211" formatCode="#&quot;年&quot;"/>
    <numFmt numFmtId="212" formatCode="#,##0.000;[Red]\-#,##0.000"/>
    <numFmt numFmtId="213" formatCode="0.0000_ "/>
    <numFmt numFmtId="214" formatCode="0.0_);[Red]\(0.0\)"/>
    <numFmt numFmtId="215" formatCode="0.000000_ "/>
    <numFmt numFmtId="216" formatCode="General;General;"/>
    <numFmt numFmtId="217" formatCode="0.0;\-0.0&quot; ポイント&quot;;&quot;0 ポイント&quot;"/>
    <numFmt numFmtId="218" formatCode="0.00000_ "/>
    <numFmt numFmtId="219" formatCode="&quot;レベル &quot;#0.0;&quot;対象外&quot;"/>
    <numFmt numFmtId="220" formatCode="0.000"/>
    <numFmt numFmtId="221" formatCode="#,##0_);[Red]\(#,##0\)"/>
    <numFmt numFmtId="222" formatCode="0.0;0.0;&quot;-&quot;"/>
    <numFmt numFmtId="223" formatCode="#,##0.00_ ;[Red]\-#,##0.00\ "/>
  </numFmts>
  <fonts count="190">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name val="ＭＳ Ｐゴシック"/>
      <family val="3"/>
      <charset val="128"/>
    </font>
    <font>
      <sz val="10"/>
      <color indexed="18"/>
      <name val="Arial"/>
      <family val="2"/>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明朝"/>
      <family val="1"/>
      <charset val="128"/>
    </font>
    <font>
      <sz val="11"/>
      <color indexed="17"/>
      <name val="ＭＳ Ｐゴシック"/>
      <family val="3"/>
      <charset val="128"/>
    </font>
    <font>
      <sz val="6"/>
      <name val="ＭＳ Ｐゴシック"/>
      <family val="3"/>
      <charset val="128"/>
    </font>
    <font>
      <strike/>
      <sz val="11"/>
      <name val="ＭＳ Ｐゴシック"/>
      <family val="3"/>
      <charset val="128"/>
    </font>
    <font>
      <b/>
      <sz val="11"/>
      <name val="ＭＳ Ｐゴシック"/>
      <family val="3"/>
      <charset val="128"/>
    </font>
    <font>
      <b/>
      <sz val="20"/>
      <color indexed="9"/>
      <name val="ＭＳ Ｐゴシック"/>
      <family val="3"/>
      <charset val="128"/>
    </font>
    <font>
      <b/>
      <i/>
      <sz val="20"/>
      <color indexed="9"/>
      <name val="Times New Roman"/>
      <family val="1"/>
    </font>
    <font>
      <b/>
      <sz val="9"/>
      <name val="ＭＳ Ｐゴシック"/>
      <family val="3"/>
      <charset val="128"/>
    </font>
    <font>
      <b/>
      <sz val="10"/>
      <name val="Arial"/>
      <family val="2"/>
    </font>
    <font>
      <sz val="9"/>
      <name val="ＭＳ Ｐゴシック"/>
      <family val="3"/>
      <charset val="128"/>
    </font>
    <font>
      <sz val="9"/>
      <name val="Arial"/>
      <family val="2"/>
    </font>
    <font>
      <b/>
      <sz val="11"/>
      <color indexed="17"/>
      <name val="ＭＳ Ｐゴシック"/>
      <family val="3"/>
      <charset val="128"/>
    </font>
    <font>
      <b/>
      <sz val="10"/>
      <color indexed="9"/>
      <name val="ＭＳ Ｐゴシック"/>
      <family val="3"/>
      <charset val="128"/>
    </font>
    <font>
      <sz val="10"/>
      <color indexed="9"/>
      <name val="ＭＳ Ｐゴシック"/>
      <family val="3"/>
      <charset val="128"/>
    </font>
    <font>
      <sz val="10"/>
      <name val="ＭＳ Ｐゴシック"/>
      <family val="3"/>
      <charset val="128"/>
    </font>
    <font>
      <sz val="10"/>
      <name val="Arial"/>
      <family val="2"/>
    </font>
    <font>
      <sz val="10"/>
      <color indexed="53"/>
      <name val="ＭＳ Ｐゴシック"/>
      <family val="3"/>
      <charset val="128"/>
    </font>
    <font>
      <b/>
      <sz val="9"/>
      <name val="Arial"/>
      <family val="2"/>
    </font>
    <font>
      <sz val="8"/>
      <name val="ＭＳ Ｐゴシック"/>
      <family val="3"/>
      <charset val="128"/>
    </font>
    <font>
      <b/>
      <sz val="8"/>
      <color indexed="10"/>
      <name val="ＭＳ Ｐゴシック"/>
      <family val="3"/>
      <charset val="128"/>
    </font>
    <font>
      <sz val="9"/>
      <color indexed="10"/>
      <name val="ＭＳ Ｐゴシック"/>
      <family val="3"/>
      <charset val="128"/>
    </font>
    <font>
      <sz val="10"/>
      <color indexed="10"/>
      <name val="ＭＳ Ｐゴシック"/>
      <family val="3"/>
      <charset val="128"/>
    </font>
    <font>
      <sz val="9"/>
      <color indexed="20"/>
      <name val="ＭＳ Ｐゴシック"/>
      <family val="3"/>
      <charset val="128"/>
    </font>
    <font>
      <sz val="10"/>
      <color indexed="18"/>
      <name val="ＭＳ Ｐゴシック"/>
      <family val="3"/>
      <charset val="128"/>
    </font>
    <font>
      <sz val="10"/>
      <color indexed="21"/>
      <name val="ＭＳ Ｐゴシック"/>
      <family val="3"/>
      <charset val="128"/>
    </font>
    <font>
      <b/>
      <sz val="16"/>
      <color indexed="9"/>
      <name val="ＭＳ Ｐゴシック"/>
      <family val="3"/>
      <charset val="128"/>
    </font>
    <font>
      <b/>
      <sz val="12"/>
      <name val="ＭＳ Ｐゴシック"/>
      <family val="3"/>
      <charset val="128"/>
    </font>
    <font>
      <sz val="12"/>
      <name val="Arial"/>
      <family val="2"/>
    </font>
    <font>
      <b/>
      <sz val="18"/>
      <name val="Arial"/>
      <family val="2"/>
    </font>
    <font>
      <b/>
      <sz val="12"/>
      <name val="Arial"/>
      <family val="2"/>
    </font>
    <font>
      <sz val="11"/>
      <name val="Arial"/>
      <family val="2"/>
    </font>
    <font>
      <sz val="12"/>
      <color indexed="10"/>
      <name val="Arial"/>
      <family val="2"/>
    </font>
    <font>
      <b/>
      <i/>
      <sz val="9"/>
      <name val="ＭＳ Ｐ明朝"/>
      <family val="1"/>
      <charset val="128"/>
    </font>
    <font>
      <sz val="9"/>
      <color indexed="17"/>
      <name val="Arial"/>
      <family val="2"/>
    </font>
    <font>
      <sz val="9"/>
      <color indexed="10"/>
      <name val="Arial"/>
      <family val="2"/>
    </font>
    <font>
      <b/>
      <sz val="9"/>
      <color indexed="17"/>
      <name val="Arial"/>
      <family val="2"/>
    </font>
    <font>
      <b/>
      <sz val="9"/>
      <color indexed="17"/>
      <name val="ＭＳ Ｐゴシック"/>
      <family val="3"/>
      <charset val="128"/>
    </font>
    <font>
      <sz val="11"/>
      <color indexed="10"/>
      <name val="Arial"/>
      <family val="2"/>
    </font>
    <font>
      <b/>
      <i/>
      <sz val="9"/>
      <name val="Times New Roman"/>
      <family val="1"/>
    </font>
    <font>
      <b/>
      <i/>
      <sz val="9"/>
      <name val="Arial"/>
      <family val="2"/>
    </font>
    <font>
      <sz val="8"/>
      <color indexed="17"/>
      <name val="Arial"/>
      <family val="2"/>
    </font>
    <font>
      <b/>
      <sz val="8"/>
      <color indexed="17"/>
      <name val="Arial"/>
      <family val="2"/>
    </font>
    <font>
      <b/>
      <i/>
      <sz val="26"/>
      <color indexed="17"/>
      <name val="Arial"/>
      <family val="2"/>
    </font>
    <font>
      <b/>
      <i/>
      <sz val="8"/>
      <color indexed="17"/>
      <name val="Arial"/>
      <family val="2"/>
    </font>
    <font>
      <b/>
      <sz val="12"/>
      <color indexed="9"/>
      <name val="ＭＳ Ｐゴシック"/>
      <family val="3"/>
      <charset val="128"/>
    </font>
    <font>
      <b/>
      <sz val="12"/>
      <color indexed="9"/>
      <name val="Arial"/>
      <family val="2"/>
    </font>
    <font>
      <b/>
      <sz val="6"/>
      <color indexed="9"/>
      <name val="ＭＳ Ｐゴシック"/>
      <family val="3"/>
      <charset val="128"/>
    </font>
    <font>
      <b/>
      <sz val="11"/>
      <name val="Arial"/>
      <family val="2"/>
    </font>
    <font>
      <sz val="8"/>
      <name val="Arial"/>
      <family val="2"/>
    </font>
    <font>
      <sz val="11"/>
      <color indexed="63"/>
      <name val="Arial"/>
      <family val="2"/>
    </font>
    <font>
      <i/>
      <sz val="10"/>
      <name val="ＭＳ Ｐゴシック"/>
      <family val="3"/>
      <charset val="128"/>
    </font>
    <font>
      <sz val="10"/>
      <color indexed="10"/>
      <name val="Arial"/>
      <family val="2"/>
    </font>
    <font>
      <sz val="10"/>
      <color indexed="22"/>
      <name val="ＭＳ Ｐゴシック"/>
      <family val="3"/>
      <charset val="128"/>
    </font>
    <font>
      <b/>
      <sz val="14"/>
      <name val="Arial"/>
      <family val="2"/>
    </font>
    <font>
      <sz val="10"/>
      <color indexed="55"/>
      <name val="ＭＳ Ｐゴシック"/>
      <family val="3"/>
      <charset val="128"/>
    </font>
    <font>
      <b/>
      <sz val="10"/>
      <color indexed="55"/>
      <name val="Arial"/>
      <family val="2"/>
    </font>
    <font>
      <sz val="11"/>
      <color indexed="55"/>
      <name val="Arial"/>
      <family val="2"/>
    </font>
    <font>
      <sz val="11"/>
      <color indexed="22"/>
      <name val="Arial"/>
      <family val="2"/>
    </font>
    <font>
      <b/>
      <sz val="8"/>
      <color indexed="22"/>
      <name val="Arial"/>
      <family val="2"/>
    </font>
    <font>
      <i/>
      <sz val="10"/>
      <color indexed="22"/>
      <name val="ＭＳ Ｐゴシック"/>
      <family val="3"/>
      <charset val="128"/>
    </font>
    <font>
      <sz val="8"/>
      <color indexed="22"/>
      <name val="Arial"/>
      <family val="2"/>
    </font>
    <font>
      <sz val="12"/>
      <color indexed="9"/>
      <name val="Arial"/>
      <family val="2"/>
    </font>
    <font>
      <sz val="14"/>
      <color indexed="9"/>
      <name val="Arial"/>
      <family val="2"/>
    </font>
    <font>
      <b/>
      <vertAlign val="subscript"/>
      <sz val="12"/>
      <color indexed="9"/>
      <name val="ＭＳ Ｐゴシック"/>
      <family val="3"/>
      <charset val="128"/>
    </font>
    <font>
      <sz val="11"/>
      <color indexed="9"/>
      <name val="Arial"/>
      <family val="2"/>
    </font>
    <font>
      <b/>
      <sz val="11"/>
      <color indexed="10"/>
      <name val="Arial"/>
      <family val="2"/>
    </font>
    <font>
      <sz val="9"/>
      <color indexed="8"/>
      <name val="ＭＳ Ｐゴシック"/>
      <family val="3"/>
      <charset val="128"/>
    </font>
    <font>
      <sz val="10"/>
      <color indexed="9"/>
      <name val="Arial"/>
      <family val="2"/>
    </font>
    <font>
      <sz val="8"/>
      <color indexed="9"/>
      <name val="ＭＳ Ｐゴシック"/>
      <family val="3"/>
      <charset val="128"/>
    </font>
    <font>
      <b/>
      <sz val="11"/>
      <color indexed="26"/>
      <name val="ＭＳ Ｐゴシック"/>
      <family val="3"/>
      <charset val="128"/>
    </font>
    <font>
      <b/>
      <sz val="11"/>
      <color indexed="26"/>
      <name val="Arial"/>
      <family val="2"/>
    </font>
    <font>
      <b/>
      <i/>
      <sz val="10"/>
      <color indexed="9"/>
      <name val="ＭＳ Ｐゴシック"/>
      <family val="3"/>
      <charset val="128"/>
    </font>
    <font>
      <b/>
      <i/>
      <sz val="9"/>
      <color indexed="9"/>
      <name val="ＭＳ Ｐゴシック"/>
      <family val="3"/>
      <charset val="128"/>
    </font>
    <font>
      <b/>
      <i/>
      <sz val="14"/>
      <color indexed="9"/>
      <name val="ＭＳ Ｐゴシック"/>
      <family val="3"/>
      <charset val="128"/>
    </font>
    <font>
      <b/>
      <i/>
      <sz val="14"/>
      <color indexed="9"/>
      <name val="Arial"/>
      <family val="2"/>
    </font>
    <font>
      <b/>
      <i/>
      <sz val="9"/>
      <name val="ＭＳ Ｐゴシック"/>
      <family val="3"/>
      <charset val="128"/>
    </font>
    <font>
      <b/>
      <i/>
      <sz val="10"/>
      <name val="Arial"/>
      <family val="2"/>
    </font>
    <font>
      <b/>
      <i/>
      <sz val="11"/>
      <name val="ＭＳ Ｐゴシック"/>
      <family val="3"/>
      <charset val="128"/>
    </font>
    <font>
      <i/>
      <sz val="11"/>
      <name val="Arial"/>
      <family val="2"/>
    </font>
    <font>
      <b/>
      <sz val="11"/>
      <color indexed="42"/>
      <name val="ＭＳ Ｐゴシック"/>
      <family val="3"/>
      <charset val="128"/>
    </font>
    <font>
      <b/>
      <sz val="11"/>
      <color indexed="42"/>
      <name val="Arial"/>
      <family val="2"/>
    </font>
    <font>
      <i/>
      <sz val="8"/>
      <name val="Arial"/>
      <family val="2"/>
    </font>
    <font>
      <sz val="8"/>
      <color indexed="9"/>
      <name val="Arial"/>
      <family val="2"/>
    </font>
    <font>
      <b/>
      <sz val="10"/>
      <color indexed="9"/>
      <name val="Arial"/>
      <family val="2"/>
    </font>
    <font>
      <b/>
      <sz val="11"/>
      <color indexed="9"/>
      <name val="Arial"/>
      <family val="2"/>
    </font>
    <font>
      <vertAlign val="subscript"/>
      <sz val="10"/>
      <name val="Arial"/>
      <family val="2"/>
    </font>
    <font>
      <vertAlign val="superscript"/>
      <sz val="10"/>
      <name val="Arial"/>
      <family val="2"/>
    </font>
    <font>
      <b/>
      <sz val="8"/>
      <color indexed="9"/>
      <name val="Arial"/>
      <family val="2"/>
    </font>
    <font>
      <b/>
      <sz val="8"/>
      <name val="ＭＳ Ｐゴシック"/>
      <family val="3"/>
      <charset val="128"/>
    </font>
    <font>
      <b/>
      <i/>
      <sz val="8"/>
      <name val="Arial"/>
      <family val="2"/>
    </font>
    <font>
      <sz val="8"/>
      <color indexed="23"/>
      <name val="Arial"/>
      <family val="2"/>
    </font>
    <font>
      <sz val="8"/>
      <color indexed="10"/>
      <name val="Arial"/>
      <family val="2"/>
    </font>
    <font>
      <sz val="8"/>
      <color indexed="10"/>
      <name val="ＭＳ Ｐゴシック"/>
      <family val="3"/>
      <charset val="128"/>
    </font>
    <font>
      <b/>
      <sz val="8"/>
      <name val="Arial"/>
      <family val="2"/>
    </font>
    <font>
      <sz val="6"/>
      <color indexed="23"/>
      <name val="Arial"/>
      <family val="2"/>
    </font>
    <font>
      <sz val="6"/>
      <name val="Arial"/>
      <family val="2"/>
    </font>
    <font>
      <b/>
      <sz val="14"/>
      <color indexed="9"/>
      <name val="ＭＳ Ｐゴシック"/>
      <family val="3"/>
      <charset val="128"/>
    </font>
    <font>
      <sz val="9"/>
      <color indexed="9"/>
      <name val="ＭＳ Ｐゴシック"/>
      <family val="3"/>
      <charset val="128"/>
    </font>
    <font>
      <b/>
      <sz val="8"/>
      <color indexed="9"/>
      <name val="ＭＳ Ｐゴシック"/>
      <family val="3"/>
      <charset val="128"/>
    </font>
    <font>
      <sz val="9"/>
      <color indexed="17"/>
      <name val="ＭＳ Ｐゴシック"/>
      <family val="3"/>
      <charset val="128"/>
    </font>
    <font>
      <b/>
      <sz val="8"/>
      <color indexed="17"/>
      <name val="ＭＳ Ｐゴシック"/>
      <family val="3"/>
      <charset val="128"/>
    </font>
    <font>
      <i/>
      <sz val="11"/>
      <name val="ＭＳ Ｐゴシック"/>
      <family val="3"/>
      <charset val="128"/>
    </font>
    <font>
      <i/>
      <sz val="9"/>
      <color indexed="8"/>
      <name val="ＭＳ Ｐゴシック"/>
      <family val="3"/>
      <charset val="128"/>
    </font>
    <font>
      <i/>
      <sz val="9"/>
      <name val="ＭＳ Ｐゴシック"/>
      <family val="3"/>
      <charset val="128"/>
    </font>
    <font>
      <b/>
      <sz val="9"/>
      <color indexed="9"/>
      <name val="ＭＳ Ｐゴシック"/>
      <family val="3"/>
      <charset val="128"/>
    </font>
    <font>
      <b/>
      <sz val="9"/>
      <color indexed="8"/>
      <name val="ＭＳ Ｐゴシック"/>
      <family val="3"/>
      <charset val="128"/>
    </font>
    <font>
      <sz val="11"/>
      <color indexed="23"/>
      <name val="ＭＳ Ｐゴシック"/>
      <family val="3"/>
      <charset val="128"/>
    </font>
    <font>
      <b/>
      <sz val="10"/>
      <name val="ＭＳ Ｐゴシック"/>
      <family val="3"/>
      <charset val="128"/>
    </font>
    <font>
      <b/>
      <sz val="9"/>
      <color indexed="63"/>
      <name val="Arial"/>
      <family val="2"/>
    </font>
    <font>
      <b/>
      <sz val="11"/>
      <color indexed="63"/>
      <name val="Arial"/>
      <family val="2"/>
    </font>
    <font>
      <b/>
      <sz val="10"/>
      <color indexed="17"/>
      <name val="ＭＳ Ｐゴシック"/>
      <family val="3"/>
      <charset val="128"/>
    </font>
    <font>
      <sz val="9"/>
      <color indexed="63"/>
      <name val="Arial"/>
      <family val="2"/>
    </font>
    <font>
      <b/>
      <sz val="10"/>
      <color indexed="18"/>
      <name val="Arial"/>
      <family val="2"/>
    </font>
    <font>
      <b/>
      <sz val="10"/>
      <color indexed="10"/>
      <name val="ＭＳ Ｐゴシック"/>
      <family val="3"/>
      <charset val="128"/>
    </font>
    <font>
      <b/>
      <sz val="10"/>
      <color indexed="10"/>
      <name val="Arial"/>
      <family val="2"/>
    </font>
    <font>
      <b/>
      <sz val="9"/>
      <color indexed="10"/>
      <name val="Arial"/>
      <family val="2"/>
    </font>
    <font>
      <b/>
      <sz val="9"/>
      <color indexed="10"/>
      <name val="ＭＳ Ｐゴシック"/>
      <family val="3"/>
      <charset val="128"/>
    </font>
    <font>
      <vertAlign val="subscript"/>
      <sz val="10"/>
      <name val="ＭＳ Ｐゴシック"/>
      <family val="3"/>
      <charset val="128"/>
    </font>
    <font>
      <b/>
      <strike/>
      <sz val="10"/>
      <color indexed="18"/>
      <name val="Arial"/>
      <family val="2"/>
    </font>
    <font>
      <strike/>
      <sz val="10"/>
      <name val="ＭＳ Ｐゴシック"/>
      <family val="3"/>
      <charset val="128"/>
    </font>
    <font>
      <b/>
      <strike/>
      <sz val="10"/>
      <name val="ＭＳ Ｐゴシック"/>
      <family val="3"/>
      <charset val="128"/>
    </font>
    <font>
      <b/>
      <strike/>
      <sz val="9"/>
      <color indexed="8"/>
      <name val="ＭＳ Ｐゴシック"/>
      <family val="3"/>
      <charset val="128"/>
    </font>
    <font>
      <strike/>
      <sz val="9"/>
      <name val="ＭＳ Ｐゴシック"/>
      <family val="3"/>
      <charset val="128"/>
    </font>
    <font>
      <b/>
      <strike/>
      <sz val="8"/>
      <color indexed="17"/>
      <name val="ＭＳ Ｐゴシック"/>
      <family val="3"/>
      <charset val="128"/>
    </font>
    <font>
      <b/>
      <strike/>
      <sz val="11"/>
      <name val="ＭＳ Ｐゴシック"/>
      <family val="3"/>
      <charset val="128"/>
    </font>
    <font>
      <b/>
      <sz val="10"/>
      <color indexed="18"/>
      <name val="ＭＳ Ｐゴシック"/>
      <family val="3"/>
      <charset val="128"/>
    </font>
    <font>
      <b/>
      <vertAlign val="subscript"/>
      <sz val="11"/>
      <name val="ＭＳ Ｐゴシック"/>
      <family val="3"/>
      <charset val="128"/>
    </font>
    <font>
      <vertAlign val="superscript"/>
      <sz val="10"/>
      <name val="ＭＳ Ｐゴシック"/>
      <family val="3"/>
      <charset val="128"/>
    </font>
    <font>
      <b/>
      <vertAlign val="subscript"/>
      <sz val="10"/>
      <name val="ＭＳ Ｐゴシック"/>
      <family val="3"/>
      <charset val="128"/>
    </font>
    <font>
      <b/>
      <sz val="16"/>
      <name val="ＭＳ Ｐゴシック"/>
      <family val="3"/>
      <charset val="128"/>
    </font>
    <font>
      <b/>
      <sz val="18"/>
      <name val="ＭＳ Ｐゴシック"/>
      <family val="3"/>
      <charset val="128"/>
    </font>
    <font>
      <b/>
      <sz val="14"/>
      <name val="ＭＳ Ｐゴシック"/>
      <family val="3"/>
      <charset val="128"/>
    </font>
    <font>
      <sz val="14"/>
      <name val="ＭＳ Ｐゴシック"/>
      <family val="3"/>
      <charset val="128"/>
    </font>
    <font>
      <sz val="12"/>
      <name val="ＭＳ Ｐゴシック"/>
      <family val="3"/>
      <charset val="128"/>
    </font>
    <font>
      <b/>
      <i/>
      <sz val="12"/>
      <name val="ＭＳ Ｐゴシック"/>
      <family val="3"/>
      <charset val="128"/>
    </font>
    <font>
      <vertAlign val="superscript"/>
      <sz val="9"/>
      <name val="ＭＳ Ｐゴシック"/>
      <family val="3"/>
      <charset val="128"/>
    </font>
    <font>
      <b/>
      <vertAlign val="subscript"/>
      <sz val="10"/>
      <name val="Arial"/>
      <family val="2"/>
    </font>
    <font>
      <vertAlign val="subscript"/>
      <sz val="9"/>
      <name val="ＭＳ Ｐゴシック"/>
      <family val="3"/>
      <charset val="128"/>
    </font>
    <font>
      <sz val="10"/>
      <color indexed="8"/>
      <name val="ＭＳ Ｐゴシック"/>
      <family val="3"/>
      <charset val="128"/>
    </font>
    <font>
      <sz val="8"/>
      <name val="ＭＳ 明朝"/>
      <family val="1"/>
      <charset val="128"/>
    </font>
    <font>
      <sz val="8"/>
      <name val="M 中ゴシック BBB"/>
      <family val="3"/>
      <charset val="128"/>
    </font>
    <font>
      <b/>
      <vertAlign val="subscript"/>
      <sz val="9"/>
      <name val="ＭＳ Ｐゴシック"/>
      <family val="3"/>
      <charset val="128"/>
    </font>
    <font>
      <b/>
      <sz val="10"/>
      <color indexed="12"/>
      <name val="ＭＳ Ｐゴシック"/>
      <family val="3"/>
      <charset val="128"/>
    </font>
    <font>
      <b/>
      <vertAlign val="subscript"/>
      <sz val="12"/>
      <name val="ＭＳ Ｐゴシック"/>
      <family val="3"/>
      <charset val="128"/>
    </font>
    <font>
      <b/>
      <sz val="9"/>
      <color indexed="81"/>
      <name val="ＭＳ Ｐゴシック"/>
      <family val="3"/>
      <charset val="128"/>
    </font>
    <font>
      <sz val="9"/>
      <color indexed="81"/>
      <name val="ＭＳ Ｐゴシック"/>
      <family val="3"/>
      <charset val="128"/>
    </font>
    <font>
      <b/>
      <sz val="10"/>
      <color indexed="81"/>
      <name val="ＭＳ Ｐゴシック"/>
      <family val="3"/>
      <charset val="128"/>
    </font>
    <font>
      <sz val="11"/>
      <name val="ＭＳ Ｐゴシック"/>
      <family val="3"/>
      <charset val="128"/>
    </font>
    <font>
      <b/>
      <sz val="10"/>
      <color indexed="8"/>
      <name val="ＭＳ Ｐゴシック"/>
      <family val="3"/>
      <charset val="128"/>
    </font>
    <font>
      <sz val="10"/>
      <color indexed="12"/>
      <name val="ＭＳ Ｐゴシック"/>
      <family val="3"/>
      <charset val="128"/>
    </font>
    <font>
      <sz val="9"/>
      <color indexed="21"/>
      <name val="ＭＳ Ｐゴシック"/>
      <family val="3"/>
      <charset val="128"/>
    </font>
    <font>
      <i/>
      <sz val="9"/>
      <color theme="8" tint="-0.499984740745262"/>
      <name val="ＭＳ Ｐゴシック"/>
      <family val="3"/>
      <charset val="128"/>
    </font>
    <font>
      <b/>
      <i/>
      <sz val="10"/>
      <color theme="8" tint="-0.499984740745262"/>
      <name val="ＭＳ Ｐゴシック"/>
      <family val="3"/>
      <charset val="128"/>
    </font>
    <font>
      <sz val="10"/>
      <color theme="8"/>
      <name val="ＭＳ Ｐゴシック"/>
      <family val="3"/>
      <charset val="128"/>
    </font>
    <font>
      <sz val="9"/>
      <color rgb="FFFF0000"/>
      <name val="ＭＳ Ｐゴシック"/>
      <family val="3"/>
      <charset val="128"/>
    </font>
    <font>
      <vertAlign val="superscript"/>
      <sz val="9"/>
      <color rgb="FFFF0000"/>
      <name val="ＭＳ Ｐゴシック"/>
      <family val="3"/>
      <charset val="128"/>
    </font>
    <font>
      <sz val="10"/>
      <color rgb="FFFF0000"/>
      <name val="ＭＳ Ｐゴシック"/>
      <family val="3"/>
      <charset val="128"/>
    </font>
    <font>
      <b/>
      <sz val="10"/>
      <color theme="8"/>
      <name val="ＭＳ Ｐゴシック"/>
      <family val="3"/>
      <charset val="128"/>
    </font>
    <font>
      <b/>
      <sz val="9"/>
      <color theme="8"/>
      <name val="ＭＳ Ｐゴシック"/>
      <family val="3"/>
      <charset val="128"/>
    </font>
    <font>
      <b/>
      <sz val="11"/>
      <color theme="8"/>
      <name val="ＭＳ Ｐゴシック"/>
      <family val="3"/>
      <charset val="128"/>
    </font>
    <font>
      <sz val="10"/>
      <color theme="9" tint="-0.249977111117893"/>
      <name val="ＭＳ Ｐゴシック"/>
      <family val="3"/>
      <charset val="128"/>
    </font>
    <font>
      <b/>
      <sz val="10"/>
      <color theme="9" tint="-0.249977111117893"/>
      <name val="ＭＳ Ｐゴシック"/>
      <family val="3"/>
      <charset val="128"/>
    </font>
    <font>
      <b/>
      <sz val="10"/>
      <color rgb="FFFF0000"/>
      <name val="ＭＳ Ｐゴシック"/>
      <family val="3"/>
      <charset val="128"/>
    </font>
    <font>
      <sz val="11"/>
      <color theme="4"/>
      <name val="ＭＳ Ｐゴシック"/>
      <family val="3"/>
      <charset val="128"/>
    </font>
    <font>
      <sz val="10"/>
      <color theme="4" tint="-0.249977111117893"/>
      <name val="ＭＳ Ｐゴシック"/>
      <family val="3"/>
      <charset val="128"/>
    </font>
    <font>
      <b/>
      <sz val="9"/>
      <color theme="4" tint="-0.249977111117893"/>
      <name val="ＭＳ Ｐゴシック"/>
      <family val="3"/>
      <charset val="128"/>
    </font>
    <font>
      <b/>
      <sz val="9"/>
      <color indexed="81"/>
      <name val="MS P ゴシック"/>
      <family val="3"/>
      <charset val="128"/>
    </font>
    <font>
      <sz val="11"/>
      <color rgb="FFFF0000"/>
      <name val="ＭＳ Ｐゴシック"/>
      <family val="3"/>
      <charset val="128"/>
    </font>
    <font>
      <strike/>
      <sz val="9"/>
      <color theme="4" tint="-0.24994659260841701"/>
      <name val="ＭＳ Ｐゴシック"/>
      <family val="3"/>
      <charset val="128"/>
    </font>
    <font>
      <sz val="9"/>
      <color theme="4" tint="-0.249977111117893"/>
      <name val="ＭＳ Ｐゴシック"/>
      <family val="3"/>
      <charset val="128"/>
    </font>
    <font>
      <sz val="11"/>
      <color theme="4" tint="-0.249977111117893"/>
      <name val="ＭＳ Ｐゴシック"/>
      <family val="3"/>
      <charset val="128"/>
    </font>
  </fonts>
  <fills count="5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2"/>
        <bgColor indexed="64"/>
      </patternFill>
    </fill>
    <fill>
      <patternFill patternType="solid">
        <fgColor indexed="46"/>
        <bgColor indexed="64"/>
      </patternFill>
    </fill>
    <fill>
      <patternFill patternType="solid">
        <fgColor indexed="13"/>
        <bgColor indexed="64"/>
      </patternFill>
    </fill>
    <fill>
      <patternFill patternType="solid">
        <fgColor indexed="26"/>
        <bgColor indexed="64"/>
      </patternFill>
    </fill>
    <fill>
      <patternFill patternType="solid">
        <fgColor indexed="17"/>
        <bgColor indexed="64"/>
      </patternFill>
    </fill>
    <fill>
      <patternFill patternType="solid">
        <fgColor indexed="9"/>
        <bgColor indexed="64"/>
      </patternFill>
    </fill>
    <fill>
      <patternFill patternType="solid">
        <fgColor indexed="8"/>
        <bgColor indexed="64"/>
      </patternFill>
    </fill>
    <fill>
      <patternFill patternType="solid">
        <fgColor indexed="22"/>
        <bgColor indexed="64"/>
      </patternFill>
    </fill>
    <fill>
      <patternFill patternType="solid">
        <fgColor indexed="40"/>
        <bgColor indexed="64"/>
      </patternFill>
    </fill>
    <fill>
      <patternFill patternType="solid">
        <fgColor indexed="23"/>
        <bgColor indexed="64"/>
      </patternFill>
    </fill>
    <fill>
      <patternFill patternType="solid">
        <fgColor indexed="15"/>
        <bgColor indexed="64"/>
      </patternFill>
    </fill>
    <fill>
      <patternFill patternType="solid">
        <fgColor indexed="55"/>
        <bgColor indexed="64"/>
      </patternFill>
    </fill>
    <fill>
      <patternFill patternType="solid">
        <fgColor indexed="63"/>
        <bgColor indexed="9"/>
      </patternFill>
    </fill>
    <fill>
      <patternFill patternType="solid">
        <fgColor indexed="63"/>
        <bgColor indexed="64"/>
      </patternFill>
    </fill>
    <fill>
      <patternFill patternType="solid">
        <fgColor indexed="65"/>
        <bgColor indexed="64"/>
      </patternFill>
    </fill>
    <fill>
      <patternFill patternType="solid">
        <fgColor indexed="27"/>
        <bgColor indexed="64"/>
      </patternFill>
    </fill>
    <fill>
      <patternFill patternType="solid">
        <fgColor indexed="47"/>
        <bgColor indexed="64"/>
      </patternFill>
    </fill>
    <fill>
      <patternFill patternType="solid">
        <fgColor indexed="41"/>
        <bgColor indexed="64"/>
      </patternFill>
    </fill>
    <fill>
      <patternFill patternType="lightTrellis">
        <bgColor indexed="26"/>
      </patternFill>
    </fill>
    <fill>
      <patternFill patternType="solid">
        <fgColor indexed="50"/>
        <bgColor indexed="64"/>
      </patternFill>
    </fill>
    <fill>
      <patternFill patternType="lightTrellis">
        <bgColor indexed="22"/>
      </patternFill>
    </fill>
    <fill>
      <patternFill patternType="solid">
        <fgColor indexed="14"/>
        <bgColor indexed="64"/>
      </patternFill>
    </fill>
    <fill>
      <patternFill patternType="solid">
        <fgColor indexed="10"/>
        <bgColor indexed="64"/>
      </patternFill>
    </fill>
    <fill>
      <patternFill patternType="solid">
        <fgColor indexed="45"/>
        <bgColor indexed="64"/>
      </patternFill>
    </fill>
    <fill>
      <patternFill patternType="lightTrellis"/>
    </fill>
    <fill>
      <patternFill patternType="solid">
        <fgColor theme="1" tint="0.499984740745262"/>
        <bgColor indexed="64"/>
      </patternFill>
    </fill>
    <fill>
      <patternFill patternType="solid">
        <fgColor rgb="FFFFFF00"/>
        <bgColor indexed="64"/>
      </patternFill>
    </fill>
    <fill>
      <patternFill patternType="solid">
        <fgColor rgb="FFFFFFCC"/>
        <bgColor indexed="64"/>
      </patternFill>
    </fill>
    <fill>
      <patternFill patternType="solid">
        <fgColor theme="9"/>
        <bgColor indexed="64"/>
      </patternFill>
    </fill>
    <fill>
      <patternFill patternType="solid">
        <fgColor rgb="FFCCFFFF"/>
        <bgColor indexed="64"/>
      </patternFill>
    </fill>
    <fill>
      <patternFill patternType="solid">
        <fgColor theme="0" tint="-0.249977111117893"/>
        <bgColor indexed="64"/>
      </patternFill>
    </fill>
    <fill>
      <patternFill patternType="lightTrellis">
        <bgColor rgb="FFFFFF00"/>
      </patternFill>
    </fill>
    <fill>
      <patternFill patternType="solid">
        <fgColor theme="5"/>
        <bgColor indexed="64"/>
      </patternFill>
    </fill>
    <fill>
      <patternFill patternType="solid">
        <fgColor theme="7"/>
        <bgColor indexed="64"/>
      </patternFill>
    </fill>
  </fills>
  <borders count="25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17"/>
      </left>
      <right/>
      <top style="medium">
        <color indexed="17"/>
      </top>
      <bottom/>
      <diagonal/>
    </border>
    <border>
      <left/>
      <right/>
      <top style="medium">
        <color indexed="17"/>
      </top>
      <bottom/>
      <diagonal/>
    </border>
    <border>
      <left/>
      <right style="medium">
        <color indexed="17"/>
      </right>
      <top style="medium">
        <color indexed="17"/>
      </top>
      <bottom/>
      <diagonal/>
    </border>
    <border>
      <left style="medium">
        <color indexed="17"/>
      </left>
      <right/>
      <top style="thin">
        <color indexed="57"/>
      </top>
      <bottom style="thin">
        <color indexed="57"/>
      </bottom>
      <diagonal/>
    </border>
    <border>
      <left/>
      <right/>
      <top style="thin">
        <color indexed="57"/>
      </top>
      <bottom/>
      <diagonal/>
    </border>
    <border>
      <left/>
      <right style="medium">
        <color indexed="17"/>
      </right>
      <top style="thin">
        <color indexed="57"/>
      </top>
      <bottom/>
      <diagonal/>
    </border>
    <border>
      <left style="medium">
        <color indexed="17"/>
      </left>
      <right/>
      <top/>
      <bottom/>
      <diagonal/>
    </border>
    <border>
      <left/>
      <right style="medium">
        <color indexed="17"/>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17"/>
      </right>
      <top style="thin">
        <color indexed="64"/>
      </top>
      <bottom style="thin">
        <color indexed="64"/>
      </bottom>
      <diagonal/>
    </border>
    <border>
      <left style="medium">
        <color indexed="17"/>
      </left>
      <right/>
      <top style="medium">
        <color indexed="17"/>
      </top>
      <bottom style="medium">
        <color indexed="17"/>
      </bottom>
      <diagonal/>
    </border>
    <border>
      <left style="medium">
        <color indexed="17"/>
      </left>
      <right/>
      <top/>
      <bottom style="medium">
        <color indexed="17"/>
      </bottom>
      <diagonal/>
    </border>
    <border>
      <left style="thin">
        <color indexed="64"/>
      </left>
      <right style="thin">
        <color indexed="64"/>
      </right>
      <top style="thin">
        <color indexed="64"/>
      </top>
      <bottom style="medium">
        <color indexed="17"/>
      </bottom>
      <diagonal/>
    </border>
    <border>
      <left/>
      <right/>
      <top/>
      <bottom style="medium">
        <color indexed="17"/>
      </bottom>
      <diagonal/>
    </border>
    <border>
      <left/>
      <right style="medium">
        <color indexed="17"/>
      </right>
      <top/>
      <bottom style="medium">
        <color indexed="17"/>
      </bottom>
      <diagonal/>
    </border>
    <border>
      <left style="medium">
        <color indexed="17"/>
      </left>
      <right/>
      <top style="medium">
        <color indexed="17"/>
      </top>
      <bottom style="thin">
        <color indexed="17"/>
      </bottom>
      <diagonal/>
    </border>
    <border>
      <left/>
      <right/>
      <top style="medium">
        <color indexed="17"/>
      </top>
      <bottom style="thin">
        <color indexed="17"/>
      </bottom>
      <diagonal/>
    </border>
    <border>
      <left/>
      <right style="medium">
        <color indexed="17"/>
      </right>
      <top style="medium">
        <color indexed="17"/>
      </top>
      <bottom style="thin">
        <color indexed="17"/>
      </bottom>
      <diagonal/>
    </border>
    <border>
      <left/>
      <right/>
      <top style="thin">
        <color indexed="17"/>
      </top>
      <bottom/>
      <diagonal/>
    </border>
    <border>
      <left/>
      <right/>
      <top style="medium">
        <color indexed="17"/>
      </top>
      <bottom style="medium">
        <color indexed="17"/>
      </bottom>
      <diagonal/>
    </border>
    <border>
      <left/>
      <right style="medium">
        <color indexed="17"/>
      </right>
      <top style="medium">
        <color indexed="17"/>
      </top>
      <bottom style="medium">
        <color indexed="17"/>
      </bottom>
      <diagonal/>
    </border>
    <border>
      <left style="medium">
        <color indexed="17"/>
      </left>
      <right style="medium">
        <color indexed="17"/>
      </right>
      <top/>
      <bottom style="medium">
        <color indexed="17"/>
      </bottom>
      <diagonal/>
    </border>
    <border>
      <left style="medium">
        <color indexed="17"/>
      </left>
      <right/>
      <top style="medium">
        <color indexed="17"/>
      </top>
      <bottom style="hair">
        <color indexed="64"/>
      </bottom>
      <diagonal/>
    </border>
    <border>
      <left/>
      <right/>
      <top style="medium">
        <color indexed="17"/>
      </top>
      <bottom style="hair">
        <color indexed="64"/>
      </bottom>
      <diagonal/>
    </border>
    <border>
      <left/>
      <right style="medium">
        <color indexed="17"/>
      </right>
      <top style="medium">
        <color indexed="17"/>
      </top>
      <bottom style="hair">
        <color indexed="64"/>
      </bottom>
      <diagonal/>
    </border>
    <border>
      <left style="medium">
        <color indexed="17"/>
      </left>
      <right style="medium">
        <color indexed="17"/>
      </right>
      <top style="medium">
        <color indexed="17"/>
      </top>
      <bottom/>
      <diagonal/>
    </border>
    <border>
      <left style="medium">
        <color indexed="17"/>
      </left>
      <right/>
      <top style="hair">
        <color indexed="64"/>
      </top>
      <bottom style="hair">
        <color indexed="64"/>
      </bottom>
      <diagonal/>
    </border>
    <border>
      <left/>
      <right style="medium">
        <color indexed="17"/>
      </right>
      <top style="hair">
        <color indexed="64"/>
      </top>
      <bottom style="hair">
        <color indexed="64"/>
      </bottom>
      <diagonal/>
    </border>
    <border>
      <left style="medium">
        <color indexed="17"/>
      </left>
      <right/>
      <top style="hair">
        <color indexed="64"/>
      </top>
      <bottom style="medium">
        <color indexed="17"/>
      </bottom>
      <diagonal/>
    </border>
    <border>
      <left/>
      <right/>
      <top style="hair">
        <color indexed="64"/>
      </top>
      <bottom style="medium">
        <color indexed="17"/>
      </bottom>
      <diagonal/>
    </border>
    <border>
      <left/>
      <right style="medium">
        <color indexed="17"/>
      </right>
      <top style="hair">
        <color indexed="64"/>
      </top>
      <bottom style="medium">
        <color indexed="17"/>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9"/>
      </left>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hair">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hair">
        <color indexed="64"/>
      </left>
      <right/>
      <top/>
      <bottom/>
      <diagonal/>
    </border>
    <border>
      <left style="medium">
        <color indexed="64"/>
      </left>
      <right/>
      <top/>
      <bottom style="thin">
        <color indexed="64"/>
      </bottom>
      <diagonal/>
    </border>
    <border>
      <left style="hair">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hair">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9"/>
      </left>
      <right/>
      <top style="medium">
        <color indexed="64"/>
      </top>
      <bottom style="medium">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dashed">
        <color indexed="64"/>
      </right>
      <top/>
      <bottom style="thin">
        <color indexed="64"/>
      </bottom>
      <diagonal/>
    </border>
    <border>
      <left style="dashed">
        <color indexed="64"/>
      </left>
      <right style="thin">
        <color indexed="64"/>
      </right>
      <top/>
      <bottom style="thin">
        <color indexed="64"/>
      </bottom>
      <diagonal/>
    </border>
    <border>
      <left style="dashed">
        <color indexed="64"/>
      </left>
      <right/>
      <top/>
      <bottom style="thin">
        <color indexed="64"/>
      </bottom>
      <diagonal/>
    </border>
    <border>
      <left style="medium">
        <color indexed="64"/>
      </left>
      <right style="medium">
        <color indexed="64"/>
      </right>
      <top/>
      <bottom style="thin">
        <color indexed="64"/>
      </bottom>
      <diagonal/>
    </border>
    <border>
      <left style="thin">
        <color indexed="64"/>
      </left>
      <right style="dashed">
        <color indexed="64"/>
      </right>
      <top/>
      <bottom/>
      <diagonal/>
    </border>
    <border>
      <left style="dashed">
        <color indexed="64"/>
      </left>
      <right style="thin">
        <color indexed="64"/>
      </right>
      <top/>
      <bottom/>
      <diagonal/>
    </border>
    <border>
      <left style="dashed">
        <color indexed="64"/>
      </left>
      <right/>
      <top/>
      <bottom/>
      <diagonal/>
    </border>
    <border>
      <left style="medium">
        <color indexed="64"/>
      </left>
      <right style="medium">
        <color indexed="64"/>
      </right>
      <top/>
      <bottom/>
      <diagonal/>
    </border>
    <border>
      <left style="medium">
        <color indexed="64"/>
      </left>
      <right/>
      <top/>
      <bottom style="medium">
        <color indexed="23"/>
      </bottom>
      <diagonal/>
    </border>
    <border>
      <left/>
      <right/>
      <top style="medium">
        <color indexed="23"/>
      </top>
      <bottom style="medium">
        <color indexed="23"/>
      </bottom>
      <diagonal/>
    </border>
    <border>
      <left/>
      <right style="medium">
        <color indexed="64"/>
      </right>
      <top style="medium">
        <color indexed="23"/>
      </top>
      <bottom style="medium">
        <color indexed="23"/>
      </bottom>
      <diagonal/>
    </border>
    <border>
      <left style="medium">
        <color indexed="64"/>
      </left>
      <right/>
      <top style="medium">
        <color indexed="23"/>
      </top>
      <bottom style="medium">
        <color indexed="23"/>
      </bottom>
      <diagonal/>
    </border>
    <border>
      <left style="thin">
        <color indexed="64"/>
      </left>
      <right style="dashed">
        <color indexed="64"/>
      </right>
      <top style="medium">
        <color indexed="23"/>
      </top>
      <bottom style="medium">
        <color indexed="23"/>
      </bottom>
      <diagonal/>
    </border>
    <border>
      <left style="dashed">
        <color indexed="64"/>
      </left>
      <right style="thin">
        <color indexed="64"/>
      </right>
      <top style="medium">
        <color indexed="23"/>
      </top>
      <bottom style="medium">
        <color indexed="23"/>
      </bottom>
      <diagonal/>
    </border>
    <border>
      <left style="dashed">
        <color indexed="64"/>
      </left>
      <right/>
      <top style="medium">
        <color indexed="23"/>
      </top>
      <bottom style="medium">
        <color indexed="23"/>
      </bottom>
      <diagonal/>
    </border>
    <border>
      <left style="medium">
        <color indexed="64"/>
      </left>
      <right style="medium">
        <color indexed="64"/>
      </right>
      <top style="medium">
        <color indexed="23"/>
      </top>
      <bottom style="medium">
        <color indexed="23"/>
      </bottom>
      <diagonal/>
    </border>
    <border>
      <left/>
      <right/>
      <top style="medium">
        <color indexed="23"/>
      </top>
      <bottom style="thin">
        <color indexed="64"/>
      </bottom>
      <diagonal/>
    </border>
    <border>
      <left style="thin">
        <color indexed="64"/>
      </left>
      <right style="dashed">
        <color indexed="64"/>
      </right>
      <top style="medium">
        <color indexed="23"/>
      </top>
      <bottom style="thin">
        <color indexed="64"/>
      </bottom>
      <diagonal/>
    </border>
    <border>
      <left style="thin">
        <color indexed="64"/>
      </left>
      <right style="dashed">
        <color indexed="64"/>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23"/>
      </bottom>
      <diagonal/>
    </border>
    <border>
      <left/>
      <right/>
      <top style="medium">
        <color indexed="64"/>
      </top>
      <bottom style="medium">
        <color indexed="23"/>
      </bottom>
      <diagonal/>
    </border>
    <border>
      <left/>
      <right style="medium">
        <color indexed="64"/>
      </right>
      <top style="medium">
        <color indexed="64"/>
      </top>
      <bottom style="medium">
        <color indexed="23"/>
      </bottom>
      <diagonal/>
    </border>
    <border>
      <left style="thin">
        <color indexed="64"/>
      </left>
      <right style="dashed">
        <color indexed="64"/>
      </right>
      <top style="medium">
        <color indexed="64"/>
      </top>
      <bottom style="medium">
        <color indexed="23"/>
      </bottom>
      <diagonal/>
    </border>
    <border>
      <left style="dashed">
        <color indexed="64"/>
      </left>
      <right style="thin">
        <color indexed="64"/>
      </right>
      <top style="medium">
        <color indexed="64"/>
      </top>
      <bottom style="medium">
        <color indexed="23"/>
      </bottom>
      <diagonal/>
    </border>
    <border>
      <left style="dashed">
        <color indexed="64"/>
      </left>
      <right/>
      <top style="medium">
        <color indexed="64"/>
      </top>
      <bottom style="medium">
        <color indexed="23"/>
      </bottom>
      <diagonal/>
    </border>
    <border>
      <left style="medium">
        <color indexed="64"/>
      </left>
      <right style="medium">
        <color indexed="64"/>
      </right>
      <top style="medium">
        <color indexed="64"/>
      </top>
      <bottom style="medium">
        <color indexed="23"/>
      </bottom>
      <diagonal/>
    </border>
    <border>
      <left style="thin">
        <color indexed="64"/>
      </left>
      <right style="dashed">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dashed">
        <color indexed="64"/>
      </left>
      <right/>
      <top/>
      <bottom style="medium">
        <color indexed="64"/>
      </bottom>
      <diagonal/>
    </border>
    <border>
      <left style="thin">
        <color indexed="64"/>
      </left>
      <right style="dashed">
        <color indexed="64"/>
      </right>
      <top style="medium">
        <color indexed="64"/>
      </top>
      <bottom/>
      <diagonal/>
    </border>
    <border>
      <left style="medium">
        <color indexed="64"/>
      </left>
      <right style="medium">
        <color indexed="64"/>
      </right>
      <top style="thin">
        <color indexed="64"/>
      </top>
      <bottom style="medium">
        <color indexed="64"/>
      </bottom>
      <diagonal/>
    </border>
    <border>
      <left style="dashed">
        <color indexed="64"/>
      </left>
      <right style="medium">
        <color indexed="64"/>
      </right>
      <top/>
      <bottom/>
      <diagonal/>
    </border>
    <border>
      <left style="dashed">
        <color indexed="64"/>
      </left>
      <right style="thin">
        <color indexed="64"/>
      </right>
      <top style="medium">
        <color indexed="64"/>
      </top>
      <bottom/>
      <diagonal/>
    </border>
    <border>
      <left style="dashed">
        <color indexed="64"/>
      </left>
      <right/>
      <top style="medium">
        <color indexed="64"/>
      </top>
      <bottom/>
      <diagonal/>
    </border>
    <border>
      <left style="thin">
        <color indexed="64"/>
      </left>
      <right style="dashed">
        <color indexed="64"/>
      </right>
      <top style="medium">
        <color indexed="23"/>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23"/>
      </top>
      <bottom/>
      <diagonal/>
    </border>
    <border>
      <left style="medium">
        <color indexed="64"/>
      </left>
      <right/>
      <top style="medium">
        <color indexed="23"/>
      </top>
      <bottom style="thin">
        <color indexed="64"/>
      </bottom>
      <diagonal/>
    </border>
    <border>
      <left/>
      <right style="thin">
        <color indexed="64"/>
      </right>
      <top style="medium">
        <color indexed="23"/>
      </top>
      <bottom style="thin">
        <color indexed="64"/>
      </bottom>
      <diagonal/>
    </border>
    <border>
      <left style="thin">
        <color indexed="64"/>
      </left>
      <right style="dashed">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dashed">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medium">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thin">
        <color indexed="64"/>
      </left>
      <right/>
      <top/>
      <bottom style="hair">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style="medium">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right/>
      <top style="hair">
        <color indexed="64"/>
      </top>
      <bottom/>
      <diagonal/>
    </border>
    <border>
      <left/>
      <right style="thin">
        <color indexed="64"/>
      </right>
      <top style="hair">
        <color indexed="64"/>
      </top>
      <bottom/>
      <diagonal/>
    </border>
    <border>
      <left style="double">
        <color indexed="64"/>
      </left>
      <right/>
      <top style="hair">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hair">
        <color indexed="64"/>
      </top>
      <bottom/>
      <diagonal/>
    </border>
    <border>
      <left style="hair">
        <color indexed="64"/>
      </left>
      <right/>
      <top style="hair">
        <color indexed="64"/>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right style="thin">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top style="hair">
        <color indexed="64"/>
      </top>
      <bottom/>
      <diagonal/>
    </border>
    <border>
      <left style="hair">
        <color indexed="64"/>
      </left>
      <right style="thin">
        <color indexed="64"/>
      </right>
      <top style="thin">
        <color indexed="64"/>
      </top>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thin">
        <color indexed="64"/>
      </left>
      <right style="dashed">
        <color indexed="64"/>
      </right>
      <top style="medium">
        <color indexed="64"/>
      </top>
      <bottom style="thin">
        <color indexed="64"/>
      </bottom>
      <diagonal/>
    </border>
    <border>
      <left/>
      <right style="medium">
        <color indexed="64"/>
      </right>
      <top style="thin">
        <color indexed="64"/>
      </top>
      <bottom style="double">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right style="medium">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medium">
        <color indexed="23"/>
      </top>
      <bottom style="thin">
        <color indexed="64"/>
      </bottom>
      <diagonal/>
    </border>
    <border>
      <left style="double">
        <color indexed="64"/>
      </left>
      <right style="double">
        <color indexed="64"/>
      </right>
      <top style="double">
        <color indexed="64"/>
      </top>
      <bottom/>
      <diagonal/>
    </border>
    <border>
      <left style="double">
        <color indexed="64"/>
      </left>
      <right style="double">
        <color indexed="64"/>
      </right>
      <top/>
      <bottom/>
      <diagonal/>
    </border>
    <border>
      <left style="double">
        <color indexed="64"/>
      </left>
      <right style="double">
        <color indexed="64"/>
      </right>
      <top/>
      <bottom style="double">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style="medium">
        <color indexed="64"/>
      </right>
      <top/>
      <bottom style="hair">
        <color indexed="64"/>
      </bottom>
      <diagonal/>
    </border>
    <border>
      <left/>
      <right style="hair">
        <color indexed="64"/>
      </right>
      <top/>
      <bottom style="thin">
        <color indexed="64"/>
      </bottom>
      <diagonal/>
    </border>
    <border>
      <left style="medium">
        <color indexed="64"/>
      </left>
      <right style="thin">
        <color indexed="64"/>
      </right>
      <top style="hair">
        <color indexed="64"/>
      </top>
      <bottom/>
      <diagonal/>
    </border>
    <border>
      <left style="medium">
        <color indexed="64"/>
      </left>
      <right style="thin">
        <color indexed="64"/>
      </right>
      <top/>
      <bottom style="hair">
        <color indexed="64"/>
      </bottom>
      <diagonal/>
    </border>
    <border>
      <left/>
      <right style="hair">
        <color indexed="64"/>
      </right>
      <top/>
      <bottom/>
      <diagonal/>
    </border>
    <border>
      <left style="thin">
        <color indexed="64"/>
      </left>
      <right style="thin">
        <color indexed="64"/>
      </right>
      <top style="medium">
        <color indexed="64"/>
      </top>
      <bottom style="medium">
        <color indexed="23"/>
      </bottom>
      <diagonal/>
    </border>
    <border>
      <left style="thin">
        <color indexed="64"/>
      </left>
      <right style="thin">
        <color indexed="64"/>
      </right>
      <top style="medium">
        <color indexed="23"/>
      </top>
      <bottom style="medium">
        <color indexed="23"/>
      </bottom>
      <diagonal/>
    </border>
    <border>
      <left style="thin">
        <color indexed="64"/>
      </left>
      <right style="thin">
        <color indexed="64"/>
      </right>
      <top style="medium">
        <color indexed="23"/>
      </top>
      <bottom style="thin">
        <color indexed="64"/>
      </bottom>
      <diagonal/>
    </border>
    <border>
      <left style="thin">
        <color indexed="64"/>
      </left>
      <right style="medium">
        <color indexed="64"/>
      </right>
      <top style="medium">
        <color indexed="23"/>
      </top>
      <bottom style="thin">
        <color indexed="64"/>
      </bottom>
      <diagonal/>
    </border>
    <border>
      <left style="medium">
        <color indexed="64"/>
      </left>
      <right style="medium">
        <color indexed="64"/>
      </right>
      <top style="medium">
        <color indexed="23"/>
      </top>
      <bottom style="thin">
        <color indexed="64"/>
      </bottom>
      <diagonal/>
    </border>
    <border>
      <left style="thin">
        <color indexed="8"/>
      </left>
      <right style="thin">
        <color indexed="64"/>
      </right>
      <top style="thin">
        <color indexed="8"/>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style="medium">
        <color indexed="23"/>
      </bottom>
      <diagonal/>
    </border>
    <border>
      <left style="thin">
        <color indexed="64"/>
      </left>
      <right/>
      <top style="medium">
        <color indexed="23"/>
      </top>
      <bottom style="medium">
        <color indexed="23"/>
      </bottom>
      <diagonal/>
    </border>
    <border>
      <left style="thin">
        <color indexed="64"/>
      </left>
      <right/>
      <top style="medium">
        <color indexed="23"/>
      </top>
      <bottom style="thin">
        <color indexed="64"/>
      </bottom>
      <diagonal/>
    </border>
    <border>
      <left style="medium">
        <color indexed="64"/>
      </left>
      <right style="dashed">
        <color indexed="64"/>
      </right>
      <top/>
      <bottom/>
      <diagonal/>
    </border>
    <border>
      <left style="medium">
        <color indexed="64"/>
      </left>
      <right style="thin">
        <color indexed="64"/>
      </right>
      <top style="medium">
        <color indexed="64"/>
      </top>
      <bottom style="medium">
        <color indexed="23"/>
      </bottom>
      <diagonal/>
    </border>
    <border>
      <left style="thin">
        <color indexed="64"/>
      </left>
      <right style="medium">
        <color indexed="64"/>
      </right>
      <top style="medium">
        <color indexed="64"/>
      </top>
      <bottom style="medium">
        <color indexed="23"/>
      </bottom>
      <diagonal/>
    </border>
    <border>
      <left style="medium">
        <color indexed="64"/>
      </left>
      <right style="thin">
        <color indexed="64"/>
      </right>
      <top style="medium">
        <color indexed="23"/>
      </top>
      <bottom style="medium">
        <color indexed="23"/>
      </bottom>
      <diagonal/>
    </border>
    <border>
      <left style="thin">
        <color indexed="64"/>
      </left>
      <right style="medium">
        <color indexed="64"/>
      </right>
      <top style="medium">
        <color indexed="23"/>
      </top>
      <bottom style="medium">
        <color indexed="23"/>
      </bottom>
      <diagonal/>
    </border>
    <border>
      <left style="medium">
        <color indexed="64"/>
      </left>
      <right style="thin">
        <color indexed="64"/>
      </right>
      <top style="medium">
        <color indexed="23"/>
      </top>
      <bottom style="thin">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hair">
        <color indexed="64"/>
      </left>
      <right style="thin">
        <color indexed="64"/>
      </right>
      <top style="double">
        <color indexed="64"/>
      </top>
      <bottom style="thin">
        <color indexed="64"/>
      </bottom>
      <diagonal/>
    </border>
    <border>
      <left style="thin">
        <color indexed="64"/>
      </left>
      <right style="medium">
        <color indexed="64"/>
      </right>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48">
    <xf numFmtId="0" fontId="0" fillId="0" borderId="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1" fillId="8" borderId="0" applyNumberFormat="0" applyBorder="0" applyAlignment="0" applyProtection="0">
      <alignment vertical="center"/>
    </xf>
    <xf numFmtId="0" fontId="1" fillId="11"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3" fillId="0" borderId="0" applyNumberFormat="0" applyFill="0" applyBorder="0" applyAlignment="0" applyProtection="0">
      <alignment vertical="center"/>
    </xf>
    <xf numFmtId="0" fontId="4" fillId="20" borderId="1" applyNumberFormat="0" applyAlignment="0" applyProtection="0">
      <alignment vertical="center"/>
    </xf>
    <xf numFmtId="0" fontId="5" fillId="21" borderId="0" applyNumberFormat="0" applyBorder="0" applyAlignment="0" applyProtection="0">
      <alignment vertical="center"/>
    </xf>
    <xf numFmtId="9" fontId="6" fillId="0" borderId="0" applyFont="0" applyFill="0" applyBorder="0" applyAlignment="0" applyProtection="0">
      <alignment vertical="center"/>
    </xf>
    <xf numFmtId="0" fontId="7" fillId="0" borderId="0" applyNumberFormat="0" applyFill="0" applyBorder="0" applyAlignment="0" applyProtection="0">
      <alignment vertical="top"/>
      <protection locked="0"/>
    </xf>
    <xf numFmtId="0" fontId="6"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38" fontId="6" fillId="0" borderId="0" applyFon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6" fillId="0" borderId="0"/>
    <xf numFmtId="0" fontId="6" fillId="0" borderId="0"/>
    <xf numFmtId="0" fontId="19" fillId="0" borderId="0"/>
    <xf numFmtId="0" fontId="20" fillId="4" borderId="0" applyNumberFormat="0" applyBorder="0" applyAlignment="0" applyProtection="0">
      <alignment vertical="center"/>
    </xf>
  </cellStyleXfs>
  <cellXfs count="3201">
    <xf numFmtId="0" fontId="0" fillId="0" borderId="0" xfId="0">
      <alignment vertical="center"/>
    </xf>
    <xf numFmtId="0" fontId="0" fillId="0" borderId="10" xfId="0" applyBorder="1">
      <alignment vertical="center"/>
    </xf>
    <xf numFmtId="0" fontId="0" fillId="0" borderId="15" xfId="0" applyBorder="1">
      <alignment vertical="center"/>
    </xf>
    <xf numFmtId="0" fontId="0" fillId="0" borderId="17" xfId="0" applyBorder="1">
      <alignment vertical="center"/>
    </xf>
    <xf numFmtId="0" fontId="6" fillId="27" borderId="0" xfId="0" applyFont="1" applyFill="1">
      <alignment vertical="center"/>
    </xf>
    <xf numFmtId="0" fontId="11" fillId="27" borderId="0" xfId="0" applyFont="1" applyFill="1">
      <alignment vertical="center"/>
    </xf>
    <xf numFmtId="0" fontId="24" fillId="28" borderId="0" xfId="0" applyFont="1" applyFill="1" applyAlignment="1" applyProtection="1">
      <alignment horizontal="centerContinuous" vertical="center"/>
      <protection hidden="1"/>
    </xf>
    <xf numFmtId="0" fontId="25" fillId="28" borderId="0" xfId="0" applyFont="1" applyFill="1" applyAlignment="1" applyProtection="1">
      <alignment horizontal="centerContinuous" vertical="center"/>
      <protection hidden="1"/>
    </xf>
    <xf numFmtId="0" fontId="24" fillId="28" borderId="0" xfId="0" applyFont="1" applyFill="1" applyAlignment="1" applyProtection="1">
      <alignment horizontal="centerContinuous" vertical="top"/>
      <protection hidden="1"/>
    </xf>
    <xf numFmtId="0" fontId="0" fillId="27" borderId="0" xfId="0" applyFill="1">
      <alignment vertical="center"/>
    </xf>
    <xf numFmtId="0" fontId="26" fillId="27" borderId="0" xfId="0" applyFont="1" applyFill="1" applyAlignment="1">
      <alignment horizontal="left" vertical="center"/>
    </xf>
    <xf numFmtId="0" fontId="27" fillId="27" borderId="0" xfId="0" applyFont="1" applyFill="1" applyAlignment="1">
      <alignment horizontal="left" vertical="center"/>
    </xf>
    <xf numFmtId="0" fontId="0" fillId="27" borderId="0" xfId="0" applyFill="1" applyProtection="1">
      <alignment vertical="center"/>
      <protection hidden="1"/>
    </xf>
    <xf numFmtId="0" fontId="28" fillId="27" borderId="0" xfId="0" applyFont="1" applyFill="1" applyAlignment="1">
      <alignment horizontal="left" vertical="center"/>
    </xf>
    <xf numFmtId="0" fontId="29" fillId="27" borderId="0" xfId="0" applyFont="1" applyFill="1" applyAlignment="1">
      <alignment horizontal="left" vertical="center"/>
    </xf>
    <xf numFmtId="0" fontId="30" fillId="0" borderId="18" xfId="0" applyFont="1" applyBorder="1" applyProtection="1">
      <alignment vertical="center"/>
      <protection hidden="1"/>
    </xf>
    <xf numFmtId="0" fontId="0" fillId="0" borderId="19" xfId="0" applyBorder="1" applyProtection="1">
      <alignment vertical="center"/>
      <protection hidden="1"/>
    </xf>
    <xf numFmtId="0" fontId="0" fillId="0" borderId="20" xfId="0" applyBorder="1" applyProtection="1">
      <alignment vertical="center"/>
      <protection hidden="1"/>
    </xf>
    <xf numFmtId="0" fontId="31" fillId="28" borderId="21" xfId="0" applyFont="1" applyFill="1" applyBorder="1" applyProtection="1">
      <alignment vertical="center"/>
      <protection hidden="1"/>
    </xf>
    <xf numFmtId="0" fontId="32" fillId="28" borderId="22" xfId="0" applyFont="1" applyFill="1" applyBorder="1" applyProtection="1">
      <alignment vertical="center"/>
      <protection hidden="1"/>
    </xf>
    <xf numFmtId="0" fontId="32" fillId="28" borderId="23" xfId="0" applyFont="1" applyFill="1" applyBorder="1" applyProtection="1">
      <alignment vertical="center"/>
      <protection hidden="1"/>
    </xf>
    <xf numFmtId="0" fontId="31" fillId="28" borderId="24" xfId="0" applyFont="1" applyFill="1" applyBorder="1" applyProtection="1">
      <alignment vertical="center"/>
      <protection hidden="1"/>
    </xf>
    <xf numFmtId="0" fontId="32" fillId="28" borderId="0" xfId="0" applyFont="1" applyFill="1" applyProtection="1">
      <alignment vertical="center"/>
      <protection hidden="1"/>
    </xf>
    <xf numFmtId="0" fontId="32" fillId="28" borderId="25" xfId="0" applyFont="1" applyFill="1" applyBorder="1" applyProtection="1">
      <alignment vertical="center"/>
      <protection hidden="1"/>
    </xf>
    <xf numFmtId="49" fontId="33" fillId="27" borderId="24" xfId="0" applyNumberFormat="1" applyFont="1" applyFill="1" applyBorder="1" applyAlignment="1" applyProtection="1">
      <protection hidden="1"/>
    </xf>
    <xf numFmtId="0" fontId="33" fillId="0" borderId="10" xfId="0" applyFont="1" applyBorder="1" applyAlignment="1" applyProtection="1">
      <alignment horizontal="right" vertical="center"/>
      <protection locked="0"/>
    </xf>
    <xf numFmtId="179" fontId="6" fillId="27" borderId="0" xfId="0" applyNumberFormat="1" applyFont="1" applyFill="1" applyAlignment="1">
      <alignment horizontal="right" vertical="center"/>
    </xf>
    <xf numFmtId="179" fontId="6" fillId="27" borderId="25" xfId="0" applyNumberFormat="1" applyFont="1" applyFill="1" applyBorder="1" applyAlignment="1">
      <alignment horizontal="right" vertical="center"/>
    </xf>
    <xf numFmtId="0" fontId="33" fillId="27" borderId="24" xfId="0" applyFont="1" applyFill="1" applyBorder="1" applyAlignment="1" applyProtection="1">
      <protection hidden="1"/>
    </xf>
    <xf numFmtId="0" fontId="33" fillId="0" borderId="26" xfId="0" applyFont="1" applyBorder="1" applyAlignment="1" applyProtection="1">
      <alignment horizontal="left" vertical="center"/>
      <protection locked="0"/>
    </xf>
    <xf numFmtId="0" fontId="33" fillId="29" borderId="27" xfId="0" applyFont="1" applyFill="1" applyBorder="1" applyAlignment="1" applyProtection="1">
      <alignment horizontal="left" vertical="center"/>
      <protection locked="0"/>
    </xf>
    <xf numFmtId="0" fontId="35" fillId="0" borderId="28" xfId="0" applyFont="1" applyBorder="1" applyAlignment="1" applyProtection="1">
      <alignment horizontal="center" vertical="center"/>
      <protection locked="0"/>
    </xf>
    <xf numFmtId="55" fontId="33" fillId="0" borderId="10" xfId="0" applyNumberFormat="1" applyFont="1" applyBorder="1" applyAlignment="1" applyProtection="1">
      <alignment horizontal="right" vertical="center"/>
      <protection locked="0"/>
    </xf>
    <xf numFmtId="0" fontId="35" fillId="0" borderId="25" xfId="0" applyFont="1" applyBorder="1" applyAlignment="1" applyProtection="1">
      <alignment horizontal="center" vertical="center"/>
      <protection locked="0"/>
    </xf>
    <xf numFmtId="179" fontId="33" fillId="0" borderId="10" xfId="35" applyNumberFormat="1" applyFont="1" applyFill="1" applyBorder="1" applyAlignment="1" applyProtection="1">
      <alignment horizontal="right" vertical="center"/>
      <protection locked="0"/>
    </xf>
    <xf numFmtId="0" fontId="28" fillId="27" borderId="0" xfId="0" applyFont="1" applyFill="1" applyAlignment="1" applyProtection="1">
      <alignment horizontal="left" vertical="center"/>
      <protection hidden="1"/>
    </xf>
    <xf numFmtId="40" fontId="6" fillId="27" borderId="10" xfId="35" applyNumberFormat="1" applyFont="1" applyFill="1" applyBorder="1" applyAlignment="1" applyProtection="1">
      <alignment horizontal="right" vertical="center"/>
    </xf>
    <xf numFmtId="0" fontId="33" fillId="27" borderId="24" xfId="0" applyFont="1" applyFill="1" applyBorder="1" applyAlignment="1" applyProtection="1">
      <alignment horizontal="left"/>
      <protection hidden="1"/>
    </xf>
    <xf numFmtId="183" fontId="33" fillId="0" borderId="10" xfId="0" applyNumberFormat="1" applyFont="1" applyBorder="1" applyAlignment="1" applyProtection="1">
      <alignment horizontal="right" vertical="center"/>
      <protection locked="0"/>
    </xf>
    <xf numFmtId="0" fontId="33" fillId="27" borderId="0" xfId="0" applyFont="1" applyFill="1" applyAlignment="1" applyProtection="1">
      <protection hidden="1"/>
    </xf>
    <xf numFmtId="0" fontId="33" fillId="27" borderId="25" xfId="0" applyFont="1" applyFill="1" applyBorder="1" applyAlignment="1" applyProtection="1">
      <protection hidden="1"/>
    </xf>
    <xf numFmtId="0" fontId="0" fillId="27" borderId="0" xfId="0" applyFill="1" applyAlignment="1"/>
    <xf numFmtId="0" fontId="31" fillId="28" borderId="29" xfId="0" applyFont="1" applyFill="1" applyBorder="1" applyProtection="1">
      <alignment vertical="center"/>
      <protection hidden="1"/>
    </xf>
    <xf numFmtId="0" fontId="32" fillId="28" borderId="19" xfId="0" applyFont="1" applyFill="1" applyBorder="1" applyProtection="1">
      <alignment vertical="center"/>
      <protection hidden="1"/>
    </xf>
    <xf numFmtId="0" fontId="32" fillId="28" borderId="20" xfId="0" applyFont="1" applyFill="1" applyBorder="1" applyProtection="1">
      <alignment vertical="center"/>
      <protection hidden="1"/>
    </xf>
    <xf numFmtId="0" fontId="37" fillId="27" borderId="24" xfId="0" applyFont="1" applyFill="1" applyBorder="1" applyProtection="1">
      <alignment vertical="center"/>
      <protection hidden="1"/>
    </xf>
    <xf numFmtId="31" fontId="33" fillId="0" borderId="10" xfId="0" applyNumberFormat="1" applyFont="1" applyBorder="1" applyAlignment="1" applyProtection="1">
      <alignment horizontal="right" vertical="center"/>
      <protection locked="0"/>
    </xf>
    <xf numFmtId="0" fontId="33" fillId="27" borderId="0" xfId="0" applyFont="1" applyFill="1">
      <alignment vertical="center"/>
    </xf>
    <xf numFmtId="0" fontId="37" fillId="27" borderId="30" xfId="0" applyFont="1" applyFill="1" applyBorder="1" applyProtection="1">
      <alignment vertical="center"/>
      <protection hidden="1"/>
    </xf>
    <xf numFmtId="0" fontId="35" fillId="0" borderId="31" xfId="0" applyFont="1" applyBorder="1" applyAlignment="1" applyProtection="1">
      <alignment horizontal="right" vertical="center"/>
      <protection locked="0"/>
    </xf>
    <xf numFmtId="0" fontId="38" fillId="27" borderId="32" xfId="0" applyFont="1" applyFill="1" applyBorder="1" applyProtection="1">
      <alignment vertical="center"/>
      <protection hidden="1"/>
    </xf>
    <xf numFmtId="0" fontId="0" fillId="27" borderId="33" xfId="0" applyFill="1" applyBorder="1" applyAlignment="1" applyProtection="1">
      <protection hidden="1"/>
    </xf>
    <xf numFmtId="0" fontId="33" fillId="27" borderId="19" xfId="0" applyFont="1" applyFill="1" applyBorder="1" applyAlignment="1" applyProtection="1">
      <alignment horizontal="left" vertical="top" wrapText="1"/>
      <protection hidden="1"/>
    </xf>
    <xf numFmtId="0" fontId="30" fillId="0" borderId="34" xfId="0" applyFont="1" applyBorder="1" applyProtection="1">
      <alignment vertical="center"/>
      <protection hidden="1"/>
    </xf>
    <xf numFmtId="0" fontId="30" fillId="0" borderId="35" xfId="0" applyFont="1" applyBorder="1" applyProtection="1">
      <alignment vertical="center"/>
      <protection hidden="1"/>
    </xf>
    <xf numFmtId="0" fontId="30" fillId="0" borderId="36" xfId="0" applyFont="1" applyBorder="1" applyProtection="1">
      <alignment vertical="center"/>
      <protection hidden="1"/>
    </xf>
    <xf numFmtId="0" fontId="31" fillId="28" borderId="24" xfId="0" applyFont="1" applyFill="1" applyBorder="1" applyAlignment="1" applyProtection="1">
      <alignment horizontal="center" vertical="center"/>
      <protection hidden="1"/>
    </xf>
    <xf numFmtId="0" fontId="31" fillId="28" borderId="37" xfId="0" applyFont="1" applyFill="1" applyBorder="1" applyAlignment="1" applyProtection="1">
      <alignment horizontal="center" vertical="center"/>
      <protection hidden="1"/>
    </xf>
    <xf numFmtId="0" fontId="31" fillId="28" borderId="25" xfId="0" applyFont="1" applyFill="1" applyBorder="1" applyAlignment="1" applyProtection="1">
      <alignment horizontal="center" vertical="center"/>
      <protection hidden="1"/>
    </xf>
    <xf numFmtId="0" fontId="33" fillId="27" borderId="18" xfId="0" applyFont="1" applyFill="1" applyBorder="1" applyProtection="1">
      <alignment vertical="center"/>
      <protection hidden="1"/>
    </xf>
    <xf numFmtId="179" fontId="6" fillId="0" borderId="10" xfId="35" applyNumberFormat="1" applyFont="1" applyFill="1" applyBorder="1" applyAlignment="1" applyProtection="1">
      <alignment horizontal="right" vertical="center"/>
      <protection locked="0"/>
    </xf>
    <xf numFmtId="0" fontId="33" fillId="27" borderId="24" xfId="0" applyFont="1" applyFill="1" applyBorder="1" applyProtection="1">
      <alignment vertical="center"/>
      <protection hidden="1"/>
    </xf>
    <xf numFmtId="0" fontId="33" fillId="27" borderId="0" xfId="0" applyFont="1" applyFill="1" applyProtection="1">
      <alignment vertical="center"/>
      <protection hidden="1"/>
    </xf>
    <xf numFmtId="0" fontId="6" fillId="0" borderId="28" xfId="0" applyFont="1" applyBorder="1" applyAlignment="1" applyProtection="1">
      <alignment horizontal="center" vertical="center"/>
      <protection locked="0"/>
    </xf>
    <xf numFmtId="0" fontId="33" fillId="27" borderId="30" xfId="0" applyFont="1" applyFill="1" applyBorder="1" applyProtection="1">
      <alignment vertical="center"/>
      <protection hidden="1"/>
    </xf>
    <xf numFmtId="0" fontId="33" fillId="27" borderId="32" xfId="0" applyFont="1" applyFill="1" applyBorder="1" applyProtection="1">
      <alignment vertical="center"/>
      <protection hidden="1"/>
    </xf>
    <xf numFmtId="0" fontId="33" fillId="27" borderId="33" xfId="0" applyFont="1" applyFill="1" applyBorder="1" applyProtection="1">
      <alignment vertical="center"/>
      <protection hidden="1"/>
    </xf>
    <xf numFmtId="0" fontId="30" fillId="0" borderId="29" xfId="0" applyFont="1" applyBorder="1" applyProtection="1">
      <alignment vertical="center"/>
      <protection hidden="1"/>
    </xf>
    <xf numFmtId="0" fontId="41" fillId="0" borderId="38" xfId="0" applyFont="1" applyBorder="1" applyAlignment="1" applyProtection="1">
      <alignment horizontal="left" vertical="center" indent="1"/>
      <protection hidden="1"/>
    </xf>
    <xf numFmtId="0" fontId="41" fillId="0" borderId="38" xfId="0" applyFont="1" applyBorder="1" applyAlignment="1" applyProtection="1">
      <alignment horizontal="right" vertical="center"/>
      <protection hidden="1"/>
    </xf>
    <xf numFmtId="0" fontId="41" fillId="0" borderId="39" xfId="0" applyFont="1" applyBorder="1" applyAlignment="1" applyProtection="1">
      <alignment horizontal="right" vertical="center"/>
      <protection hidden="1"/>
    </xf>
    <xf numFmtId="0" fontId="31" fillId="28" borderId="40" xfId="0" applyFont="1" applyFill="1" applyBorder="1" applyProtection="1">
      <alignment vertical="center"/>
      <protection hidden="1"/>
    </xf>
    <xf numFmtId="0" fontId="42" fillId="27" borderId="41" xfId="29" applyFont="1" applyFill="1" applyBorder="1" applyAlignment="1" applyProtection="1">
      <alignment horizontal="left" vertical="center" indent="1"/>
      <protection hidden="1"/>
    </xf>
    <xf numFmtId="0" fontId="0" fillId="27" borderId="42" xfId="0" applyFill="1" applyBorder="1" applyAlignment="1" applyProtection="1">
      <alignment horizontal="left" vertical="center" indent="1"/>
      <protection hidden="1"/>
    </xf>
    <xf numFmtId="0" fontId="0" fillId="27" borderId="43" xfId="0" applyFill="1" applyBorder="1" applyAlignment="1" applyProtection="1">
      <alignment horizontal="left" vertical="center" indent="1"/>
      <protection hidden="1"/>
    </xf>
    <xf numFmtId="0" fontId="31" fillId="28" borderId="44" xfId="0" applyFont="1" applyFill="1" applyBorder="1" applyProtection="1">
      <alignment vertical="center"/>
      <protection hidden="1"/>
    </xf>
    <xf numFmtId="0" fontId="42" fillId="27" borderId="45" xfId="29" applyFont="1" applyFill="1" applyBorder="1" applyAlignment="1" applyProtection="1">
      <alignment horizontal="left" vertical="center" indent="1"/>
      <protection hidden="1"/>
    </xf>
    <xf numFmtId="0" fontId="42" fillId="27" borderId="13" xfId="29" applyFont="1" applyFill="1" applyBorder="1" applyAlignment="1" applyProtection="1">
      <alignment horizontal="left" vertical="center" indent="1"/>
      <protection hidden="1"/>
    </xf>
    <xf numFmtId="0" fontId="0" fillId="27" borderId="46" xfId="0" applyFill="1" applyBorder="1" applyAlignment="1" applyProtection="1">
      <alignment horizontal="left" vertical="center" indent="1"/>
      <protection hidden="1"/>
    </xf>
    <xf numFmtId="0" fontId="42" fillId="27" borderId="47" xfId="29" applyFont="1" applyFill="1" applyBorder="1" applyAlignment="1" applyProtection="1">
      <alignment horizontal="left" vertical="center" indent="1"/>
      <protection hidden="1"/>
    </xf>
    <xf numFmtId="0" fontId="42" fillId="27" borderId="48" xfId="29" applyFont="1" applyFill="1" applyBorder="1" applyAlignment="1" applyProtection="1">
      <alignment horizontal="left" vertical="center" indent="1"/>
      <protection hidden="1"/>
    </xf>
    <xf numFmtId="0" fontId="0" fillId="27" borderId="49" xfId="0" applyFill="1" applyBorder="1" applyAlignment="1" applyProtection="1">
      <alignment horizontal="left" vertical="center" indent="1"/>
      <protection hidden="1"/>
    </xf>
    <xf numFmtId="0" fontId="33" fillId="27" borderId="10" xfId="0" applyFont="1" applyFill="1" applyBorder="1" applyAlignment="1">
      <alignment horizontal="left" vertical="top"/>
    </xf>
    <xf numFmtId="0" fontId="33" fillId="27" borderId="26" xfId="0" applyFont="1" applyFill="1" applyBorder="1" applyAlignment="1" applyProtection="1">
      <alignment horizontal="left" vertical="top"/>
      <protection hidden="1"/>
    </xf>
    <xf numFmtId="0" fontId="32" fillId="27" borderId="50" xfId="0" applyFont="1" applyFill="1" applyBorder="1" applyAlignment="1" applyProtection="1">
      <alignment horizontal="left" vertical="top"/>
      <protection hidden="1"/>
    </xf>
    <xf numFmtId="0" fontId="33" fillId="27" borderId="27" xfId="0" applyFont="1" applyFill="1" applyBorder="1" applyAlignment="1">
      <alignment horizontal="left" vertical="top"/>
    </xf>
    <xf numFmtId="0" fontId="33" fillId="27" borderId="51" xfId="0" applyFont="1" applyFill="1" applyBorder="1" applyAlignment="1" applyProtection="1">
      <alignment horizontal="left" vertical="top"/>
      <protection hidden="1"/>
    </xf>
    <xf numFmtId="0" fontId="33" fillId="27" borderId="52" xfId="0" applyFont="1" applyFill="1" applyBorder="1" applyAlignment="1" applyProtection="1">
      <alignment horizontal="left" vertical="top"/>
      <protection hidden="1"/>
    </xf>
    <xf numFmtId="0" fontId="33" fillId="27" borderId="53" xfId="0" applyFont="1" applyFill="1" applyBorder="1" applyAlignment="1" applyProtection="1">
      <alignment horizontal="left" vertical="top"/>
      <protection hidden="1"/>
    </xf>
    <xf numFmtId="0" fontId="33" fillId="27" borderId="54" xfId="0" applyFont="1" applyFill="1" applyBorder="1" applyAlignment="1">
      <alignment horizontal="left" vertical="top"/>
    </xf>
    <xf numFmtId="0" fontId="33" fillId="27" borderId="0" xfId="0" applyFont="1" applyFill="1" applyAlignment="1">
      <alignment horizontal="left" vertical="top"/>
    </xf>
    <xf numFmtId="0" fontId="33" fillId="27" borderId="11" xfId="0" applyFont="1" applyFill="1" applyBorder="1" applyAlignment="1" applyProtection="1">
      <alignment horizontal="left" vertical="top"/>
      <protection hidden="1"/>
    </xf>
    <xf numFmtId="0" fontId="33" fillId="27" borderId="12" xfId="0" applyFont="1" applyFill="1" applyBorder="1" applyAlignment="1" applyProtection="1">
      <alignment horizontal="left" vertical="top"/>
      <protection hidden="1"/>
    </xf>
    <xf numFmtId="0" fontId="33" fillId="27" borderId="13" xfId="0" applyFont="1" applyFill="1" applyBorder="1" applyAlignment="1" applyProtection="1">
      <alignment horizontal="left" vertical="top"/>
      <protection hidden="1"/>
    </xf>
    <xf numFmtId="0" fontId="33" fillId="27" borderId="14" xfId="0" applyFont="1" applyFill="1" applyBorder="1" applyAlignment="1">
      <alignment horizontal="left" vertical="top"/>
    </xf>
    <xf numFmtId="0" fontId="43" fillId="27" borderId="13" xfId="0" applyFont="1" applyFill="1" applyBorder="1" applyAlignment="1" applyProtection="1">
      <alignment horizontal="left" vertical="top"/>
      <protection hidden="1"/>
    </xf>
    <xf numFmtId="0" fontId="33" fillId="27" borderId="55" xfId="0" applyFont="1" applyFill="1" applyBorder="1" applyAlignment="1" applyProtection="1">
      <alignment horizontal="left" vertical="top"/>
      <protection hidden="1"/>
    </xf>
    <xf numFmtId="0" fontId="33" fillId="27" borderId="56" xfId="0" applyFont="1" applyFill="1" applyBorder="1" applyAlignment="1" applyProtection="1">
      <alignment horizontal="left" vertical="top"/>
      <protection hidden="1"/>
    </xf>
    <xf numFmtId="0" fontId="43" fillId="27" borderId="57" xfId="0" applyFont="1" applyFill="1" applyBorder="1" applyAlignment="1" applyProtection="1">
      <alignment horizontal="left" vertical="top"/>
      <protection hidden="1"/>
    </xf>
    <xf numFmtId="0" fontId="33" fillId="27" borderId="58" xfId="0" applyFont="1" applyFill="1" applyBorder="1" applyAlignment="1">
      <alignment horizontal="left" vertical="top"/>
    </xf>
    <xf numFmtId="0" fontId="44" fillId="30" borderId="59" xfId="0" applyFont="1" applyFill="1" applyBorder="1">
      <alignment vertical="center"/>
    </xf>
    <xf numFmtId="0" fontId="32" fillId="30" borderId="60" xfId="45" applyFont="1" applyFill="1" applyBorder="1" applyAlignment="1" applyProtection="1">
      <alignment vertical="center"/>
      <protection hidden="1"/>
    </xf>
    <xf numFmtId="0" fontId="32" fillId="30" borderId="60" xfId="45" applyFont="1" applyFill="1" applyBorder="1" applyAlignment="1" applyProtection="1">
      <alignment horizontal="left" vertical="center"/>
      <protection hidden="1"/>
    </xf>
    <xf numFmtId="0" fontId="32" fillId="30" borderId="61" xfId="45" applyFont="1" applyFill="1" applyBorder="1" applyAlignment="1" applyProtection="1">
      <alignment vertical="center"/>
      <protection hidden="1"/>
    </xf>
    <xf numFmtId="0" fontId="45" fillId="0" borderId="0" xfId="0" applyFont="1">
      <alignment vertical="center"/>
    </xf>
    <xf numFmtId="0" fontId="6" fillId="27" borderId="62" xfId="45" applyFill="1" applyBorder="1"/>
    <xf numFmtId="0" fontId="6" fillId="27" borderId="0" xfId="45" applyFill="1" applyAlignment="1" applyProtection="1">
      <alignment vertical="center"/>
      <protection hidden="1"/>
    </xf>
    <xf numFmtId="0" fontId="6" fillId="27" borderId="0" xfId="45" applyFill="1" applyAlignment="1" applyProtection="1">
      <alignment horizontal="left" vertical="center"/>
      <protection hidden="1"/>
    </xf>
    <xf numFmtId="0" fontId="6" fillId="27" borderId="63" xfId="0" applyFont="1" applyFill="1" applyBorder="1">
      <alignment vertical="center"/>
    </xf>
    <xf numFmtId="0" fontId="6" fillId="27" borderId="52" xfId="0" applyFont="1" applyFill="1" applyBorder="1">
      <alignment vertical="center"/>
    </xf>
    <xf numFmtId="0" fontId="6" fillId="27" borderId="53" xfId="0" applyFont="1" applyFill="1" applyBorder="1">
      <alignment vertical="center"/>
    </xf>
    <xf numFmtId="0" fontId="0" fillId="27" borderId="54" xfId="0" applyFill="1" applyBorder="1">
      <alignment vertical="center"/>
    </xf>
    <xf numFmtId="0" fontId="0" fillId="0" borderId="10" xfId="0" applyBorder="1" applyProtection="1">
      <alignment vertical="center"/>
      <protection locked="0"/>
    </xf>
    <xf numFmtId="0" fontId="6" fillId="27" borderId="62" xfId="45" applyFill="1" applyBorder="1" applyAlignment="1">
      <alignment vertical="center"/>
    </xf>
    <xf numFmtId="0" fontId="1" fillId="31" borderId="51" xfId="0" applyFont="1" applyFill="1" applyBorder="1" applyAlignment="1">
      <alignment horizontal="center" vertical="center" wrapText="1"/>
    </xf>
    <xf numFmtId="0" fontId="6" fillId="27" borderId="64" xfId="0" applyFont="1" applyFill="1" applyBorder="1">
      <alignment vertical="center"/>
    </xf>
    <xf numFmtId="0" fontId="0" fillId="27" borderId="17" xfId="0" applyFill="1" applyBorder="1">
      <alignment vertical="center"/>
    </xf>
    <xf numFmtId="216" fontId="6" fillId="27" borderId="26" xfId="45" applyNumberFormat="1" applyFill="1" applyBorder="1" applyAlignment="1" applyProtection="1">
      <alignment vertical="center" shrinkToFit="1"/>
      <protection hidden="1"/>
    </xf>
    <xf numFmtId="0" fontId="6" fillId="27" borderId="10" xfId="35" applyNumberFormat="1" applyFont="1" applyFill="1" applyBorder="1" applyAlignment="1" applyProtection="1">
      <alignment horizontal="right" vertical="center" shrinkToFit="1"/>
    </xf>
    <xf numFmtId="0" fontId="6" fillId="27" borderId="10" xfId="45" applyFill="1" applyBorder="1" applyAlignment="1" applyProtection="1">
      <alignment vertical="center"/>
      <protection hidden="1"/>
    </xf>
    <xf numFmtId="215" fontId="6" fillId="27" borderId="10" xfId="45" applyNumberFormat="1" applyFill="1" applyBorder="1" applyAlignment="1" applyProtection="1">
      <alignment vertical="center"/>
      <protection hidden="1"/>
    </xf>
    <xf numFmtId="0" fontId="6" fillId="27" borderId="17" xfId="0" applyFont="1" applyFill="1" applyBorder="1">
      <alignment vertical="center"/>
    </xf>
    <xf numFmtId="0" fontId="1" fillId="31" borderId="10" xfId="0" applyFont="1" applyFill="1" applyBorder="1" applyAlignment="1">
      <alignment horizontal="center" vertical="center" wrapText="1"/>
    </xf>
    <xf numFmtId="0" fontId="6" fillId="27" borderId="26" xfId="45" applyFill="1" applyBorder="1" applyAlignment="1" applyProtection="1">
      <alignment vertical="center"/>
      <protection locked="0"/>
    </xf>
    <xf numFmtId="0" fontId="6" fillId="27" borderId="10" xfId="45" applyFill="1" applyBorder="1" applyAlignment="1" applyProtection="1">
      <alignment vertical="center"/>
      <protection locked="0"/>
    </xf>
    <xf numFmtId="0" fontId="6" fillId="27" borderId="62" xfId="45" applyFill="1" applyBorder="1" applyAlignment="1">
      <alignment horizontal="right" vertical="top"/>
    </xf>
    <xf numFmtId="0" fontId="1" fillId="27" borderId="10" xfId="0" applyFont="1" applyFill="1" applyBorder="1" applyAlignment="1">
      <alignment horizontal="center" vertical="center" wrapText="1"/>
    </xf>
    <xf numFmtId="0" fontId="6" fillId="27" borderId="10" xfId="45" applyFill="1" applyBorder="1" applyAlignment="1">
      <alignment vertical="center"/>
    </xf>
    <xf numFmtId="0" fontId="6" fillId="27" borderId="62" xfId="0" applyFont="1" applyFill="1" applyBorder="1">
      <alignment vertical="center"/>
    </xf>
    <xf numFmtId="0" fontId="6" fillId="27" borderId="10" xfId="45" applyFill="1" applyBorder="1" applyAlignment="1" applyProtection="1">
      <alignment horizontal="center" vertical="center"/>
      <protection hidden="1"/>
    </xf>
    <xf numFmtId="0" fontId="6" fillId="27" borderId="65" xfId="0" applyFont="1" applyFill="1" applyBorder="1">
      <alignment vertical="center"/>
    </xf>
    <xf numFmtId="0" fontId="6" fillId="27" borderId="66" xfId="0" applyFont="1" applyFill="1" applyBorder="1">
      <alignment vertical="center"/>
    </xf>
    <xf numFmtId="0" fontId="6" fillId="27" borderId="67" xfId="0" applyFont="1" applyFill="1" applyBorder="1">
      <alignment vertical="center"/>
    </xf>
    <xf numFmtId="0" fontId="6" fillId="27" borderId="56" xfId="0" applyFont="1" applyFill="1" applyBorder="1">
      <alignment vertical="center"/>
    </xf>
    <xf numFmtId="0" fontId="6" fillId="27" borderId="57" xfId="0" applyFont="1" applyFill="1" applyBorder="1">
      <alignment vertical="center"/>
    </xf>
    <xf numFmtId="0" fontId="6" fillId="27" borderId="58" xfId="0" applyFont="1" applyFill="1" applyBorder="1">
      <alignment vertical="center"/>
    </xf>
    <xf numFmtId="0" fontId="6" fillId="0" borderId="0" xfId="0" applyFont="1">
      <alignment vertical="center"/>
    </xf>
    <xf numFmtId="0" fontId="0" fillId="0" borderId="0" xfId="0" applyAlignment="1">
      <alignment horizontal="right" vertical="center"/>
    </xf>
    <xf numFmtId="0" fontId="46" fillId="0" borderId="0" xfId="0" applyFont="1" applyProtection="1">
      <alignment vertical="center"/>
      <protection hidden="1"/>
    </xf>
    <xf numFmtId="0" fontId="46" fillId="0" borderId="0" xfId="0" applyFont="1" applyAlignment="1" applyProtection="1">
      <alignment horizontal="left" vertical="center"/>
      <protection hidden="1"/>
    </xf>
    <xf numFmtId="0" fontId="47" fillId="0" borderId="0" xfId="0" applyFont="1" applyAlignment="1" applyProtection="1">
      <alignment horizontal="left" vertical="center"/>
      <protection hidden="1"/>
    </xf>
    <xf numFmtId="0" fontId="46" fillId="0" borderId="0" xfId="0" applyFont="1" applyAlignment="1" applyProtection="1">
      <alignment horizontal="right" vertical="center"/>
      <protection hidden="1"/>
    </xf>
    <xf numFmtId="0" fontId="48" fillId="0" borderId="0" xfId="0" applyFont="1" applyProtection="1">
      <alignment vertical="center"/>
      <protection hidden="1"/>
    </xf>
    <xf numFmtId="0" fontId="48" fillId="0" borderId="0" xfId="0" applyFont="1" applyAlignment="1" applyProtection="1">
      <alignment horizontal="center" vertical="center"/>
      <protection hidden="1"/>
    </xf>
    <xf numFmtId="14" fontId="49" fillId="0" borderId="0" xfId="0" applyNumberFormat="1" applyFont="1" applyAlignment="1" applyProtection="1">
      <alignment horizontal="center" vertical="center"/>
      <protection hidden="1"/>
    </xf>
    <xf numFmtId="0" fontId="50" fillId="0" borderId="0" xfId="0" applyFont="1" applyProtection="1">
      <alignment vertical="center"/>
      <protection hidden="1"/>
    </xf>
    <xf numFmtId="178" fontId="50" fillId="0" borderId="0" xfId="0" applyNumberFormat="1" applyFont="1" applyProtection="1">
      <alignment vertical="center"/>
      <protection hidden="1"/>
    </xf>
    <xf numFmtId="0" fontId="49" fillId="0" borderId="0" xfId="0" applyFont="1" applyProtection="1">
      <alignment vertical="center"/>
      <protection hidden="1"/>
    </xf>
    <xf numFmtId="0" fontId="26" fillId="0" borderId="0" xfId="0" applyFont="1" applyAlignment="1" applyProtection="1">
      <protection hidden="1"/>
    </xf>
    <xf numFmtId="0" fontId="51" fillId="0" borderId="0" xfId="0" applyFont="1" applyAlignment="1" applyProtection="1">
      <alignment horizontal="left" vertical="center"/>
      <protection hidden="1"/>
    </xf>
    <xf numFmtId="0" fontId="52" fillId="0" borderId="0" xfId="0" applyFont="1" applyAlignment="1" applyProtection="1">
      <alignment horizontal="right" vertical="center"/>
      <protection hidden="1"/>
    </xf>
    <xf numFmtId="0" fontId="52" fillId="0" borderId="0" xfId="0" applyFont="1" applyProtection="1">
      <alignment vertical="center"/>
      <protection hidden="1"/>
    </xf>
    <xf numFmtId="0" fontId="53" fillId="0" borderId="0" xfId="0" applyFont="1" applyProtection="1">
      <alignment vertical="center"/>
      <protection hidden="1"/>
    </xf>
    <xf numFmtId="0" fontId="54" fillId="0" borderId="0" xfId="0" applyFont="1" applyProtection="1">
      <alignment vertical="center"/>
      <protection hidden="1"/>
    </xf>
    <xf numFmtId="0" fontId="55" fillId="0" borderId="0" xfId="0" applyFont="1" applyAlignment="1" applyProtection="1">
      <alignment horizontal="center" vertical="center"/>
      <protection hidden="1"/>
    </xf>
    <xf numFmtId="0" fontId="28" fillId="0" borderId="0" xfId="0" applyFont="1" applyAlignment="1" applyProtection="1">
      <alignment horizontal="left" vertical="center"/>
      <protection hidden="1"/>
    </xf>
    <xf numFmtId="0" fontId="56" fillId="0" borderId="0" xfId="0" applyFont="1" applyProtection="1">
      <alignment vertical="center"/>
      <protection hidden="1"/>
    </xf>
    <xf numFmtId="0" fontId="29" fillId="0" borderId="0" xfId="0" applyFont="1" applyAlignment="1" applyProtection="1">
      <alignment horizontal="left" vertical="center"/>
      <protection hidden="1"/>
    </xf>
    <xf numFmtId="0" fontId="55" fillId="0" borderId="0" xfId="0" applyFont="1" applyAlignment="1" applyProtection="1">
      <alignment horizontal="right" vertical="center"/>
      <protection hidden="1"/>
    </xf>
    <xf numFmtId="0" fontId="57" fillId="0" borderId="0" xfId="0" applyFont="1" applyAlignment="1" applyProtection="1">
      <alignment horizontal="left" vertical="top"/>
      <protection hidden="1"/>
    </xf>
    <xf numFmtId="0" fontId="52" fillId="0" borderId="0" xfId="0" applyFont="1" applyAlignment="1" applyProtection="1">
      <alignment horizontal="left" vertical="center"/>
      <protection hidden="1"/>
    </xf>
    <xf numFmtId="0" fontId="54" fillId="0" borderId="0" xfId="0" applyFont="1" applyAlignment="1" applyProtection="1">
      <alignment horizontal="center" vertical="center"/>
      <protection hidden="1"/>
    </xf>
    <xf numFmtId="0" fontId="28" fillId="0" borderId="0" xfId="0" applyFont="1" applyAlignment="1" applyProtection="1">
      <alignment horizontal="right" vertical="top"/>
      <protection hidden="1"/>
    </xf>
    <xf numFmtId="0" fontId="58" fillId="0" borderId="0" xfId="0" applyFont="1" applyProtection="1">
      <alignment vertical="center"/>
      <protection hidden="1"/>
    </xf>
    <xf numFmtId="0" fontId="59" fillId="0" borderId="0" xfId="0" applyFont="1" applyAlignment="1" applyProtection="1">
      <alignment horizontal="left" vertical="center"/>
      <protection hidden="1"/>
    </xf>
    <xf numFmtId="0" fontId="59" fillId="0" borderId="0" xfId="0" applyFont="1" applyAlignment="1" applyProtection="1">
      <alignment horizontal="right" vertical="center"/>
      <protection hidden="1"/>
    </xf>
    <xf numFmtId="0" fontId="59" fillId="0" borderId="0" xfId="0" applyFont="1" applyProtection="1">
      <alignment vertical="center"/>
      <protection hidden="1"/>
    </xf>
    <xf numFmtId="0" fontId="60" fillId="0" borderId="0" xfId="0" applyFont="1" applyProtection="1">
      <alignment vertical="center"/>
      <protection hidden="1"/>
    </xf>
    <xf numFmtId="0" fontId="60" fillId="0" borderId="0" xfId="0" applyFont="1" applyAlignment="1" applyProtection="1">
      <alignment horizontal="center" vertical="center"/>
      <protection hidden="1"/>
    </xf>
    <xf numFmtId="0" fontId="61" fillId="0" borderId="0" xfId="0" applyFont="1" applyAlignment="1" applyProtection="1">
      <alignment horizontal="center" vertical="center"/>
      <protection hidden="1"/>
    </xf>
    <xf numFmtId="0" fontId="62" fillId="0" borderId="0" xfId="0" applyFont="1" applyProtection="1">
      <alignment vertical="center"/>
      <protection hidden="1"/>
    </xf>
    <xf numFmtId="0" fontId="64" fillId="30" borderId="68" xfId="0" applyFont="1" applyFill="1" applyBorder="1" applyAlignment="1" applyProtection="1">
      <alignment horizontal="left" vertical="center"/>
      <protection hidden="1"/>
    </xf>
    <xf numFmtId="0" fontId="64" fillId="30" borderId="69" xfId="0" applyFont="1" applyFill="1" applyBorder="1" applyAlignment="1" applyProtection="1">
      <alignment horizontal="left" vertical="center"/>
      <protection hidden="1"/>
    </xf>
    <xf numFmtId="0" fontId="65" fillId="30" borderId="69" xfId="0" applyFont="1" applyFill="1" applyBorder="1" applyAlignment="1" applyProtection="1">
      <alignment horizontal="right" vertical="top"/>
      <protection hidden="1"/>
    </xf>
    <xf numFmtId="0" fontId="56" fillId="30" borderId="70" xfId="0" applyFont="1" applyFill="1" applyBorder="1" applyProtection="1">
      <alignment vertical="center"/>
      <protection hidden="1"/>
    </xf>
    <xf numFmtId="0" fontId="56" fillId="30" borderId="60" xfId="0" applyFont="1" applyFill="1" applyBorder="1" applyProtection="1">
      <alignment vertical="center"/>
      <protection hidden="1"/>
    </xf>
    <xf numFmtId="56" fontId="64" fillId="30" borderId="70" xfId="0" applyNumberFormat="1" applyFont="1" applyFill="1" applyBorder="1" applyProtection="1">
      <alignment vertical="center"/>
      <protection hidden="1"/>
    </xf>
    <xf numFmtId="0" fontId="64" fillId="30" borderId="71" xfId="0" applyFont="1" applyFill="1" applyBorder="1" applyAlignment="1" applyProtection="1">
      <alignment horizontal="left" vertical="center"/>
      <protection hidden="1"/>
    </xf>
    <xf numFmtId="0" fontId="66" fillId="0" borderId="0" xfId="0" applyFont="1" applyProtection="1">
      <alignment vertical="center"/>
      <protection hidden="1"/>
    </xf>
    <xf numFmtId="49" fontId="33" fillId="0" borderId="72" xfId="0" applyNumberFormat="1" applyFont="1" applyBorder="1" applyAlignment="1" applyProtection="1">
      <alignment horizontal="left" vertical="center"/>
      <protection hidden="1"/>
    </xf>
    <xf numFmtId="3" fontId="27" fillId="0" borderId="73" xfId="0" applyNumberFormat="1" applyFont="1" applyBorder="1" applyAlignment="1" applyProtection="1">
      <alignment horizontal="left" vertical="center"/>
      <protection hidden="1"/>
    </xf>
    <xf numFmtId="3" fontId="33" fillId="0" borderId="74" xfId="0" applyNumberFormat="1" applyFont="1" applyBorder="1" applyProtection="1">
      <alignment vertical="center"/>
      <protection hidden="1"/>
    </xf>
    <xf numFmtId="0" fontId="56" fillId="0" borderId="75" xfId="0" applyFont="1" applyBorder="1" applyProtection="1">
      <alignment vertical="center"/>
      <protection hidden="1"/>
    </xf>
    <xf numFmtId="0" fontId="33" fillId="0" borderId="62" xfId="0" applyFont="1" applyBorder="1" applyAlignment="1" applyProtection="1">
      <alignment horizontal="left" vertical="center"/>
      <protection hidden="1"/>
    </xf>
    <xf numFmtId="0" fontId="34" fillId="0" borderId="0" xfId="0" applyFont="1" applyAlignment="1" applyProtection="1">
      <alignment horizontal="left" vertical="center"/>
      <protection hidden="1"/>
    </xf>
    <xf numFmtId="0" fontId="33" fillId="0" borderId="76" xfId="0" quotePrefix="1" applyFont="1" applyBorder="1" applyAlignment="1" applyProtection="1">
      <alignment horizontal="left" vertical="center"/>
      <protection hidden="1"/>
    </xf>
    <xf numFmtId="2" fontId="34" fillId="0" borderId="0" xfId="0" applyNumberFormat="1" applyFont="1" applyAlignment="1" applyProtection="1">
      <alignment horizontal="left" vertical="center"/>
      <protection hidden="1"/>
    </xf>
    <xf numFmtId="0" fontId="67" fillId="0" borderId="59" xfId="0" applyFont="1" applyBorder="1" applyProtection="1">
      <alignment vertical="center"/>
      <protection hidden="1"/>
    </xf>
    <xf numFmtId="0" fontId="67" fillId="0" borderId="0" xfId="0" applyFont="1" applyProtection="1">
      <alignment vertical="center"/>
      <protection hidden="1"/>
    </xf>
    <xf numFmtId="0" fontId="67" fillId="0" borderId="63" xfId="0" applyFont="1" applyBorder="1" applyProtection="1">
      <alignment vertical="center"/>
      <protection hidden="1"/>
    </xf>
    <xf numFmtId="0" fontId="56" fillId="0" borderId="10" xfId="0" applyFont="1" applyBorder="1" applyProtection="1">
      <alignment vertical="center"/>
      <protection hidden="1"/>
    </xf>
    <xf numFmtId="0" fontId="6" fillId="0" borderId="10" xfId="0" applyFont="1" applyBorder="1" applyProtection="1">
      <alignment vertical="center"/>
      <protection hidden="1"/>
    </xf>
    <xf numFmtId="0" fontId="68" fillId="0" borderId="10" xfId="0" applyFont="1" applyBorder="1" applyProtection="1">
      <alignment vertical="center"/>
      <protection hidden="1"/>
    </xf>
    <xf numFmtId="0" fontId="49" fillId="0" borderId="10" xfId="0" applyFont="1" applyBorder="1" applyProtection="1">
      <alignment vertical="center"/>
      <protection hidden="1"/>
    </xf>
    <xf numFmtId="0" fontId="33" fillId="0" borderId="62" xfId="0" applyFont="1" applyBorder="1" applyProtection="1">
      <alignment vertical="center"/>
      <protection hidden="1"/>
    </xf>
    <xf numFmtId="3" fontId="27" fillId="0" borderId="0" xfId="0" applyNumberFormat="1" applyFont="1" applyAlignment="1" applyProtection="1">
      <alignment horizontal="left" vertical="center"/>
      <protection hidden="1"/>
    </xf>
    <xf numFmtId="3" fontId="33" fillId="0" borderId="76" xfId="0" applyNumberFormat="1" applyFont="1" applyBorder="1" applyProtection="1">
      <alignment vertical="center"/>
      <protection hidden="1"/>
    </xf>
    <xf numFmtId="3" fontId="33" fillId="0" borderId="0" xfId="0" applyNumberFormat="1" applyFont="1" applyAlignment="1" applyProtection="1">
      <alignment horizontal="left" vertical="center"/>
      <protection hidden="1"/>
    </xf>
    <xf numFmtId="0" fontId="33" fillId="0" borderId="77" xfId="0" applyFont="1" applyBorder="1" applyAlignment="1" applyProtection="1">
      <alignment horizontal="left" vertical="center"/>
      <protection hidden="1"/>
    </xf>
    <xf numFmtId="0" fontId="34" fillId="0" borderId="57" xfId="0" applyFont="1" applyBorder="1" applyAlignment="1" applyProtection="1">
      <alignment horizontal="left" vertical="center"/>
      <protection hidden="1"/>
    </xf>
    <xf numFmtId="0" fontId="33" fillId="0" borderId="78" xfId="0" applyFont="1" applyBorder="1" applyAlignment="1" applyProtection="1">
      <alignment horizontal="left" vertical="center"/>
      <protection hidden="1"/>
    </xf>
    <xf numFmtId="3" fontId="34" fillId="0" borderId="79" xfId="0" applyNumberFormat="1" applyFont="1" applyBorder="1" applyAlignment="1" applyProtection="1">
      <alignment horizontal="left" vertical="center"/>
      <protection hidden="1"/>
    </xf>
    <xf numFmtId="0" fontId="56" fillId="0" borderId="62" xfId="0" applyFont="1" applyBorder="1" applyProtection="1">
      <alignment vertical="center"/>
      <protection hidden="1"/>
    </xf>
    <xf numFmtId="0" fontId="56" fillId="0" borderId="63" xfId="0" applyFont="1" applyBorder="1" applyProtection="1">
      <alignment vertical="center"/>
      <protection hidden="1"/>
    </xf>
    <xf numFmtId="0" fontId="49" fillId="0" borderId="10" xfId="35" applyNumberFormat="1" applyFont="1" applyFill="1" applyBorder="1" applyAlignment="1" applyProtection="1">
      <protection hidden="1"/>
    </xf>
    <xf numFmtId="3" fontId="34" fillId="0" borderId="0" xfId="0" applyNumberFormat="1" applyFont="1" applyAlignment="1" applyProtection="1">
      <alignment horizontal="left" vertical="center"/>
      <protection hidden="1"/>
    </xf>
    <xf numFmtId="183" fontId="33" fillId="0" borderId="76" xfId="0" applyNumberFormat="1" applyFont="1" applyBorder="1" applyAlignment="1" applyProtection="1">
      <alignment horizontal="right" vertical="center"/>
      <protection hidden="1"/>
    </xf>
    <xf numFmtId="0" fontId="56" fillId="0" borderId="62" xfId="0" applyFont="1" applyBorder="1" applyProtection="1">
      <alignment vertical="center"/>
      <protection locked="0"/>
    </xf>
    <xf numFmtId="0" fontId="56" fillId="0" borderId="0" xfId="0" applyFont="1" applyProtection="1">
      <alignment vertical="center"/>
      <protection locked="0"/>
    </xf>
    <xf numFmtId="0" fontId="56" fillId="0" borderId="63" xfId="0" applyFont="1" applyBorder="1" applyProtection="1">
      <alignment vertical="center"/>
      <protection locked="0"/>
    </xf>
    <xf numFmtId="0" fontId="49" fillId="0" borderId="10" xfId="0" applyFont="1" applyBorder="1" applyAlignment="1" applyProtection="1">
      <alignment horizontal="left" vertical="center" wrapText="1"/>
      <protection hidden="1"/>
    </xf>
    <xf numFmtId="0" fontId="33" fillId="0" borderId="77" xfId="0" applyFont="1" applyBorder="1" applyProtection="1">
      <alignment vertical="center"/>
      <protection hidden="1"/>
    </xf>
    <xf numFmtId="3" fontId="27" fillId="0" borderId="57" xfId="0" applyNumberFormat="1" applyFont="1" applyBorder="1" applyAlignment="1" applyProtection="1">
      <alignment horizontal="left" vertical="center"/>
      <protection hidden="1"/>
    </xf>
    <xf numFmtId="3" fontId="33" fillId="0" borderId="57" xfId="0" applyNumberFormat="1" applyFont="1" applyBorder="1" applyAlignment="1" applyProtection="1">
      <alignment horizontal="left" vertical="center"/>
      <protection hidden="1"/>
    </xf>
    <xf numFmtId="0" fontId="56" fillId="0" borderId="79" xfId="0" applyFont="1" applyBorder="1" applyProtection="1">
      <alignment vertical="center"/>
      <protection hidden="1"/>
    </xf>
    <xf numFmtId="183" fontId="33" fillId="0" borderId="78" xfId="0" applyNumberFormat="1" applyFont="1" applyBorder="1" applyAlignment="1" applyProtection="1">
      <alignment horizontal="right" vertical="center"/>
      <protection hidden="1"/>
    </xf>
    <xf numFmtId="37" fontId="33" fillId="0" borderId="79" xfId="0" applyNumberFormat="1" applyFont="1" applyBorder="1" applyAlignment="1" applyProtection="1">
      <alignment horizontal="left" vertical="center"/>
      <protection hidden="1"/>
    </xf>
    <xf numFmtId="0" fontId="6" fillId="0" borderId="10" xfId="0" applyFont="1" applyBorder="1" applyAlignment="1" applyProtection="1">
      <alignment vertical="center" wrapText="1"/>
      <protection hidden="1"/>
    </xf>
    <xf numFmtId="49" fontId="33" fillId="0" borderId="80" xfId="0" applyNumberFormat="1" applyFont="1" applyBorder="1" applyAlignment="1" applyProtection="1">
      <alignment horizontal="left" vertical="center"/>
      <protection hidden="1"/>
    </xf>
    <xf numFmtId="3" fontId="27" fillId="0" borderId="50" xfId="0" applyNumberFormat="1" applyFont="1" applyBorder="1" applyAlignment="1" applyProtection="1">
      <alignment horizontal="left" vertical="center"/>
      <protection hidden="1"/>
    </xf>
    <xf numFmtId="3" fontId="33" fillId="0" borderId="81" xfId="0" applyNumberFormat="1" applyFont="1" applyBorder="1" applyProtection="1">
      <alignment vertical="center"/>
      <protection hidden="1"/>
    </xf>
    <xf numFmtId="0" fontId="56" fillId="0" borderId="82" xfId="0" applyFont="1" applyBorder="1" applyProtection="1">
      <alignment vertical="center"/>
      <protection hidden="1"/>
    </xf>
    <xf numFmtId="0" fontId="34" fillId="0" borderId="57" xfId="0" applyFont="1" applyBorder="1" applyProtection="1">
      <alignment vertical="center"/>
      <protection hidden="1"/>
    </xf>
    <xf numFmtId="0" fontId="34" fillId="0" borderId="79" xfId="0" applyFont="1" applyBorder="1" applyProtection="1">
      <alignment vertical="center"/>
      <protection hidden="1"/>
    </xf>
    <xf numFmtId="3" fontId="69" fillId="0" borderId="0" xfId="0" applyNumberFormat="1" applyFont="1" applyAlignment="1" applyProtection="1">
      <alignment horizontal="left" vertical="center"/>
      <protection locked="0"/>
    </xf>
    <xf numFmtId="0" fontId="33" fillId="0" borderId="80" xfId="0" applyFont="1" applyBorder="1" applyProtection="1">
      <alignment vertical="center"/>
      <protection hidden="1"/>
    </xf>
    <xf numFmtId="2" fontId="34" fillId="0" borderId="50" xfId="0" applyNumberFormat="1" applyFont="1" applyBorder="1" applyAlignment="1" applyProtection="1">
      <alignment horizontal="left" vertical="center"/>
      <protection hidden="1"/>
    </xf>
    <xf numFmtId="184" fontId="33" fillId="0" borderId="50" xfId="0" applyNumberFormat="1" applyFont="1" applyBorder="1" applyAlignment="1" applyProtection="1">
      <alignment horizontal="left" vertical="center"/>
      <protection hidden="1"/>
    </xf>
    <xf numFmtId="0" fontId="70" fillId="0" borderId="0" xfId="0" applyFont="1" applyProtection="1">
      <alignment vertical="center"/>
      <protection hidden="1"/>
    </xf>
    <xf numFmtId="31" fontId="33" fillId="0" borderId="76" xfId="0" applyNumberFormat="1" applyFont="1" applyBorder="1" applyAlignment="1" applyProtection="1">
      <alignment horizontal="left" vertical="center" shrinkToFit="1"/>
      <protection hidden="1"/>
    </xf>
    <xf numFmtId="0" fontId="34" fillId="0" borderId="0" xfId="0" applyFont="1" applyProtection="1">
      <alignment vertical="center"/>
      <protection hidden="1"/>
    </xf>
    <xf numFmtId="3" fontId="71" fillId="0" borderId="0" xfId="0" applyNumberFormat="1" applyFont="1" applyAlignment="1" applyProtection="1">
      <alignment horizontal="left" vertical="center"/>
      <protection locked="0"/>
    </xf>
    <xf numFmtId="188" fontId="72" fillId="0" borderId="10" xfId="35" applyNumberFormat="1" applyFont="1" applyFill="1" applyBorder="1" applyAlignment="1" applyProtection="1">
      <alignment horizontal="center" vertical="center"/>
      <protection hidden="1"/>
    </xf>
    <xf numFmtId="37" fontId="34" fillId="0" borderId="0" xfId="0" applyNumberFormat="1" applyFont="1" applyAlignment="1" applyProtection="1">
      <alignment horizontal="left" vertical="center"/>
      <protection hidden="1"/>
    </xf>
    <xf numFmtId="0" fontId="56" fillId="0" borderId="76" xfId="0" applyFont="1" applyBorder="1" applyProtection="1">
      <alignment vertical="center"/>
      <protection hidden="1"/>
    </xf>
    <xf numFmtId="3" fontId="33" fillId="0" borderId="0" xfId="0" applyNumberFormat="1" applyFont="1" applyAlignment="1" applyProtection="1">
      <alignment horizontal="right" vertical="center"/>
      <protection hidden="1"/>
    </xf>
    <xf numFmtId="184" fontId="33" fillId="0" borderId="0" xfId="0" applyNumberFormat="1" applyFont="1" applyAlignment="1" applyProtection="1">
      <alignment horizontal="left" vertical="center"/>
      <protection hidden="1"/>
    </xf>
    <xf numFmtId="14" fontId="33" fillId="0" borderId="76" xfId="0" applyNumberFormat="1" applyFont="1" applyBorder="1" applyAlignment="1" applyProtection="1">
      <alignment horizontal="left" vertical="center"/>
      <protection hidden="1"/>
    </xf>
    <xf numFmtId="188" fontId="72" fillId="0" borderId="0" xfId="35" applyNumberFormat="1" applyFont="1" applyFill="1" applyBorder="1" applyAlignment="1" applyProtection="1">
      <alignment horizontal="center" vertical="center"/>
      <protection hidden="1"/>
    </xf>
    <xf numFmtId="188" fontId="0" fillId="0" borderId="10" xfId="0" applyNumberFormat="1" applyBorder="1" applyProtection="1">
      <alignment vertical="center"/>
      <protection hidden="1"/>
    </xf>
    <xf numFmtId="37" fontId="33" fillId="0" borderId="0" xfId="0" applyNumberFormat="1" applyFont="1" applyAlignment="1" applyProtection="1">
      <alignment horizontal="right" vertical="center"/>
      <protection hidden="1"/>
    </xf>
    <xf numFmtId="0" fontId="33" fillId="0" borderId="0" xfId="0" applyFont="1" applyAlignment="1" applyProtection="1">
      <alignment horizontal="left" vertical="center"/>
      <protection hidden="1"/>
    </xf>
    <xf numFmtId="0" fontId="56" fillId="0" borderId="65" xfId="0" applyFont="1" applyBorder="1" applyProtection="1">
      <alignment vertical="center"/>
      <protection locked="0"/>
    </xf>
    <xf numFmtId="0" fontId="56" fillId="0" borderId="66" xfId="0" applyFont="1" applyBorder="1" applyProtection="1">
      <alignment vertical="center"/>
      <protection locked="0"/>
    </xf>
    <xf numFmtId="0" fontId="56" fillId="0" borderId="67" xfId="0" applyFont="1" applyBorder="1" applyProtection="1">
      <alignment vertical="center"/>
      <protection locked="0"/>
    </xf>
    <xf numFmtId="188" fontId="49" fillId="0" borderId="10" xfId="0" applyNumberFormat="1" applyFont="1" applyBorder="1" applyProtection="1">
      <alignment vertical="center"/>
      <protection hidden="1"/>
    </xf>
    <xf numFmtId="0" fontId="6" fillId="0" borderId="0" xfId="0" applyFont="1" applyProtection="1">
      <alignment vertical="center"/>
      <protection hidden="1"/>
    </xf>
    <xf numFmtId="3" fontId="73" fillId="0" borderId="62" xfId="0" applyNumberFormat="1" applyFont="1" applyBorder="1" applyAlignment="1" applyProtection="1">
      <alignment horizontal="left" vertical="center"/>
      <protection hidden="1"/>
    </xf>
    <xf numFmtId="3" fontId="73" fillId="0" borderId="64" xfId="0" applyNumberFormat="1" applyFont="1" applyBorder="1" applyAlignment="1" applyProtection="1">
      <alignment horizontal="left" vertical="center"/>
      <protection hidden="1"/>
    </xf>
    <xf numFmtId="3" fontId="73" fillId="0" borderId="17" xfId="0" applyNumberFormat="1" applyFont="1" applyBorder="1" applyAlignment="1" applyProtection="1">
      <alignment horizontal="left" vertical="center"/>
      <protection hidden="1"/>
    </xf>
    <xf numFmtId="3" fontId="74" fillId="0" borderId="0" xfId="0" applyNumberFormat="1" applyFont="1" applyAlignment="1" applyProtection="1">
      <alignment horizontal="left" vertical="center"/>
      <protection hidden="1"/>
    </xf>
    <xf numFmtId="0" fontId="75" fillId="0" borderId="64" xfId="0" applyFont="1" applyBorder="1" applyProtection="1">
      <alignment vertical="center"/>
      <protection hidden="1"/>
    </xf>
    <xf numFmtId="0" fontId="49" fillId="0" borderId="63" xfId="0" applyFont="1" applyBorder="1" applyProtection="1">
      <alignment vertical="center"/>
      <protection hidden="1"/>
    </xf>
    <xf numFmtId="3" fontId="71" fillId="0" borderId="62" xfId="0" applyNumberFormat="1" applyFont="1" applyBorder="1" applyAlignment="1" applyProtection="1">
      <alignment horizontal="left" vertical="center"/>
      <protection hidden="1"/>
    </xf>
    <xf numFmtId="0" fontId="56" fillId="0" borderId="66" xfId="0" applyFont="1" applyBorder="1" applyProtection="1">
      <alignment vertical="center"/>
      <protection hidden="1"/>
    </xf>
    <xf numFmtId="0" fontId="49" fillId="0" borderId="66" xfId="0" applyFont="1" applyBorder="1" applyProtection="1">
      <alignment vertical="center"/>
      <protection hidden="1"/>
    </xf>
    <xf numFmtId="0" fontId="75" fillId="0" borderId="83" xfId="0" applyFont="1" applyBorder="1" applyProtection="1">
      <alignment vertical="center"/>
      <protection hidden="1"/>
    </xf>
    <xf numFmtId="3" fontId="73" fillId="0" borderId="84" xfId="0" applyNumberFormat="1" applyFont="1" applyBorder="1" applyAlignment="1" applyProtection="1">
      <alignment horizontal="left" vertical="center"/>
      <protection hidden="1"/>
    </xf>
    <xf numFmtId="0" fontId="49" fillId="0" borderId="67" xfId="0" applyFont="1" applyBorder="1" applyProtection="1">
      <alignment vertical="center"/>
      <protection hidden="1"/>
    </xf>
    <xf numFmtId="0" fontId="76" fillId="0" borderId="60" xfId="0" applyFont="1" applyBorder="1" applyProtection="1">
      <alignment vertical="center"/>
      <protection hidden="1"/>
    </xf>
    <xf numFmtId="0" fontId="77" fillId="0" borderId="60" xfId="0" applyFont="1" applyBorder="1" applyProtection="1">
      <alignment vertical="center"/>
      <protection hidden="1"/>
    </xf>
    <xf numFmtId="0" fontId="56" fillId="0" borderId="60" xfId="0" applyFont="1" applyBorder="1" applyProtection="1">
      <alignment vertical="center"/>
      <protection hidden="1"/>
    </xf>
    <xf numFmtId="3" fontId="78" fillId="0" borderId="60" xfId="0" applyNumberFormat="1" applyFont="1" applyBorder="1" applyAlignment="1" applyProtection="1">
      <alignment horizontal="left" vertical="center"/>
      <protection hidden="1"/>
    </xf>
    <xf numFmtId="0" fontId="79" fillId="0" borderId="60" xfId="0" applyFont="1" applyBorder="1" applyProtection="1">
      <alignment vertical="center"/>
      <protection hidden="1"/>
    </xf>
    <xf numFmtId="37" fontId="33" fillId="0" borderId="60" xfId="0" applyNumberFormat="1" applyFont="1" applyBorder="1" applyAlignment="1" applyProtection="1">
      <alignment horizontal="left" vertical="center"/>
      <protection hidden="1"/>
    </xf>
    <xf numFmtId="0" fontId="64" fillId="30" borderId="59" xfId="0" applyFont="1" applyFill="1" applyBorder="1" applyProtection="1">
      <alignment vertical="center"/>
      <protection hidden="1"/>
    </xf>
    <xf numFmtId="0" fontId="80" fillId="30" borderId="60" xfId="0" applyFont="1" applyFill="1" applyBorder="1" applyAlignment="1" applyProtection="1">
      <alignment horizontal="right" vertical="center"/>
      <protection hidden="1"/>
    </xf>
    <xf numFmtId="0" fontId="80" fillId="30" borderId="60" xfId="0" applyFont="1" applyFill="1" applyBorder="1" applyProtection="1">
      <alignment vertical="center"/>
      <protection hidden="1"/>
    </xf>
    <xf numFmtId="0" fontId="81" fillId="30" borderId="60" xfId="0" applyFont="1" applyFill="1" applyBorder="1" applyProtection="1">
      <alignment vertical="center"/>
      <protection hidden="1"/>
    </xf>
    <xf numFmtId="56" fontId="64" fillId="30" borderId="85" xfId="0" applyNumberFormat="1" applyFont="1" applyFill="1" applyBorder="1" applyProtection="1">
      <alignment vertical="center"/>
      <protection hidden="1"/>
    </xf>
    <xf numFmtId="0" fontId="63" fillId="30" borderId="69" xfId="0" applyFont="1" applyFill="1" applyBorder="1" applyAlignment="1" applyProtection="1">
      <alignment horizontal="left" vertical="center"/>
      <protection hidden="1"/>
    </xf>
    <xf numFmtId="0" fontId="83" fillId="30" borderId="69" xfId="0" applyFont="1" applyFill="1" applyBorder="1" applyAlignment="1" applyProtection="1">
      <alignment horizontal="right" vertical="center"/>
      <protection hidden="1"/>
    </xf>
    <xf numFmtId="0" fontId="64" fillId="30" borderId="85" xfId="0" applyFont="1" applyFill="1" applyBorder="1" applyProtection="1">
      <alignment vertical="center"/>
      <protection hidden="1"/>
    </xf>
    <xf numFmtId="0" fontId="29" fillId="0" borderId="59" xfId="0" applyFont="1" applyBorder="1" applyProtection="1">
      <alignment vertical="center"/>
      <protection hidden="1"/>
    </xf>
    <xf numFmtId="0" fontId="29" fillId="0" borderId="60" xfId="0" applyFont="1" applyBorder="1" applyProtection="1">
      <alignment vertical="center"/>
      <protection hidden="1"/>
    </xf>
    <xf numFmtId="0" fontId="84" fillId="0" borderId="61" xfId="0" applyFont="1" applyBorder="1" applyAlignment="1" applyProtection="1">
      <alignment horizontal="right" vertical="center"/>
      <protection hidden="1"/>
    </xf>
    <xf numFmtId="0" fontId="56" fillId="0" borderId="59" xfId="0" applyFont="1" applyBorder="1" applyProtection="1">
      <alignment vertical="center"/>
      <protection hidden="1"/>
    </xf>
    <xf numFmtId="38" fontId="49" fillId="0" borderId="10" xfId="35" applyFont="1" applyFill="1" applyBorder="1" applyAlignment="1" applyProtection="1">
      <protection hidden="1"/>
    </xf>
    <xf numFmtId="0" fontId="48" fillId="0" borderId="62" xfId="0" applyFont="1" applyBorder="1" applyProtection="1">
      <alignment vertical="center"/>
      <protection hidden="1"/>
    </xf>
    <xf numFmtId="188" fontId="72" fillId="0" borderId="0" xfId="0" applyNumberFormat="1" applyFont="1" applyAlignment="1" applyProtection="1">
      <alignment horizontal="center" vertical="center"/>
      <protection hidden="1"/>
    </xf>
    <xf numFmtId="0" fontId="29" fillId="0" borderId="62" xfId="0" applyFont="1" applyBorder="1" applyProtection="1">
      <alignment vertical="center"/>
      <protection hidden="1"/>
    </xf>
    <xf numFmtId="0" fontId="29" fillId="0" borderId="0" xfId="0" applyFont="1" applyProtection="1">
      <alignment vertical="center"/>
      <protection hidden="1"/>
    </xf>
    <xf numFmtId="0" fontId="36" fillId="0" borderId="0" xfId="0" applyFont="1" applyAlignment="1" applyProtection="1">
      <alignment horizontal="center" vertical="center"/>
      <protection hidden="1"/>
    </xf>
    <xf numFmtId="0" fontId="36" fillId="0" borderId="63" xfId="0" applyFont="1" applyBorder="1" applyAlignment="1" applyProtection="1">
      <alignment horizontal="center" vertical="center"/>
      <protection hidden="1"/>
    </xf>
    <xf numFmtId="0" fontId="48" fillId="0" borderId="62" xfId="0" applyFont="1" applyBorder="1" applyAlignment="1" applyProtection="1">
      <alignment horizontal="right" vertical="center"/>
      <protection hidden="1"/>
    </xf>
    <xf numFmtId="38" fontId="6" fillId="0" borderId="10" xfId="0" applyNumberFormat="1" applyFont="1" applyBorder="1" applyProtection="1">
      <alignment vertical="center"/>
      <protection hidden="1"/>
    </xf>
    <xf numFmtId="0" fontId="56" fillId="0" borderId="86" xfId="0" applyFont="1" applyBorder="1" applyProtection="1">
      <alignment vertical="center"/>
      <protection hidden="1"/>
    </xf>
    <xf numFmtId="0" fontId="56" fillId="0" borderId="87" xfId="0" applyFont="1" applyBorder="1" applyProtection="1">
      <alignment vertical="center"/>
      <protection hidden="1"/>
    </xf>
    <xf numFmtId="0" fontId="29" fillId="0" borderId="86" xfId="0" applyFont="1" applyBorder="1" applyProtection="1">
      <alignment vertical="center"/>
      <protection hidden="1"/>
    </xf>
    <xf numFmtId="0" fontId="29" fillId="0" borderId="87" xfId="0" applyFont="1" applyBorder="1" applyProtection="1">
      <alignment vertical="center"/>
      <protection hidden="1"/>
    </xf>
    <xf numFmtId="0" fontId="36" fillId="0" borderId="87" xfId="0" applyFont="1" applyBorder="1" applyAlignment="1" applyProtection="1">
      <alignment horizontal="center" vertical="center"/>
      <protection hidden="1"/>
    </xf>
    <xf numFmtId="0" fontId="36" fillId="0" borderId="88" xfId="0" applyFont="1" applyBorder="1" applyAlignment="1" applyProtection="1">
      <alignment horizontal="center" vertical="center"/>
      <protection hidden="1"/>
    </xf>
    <xf numFmtId="38" fontId="6" fillId="0" borderId="10" xfId="35" applyFont="1" applyFill="1" applyBorder="1" applyProtection="1">
      <alignment vertical="center"/>
      <protection hidden="1"/>
    </xf>
    <xf numFmtId="0" fontId="84" fillId="0" borderId="62" xfId="0" applyFont="1" applyBorder="1" applyProtection="1">
      <alignment vertical="center"/>
      <protection hidden="1"/>
    </xf>
    <xf numFmtId="0" fontId="48" fillId="0" borderId="62" xfId="0" applyFont="1" applyBorder="1" applyAlignment="1" applyProtection="1">
      <alignment horizontal="left" vertical="center"/>
      <protection hidden="1"/>
    </xf>
    <xf numFmtId="0" fontId="85" fillId="0" borderId="0" xfId="0" applyFont="1" applyAlignment="1" applyProtection="1">
      <alignment horizontal="center" vertical="center"/>
      <protection hidden="1"/>
    </xf>
    <xf numFmtId="0" fontId="56" fillId="0" borderId="0" xfId="0" applyFont="1">
      <alignment vertical="center"/>
    </xf>
    <xf numFmtId="0" fontId="28" fillId="0" borderId="63" xfId="0" applyFont="1" applyBorder="1" applyAlignment="1" applyProtection="1">
      <alignment horizontal="right" vertical="center"/>
      <protection hidden="1"/>
    </xf>
    <xf numFmtId="0" fontId="6" fillId="0" borderId="10" xfId="0" applyFont="1" applyBorder="1" applyAlignment="1" applyProtection="1">
      <alignment horizontal="center"/>
      <protection hidden="1"/>
    </xf>
    <xf numFmtId="0" fontId="6" fillId="0" borderId="10" xfId="35" applyNumberFormat="1" applyFont="1" applyFill="1" applyBorder="1" applyAlignment="1" applyProtection="1">
      <protection hidden="1"/>
    </xf>
    <xf numFmtId="0" fontId="6" fillId="0" borderId="10" xfId="35" quotePrefix="1" applyNumberFormat="1" applyFont="1" applyFill="1" applyBorder="1" applyAlignment="1" applyProtection="1">
      <protection hidden="1"/>
    </xf>
    <xf numFmtId="0" fontId="48" fillId="0" borderId="86" xfId="0" applyFont="1" applyBorder="1" applyAlignment="1" applyProtection="1">
      <alignment horizontal="left" vertical="center"/>
      <protection hidden="1"/>
    </xf>
    <xf numFmtId="0" fontId="85" fillId="0" borderId="87" xfId="0" applyFont="1" applyBorder="1" applyAlignment="1" applyProtection="1">
      <alignment horizontal="center" vertical="center"/>
      <protection hidden="1"/>
    </xf>
    <xf numFmtId="0" fontId="56" fillId="0" borderId="87" xfId="0" applyFont="1" applyBorder="1">
      <alignment vertical="center"/>
    </xf>
    <xf numFmtId="0" fontId="28" fillId="0" borderId="88" xfId="0" applyFont="1" applyBorder="1" applyAlignment="1" applyProtection="1">
      <alignment horizontal="right" vertical="center"/>
      <protection hidden="1"/>
    </xf>
    <xf numFmtId="0" fontId="6" fillId="0" borderId="0" xfId="0" applyFont="1" applyAlignment="1" applyProtection="1">
      <alignment horizontal="center"/>
      <protection hidden="1"/>
    </xf>
    <xf numFmtId="0" fontId="6" fillId="0" borderId="0" xfId="35" applyNumberFormat="1" applyFont="1" applyFill="1" applyBorder="1" applyAlignment="1" applyProtection="1">
      <protection hidden="1"/>
    </xf>
    <xf numFmtId="0" fontId="67" fillId="0" borderId="62" xfId="0" applyFont="1" applyBorder="1" applyAlignment="1" applyProtection="1">
      <alignment vertical="center" wrapText="1"/>
      <protection hidden="1"/>
    </xf>
    <xf numFmtId="0" fontId="67" fillId="0" borderId="0" xfId="0" applyFont="1" applyAlignment="1" applyProtection="1">
      <alignment vertical="center" wrapText="1"/>
      <protection hidden="1"/>
    </xf>
    <xf numFmtId="0" fontId="67" fillId="0" borderId="63" xfId="0" applyFont="1" applyBorder="1" applyAlignment="1" applyProtection="1">
      <alignment vertical="center" wrapText="1"/>
      <protection hidden="1"/>
    </xf>
    <xf numFmtId="188" fontId="48" fillId="0" borderId="0" xfId="35" applyNumberFormat="1" applyFont="1" applyFill="1" applyBorder="1" applyAlignment="1" applyProtection="1">
      <alignment horizontal="right" vertical="center"/>
      <protection hidden="1"/>
    </xf>
    <xf numFmtId="0" fontId="11" fillId="0" borderId="0" xfId="0" applyFont="1" applyProtection="1">
      <alignment vertical="center"/>
      <protection hidden="1"/>
    </xf>
    <xf numFmtId="0" fontId="6" fillId="0" borderId="0" xfId="35" applyNumberFormat="1" applyFont="1" applyFill="1" applyBorder="1" applyAlignment="1" applyProtection="1">
      <alignment wrapText="1"/>
      <protection hidden="1"/>
    </xf>
    <xf numFmtId="188" fontId="48" fillId="0" borderId="0" xfId="35" applyNumberFormat="1" applyFont="1" applyFill="1" applyBorder="1" applyAlignment="1" applyProtection="1">
      <alignment horizontal="right" vertical="top"/>
      <protection hidden="1"/>
    </xf>
    <xf numFmtId="0" fontId="67" fillId="0" borderId="0" xfId="0" applyFont="1" applyAlignment="1" applyProtection="1">
      <alignment horizontal="left"/>
      <protection hidden="1"/>
    </xf>
    <xf numFmtId="0" fontId="56" fillId="0" borderId="65" xfId="0" applyFont="1" applyBorder="1" applyProtection="1">
      <alignment vertical="center"/>
      <protection hidden="1"/>
    </xf>
    <xf numFmtId="0" fontId="67" fillId="0" borderId="66" xfId="0" applyFont="1" applyBorder="1" applyAlignment="1" applyProtection="1">
      <alignment horizontal="left" vertical="top"/>
      <protection hidden="1"/>
    </xf>
    <xf numFmtId="0" fontId="56" fillId="0" borderId="67" xfId="0" applyFont="1" applyBorder="1" applyProtection="1">
      <alignment vertical="center"/>
      <protection hidden="1"/>
    </xf>
    <xf numFmtId="0" fontId="84" fillId="0" borderId="10" xfId="0" applyFont="1" applyBorder="1" applyProtection="1">
      <alignment vertical="center"/>
      <protection hidden="1"/>
    </xf>
    <xf numFmtId="0" fontId="11" fillId="0" borderId="10" xfId="0" applyFont="1" applyBorder="1" applyProtection="1">
      <alignment vertical="center"/>
      <protection hidden="1"/>
    </xf>
    <xf numFmtId="0" fontId="64" fillId="30" borderId="68" xfId="0" applyFont="1" applyFill="1" applyBorder="1" applyProtection="1">
      <alignment vertical="center"/>
      <protection hidden="1"/>
    </xf>
    <xf numFmtId="0" fontId="86" fillId="30" borderId="69" xfId="0" applyFont="1" applyFill="1" applyBorder="1" applyProtection="1">
      <alignment vertical="center"/>
      <protection hidden="1"/>
    </xf>
    <xf numFmtId="0" fontId="86" fillId="30" borderId="69" xfId="0" applyFont="1" applyFill="1" applyBorder="1" applyAlignment="1" applyProtection="1">
      <alignment horizontal="right" vertical="center"/>
      <protection hidden="1"/>
    </xf>
    <xf numFmtId="0" fontId="87" fillId="30" borderId="69" xfId="0" applyFont="1" applyFill="1" applyBorder="1" applyAlignment="1" applyProtection="1">
      <alignment horizontal="right" vertical="top"/>
      <protection hidden="1"/>
    </xf>
    <xf numFmtId="0" fontId="60" fillId="30" borderId="69" xfId="0" applyFont="1" applyFill="1" applyBorder="1" applyAlignment="1" applyProtection="1">
      <alignment horizontal="center" vertical="center"/>
      <protection hidden="1"/>
    </xf>
    <xf numFmtId="0" fontId="67" fillId="30" borderId="69" xfId="0" applyFont="1" applyFill="1" applyBorder="1" applyProtection="1">
      <alignment vertical="center"/>
      <protection hidden="1"/>
    </xf>
    <xf numFmtId="0" fontId="87" fillId="30" borderId="71" xfId="0" applyFont="1" applyFill="1" applyBorder="1" applyAlignment="1" applyProtection="1">
      <alignment horizontal="right" vertical="center"/>
      <protection hidden="1"/>
    </xf>
    <xf numFmtId="38" fontId="56" fillId="32" borderId="10" xfId="35" applyFont="1" applyFill="1" applyBorder="1" applyProtection="1">
      <alignment vertical="center"/>
      <protection hidden="1"/>
    </xf>
    <xf numFmtId="0" fontId="56" fillId="32" borderId="10" xfId="0" applyFont="1" applyFill="1" applyBorder="1" applyProtection="1">
      <alignment vertical="center"/>
      <protection hidden="1"/>
    </xf>
    <xf numFmtId="9" fontId="56" fillId="0" borderId="10" xfId="0" applyNumberFormat="1" applyFont="1" applyBorder="1" applyProtection="1">
      <alignment vertical="center"/>
      <protection hidden="1"/>
    </xf>
    <xf numFmtId="38" fontId="56" fillId="0" borderId="0" xfId="0" applyNumberFormat="1" applyFont="1" applyProtection="1">
      <alignment vertical="center"/>
      <protection hidden="1"/>
    </xf>
    <xf numFmtId="0" fontId="89" fillId="33" borderId="62" xfId="0" applyFont="1" applyFill="1" applyBorder="1" applyProtection="1">
      <alignment vertical="center"/>
      <protection hidden="1"/>
    </xf>
    <xf numFmtId="0" fontId="86" fillId="33" borderId="0" xfId="0" applyFont="1" applyFill="1" applyProtection="1">
      <alignment vertical="center"/>
      <protection hidden="1"/>
    </xf>
    <xf numFmtId="0" fontId="60" fillId="33" borderId="0" xfId="0" applyFont="1" applyFill="1" applyAlignment="1" applyProtection="1">
      <alignment horizontal="center" vertical="center"/>
      <protection hidden="1"/>
    </xf>
    <xf numFmtId="0" fontId="90" fillId="33" borderId="0" xfId="0" applyFont="1" applyFill="1" applyAlignment="1" applyProtection="1">
      <alignment horizontal="right" vertical="center"/>
      <protection hidden="1"/>
    </xf>
    <xf numFmtId="0" fontId="91" fillId="33" borderId="0" xfId="0" applyFont="1" applyFill="1" applyAlignment="1" applyProtection="1">
      <alignment horizontal="right" vertical="center"/>
      <protection hidden="1"/>
    </xf>
    <xf numFmtId="0" fontId="93" fillId="33" borderId="0" xfId="0" applyFont="1" applyFill="1" applyAlignment="1" applyProtection="1">
      <alignment horizontal="right" vertical="center"/>
      <protection hidden="1"/>
    </xf>
    <xf numFmtId="177" fontId="93" fillId="33" borderId="0" xfId="0" applyNumberFormat="1" applyFont="1" applyFill="1" applyAlignment="1" applyProtection="1">
      <alignment horizontal="right" vertical="center"/>
      <protection hidden="1"/>
    </xf>
    <xf numFmtId="0" fontId="87" fillId="33" borderId="63" xfId="0" applyFont="1" applyFill="1" applyBorder="1" applyAlignment="1" applyProtection="1">
      <alignment horizontal="right" vertical="center"/>
      <protection hidden="1"/>
    </xf>
    <xf numFmtId="184" fontId="66" fillId="0" borderId="0" xfId="0" applyNumberFormat="1" applyFont="1" applyAlignment="1" applyProtection="1">
      <alignment horizontal="left" vertical="center"/>
      <protection hidden="1"/>
    </xf>
    <xf numFmtId="0" fontId="66" fillId="0" borderId="0" xfId="0" applyFont="1" applyAlignment="1" applyProtection="1">
      <alignment horizontal="left" vertical="center"/>
      <protection hidden="1"/>
    </xf>
    <xf numFmtId="38" fontId="11" fillId="32" borderId="10" xfId="0" applyNumberFormat="1" applyFont="1" applyFill="1" applyBorder="1" applyProtection="1">
      <alignment vertical="center"/>
      <protection hidden="1"/>
    </xf>
    <xf numFmtId="0" fontId="94" fillId="0" borderId="0" xfId="0" applyFont="1" applyProtection="1">
      <alignment vertical="center"/>
      <protection hidden="1"/>
    </xf>
    <xf numFmtId="0" fontId="95" fillId="0" borderId="0" xfId="0" applyFont="1" applyAlignment="1" applyProtection="1">
      <alignment horizontal="left" vertical="center"/>
      <protection hidden="1"/>
    </xf>
    <xf numFmtId="0" fontId="96" fillId="0" borderId="0" xfId="0" applyFont="1" applyAlignment="1" applyProtection="1">
      <alignment horizontal="right" vertical="center"/>
      <protection hidden="1"/>
    </xf>
    <xf numFmtId="0" fontId="97" fillId="0" borderId="0" xfId="0" applyFont="1" applyProtection="1">
      <alignment vertical="center"/>
      <protection hidden="1"/>
    </xf>
    <xf numFmtId="184" fontId="66" fillId="0" borderId="63" xfId="0" applyNumberFormat="1" applyFont="1" applyBorder="1" applyAlignment="1" applyProtection="1">
      <alignment horizontal="center" vertical="center"/>
      <protection hidden="1"/>
    </xf>
    <xf numFmtId="38" fontId="56" fillId="32" borderId="10" xfId="0" applyNumberFormat="1" applyFont="1" applyFill="1" applyBorder="1" applyProtection="1">
      <alignment vertical="center"/>
      <protection hidden="1"/>
    </xf>
    <xf numFmtId="0" fontId="56" fillId="0" borderId="0" xfId="0" quotePrefix="1" applyFont="1" applyProtection="1">
      <alignment vertical="center"/>
      <protection hidden="1"/>
    </xf>
    <xf numFmtId="0" fontId="49" fillId="0" borderId="10" xfId="0" applyFont="1" applyBorder="1" applyAlignment="1" applyProtection="1">
      <alignment horizontal="left" vertical="center"/>
      <protection hidden="1"/>
    </xf>
    <xf numFmtId="204" fontId="49" fillId="0" borderId="10" xfId="0" applyNumberFormat="1" applyFont="1" applyBorder="1" applyAlignment="1" applyProtection="1">
      <alignment horizontal="left"/>
      <protection hidden="1"/>
    </xf>
    <xf numFmtId="177" fontId="49" fillId="0" borderId="10" xfId="0" applyNumberFormat="1" applyFont="1" applyBorder="1" applyAlignment="1" applyProtection="1">
      <alignment horizontal="right"/>
      <protection hidden="1"/>
    </xf>
    <xf numFmtId="177" fontId="49" fillId="0" borderId="10" xfId="0" applyNumberFormat="1" applyFont="1" applyBorder="1" applyProtection="1">
      <alignment vertical="center"/>
      <protection hidden="1"/>
    </xf>
    <xf numFmtId="184" fontId="27" fillId="0" borderId="0" xfId="0" applyNumberFormat="1" applyFont="1" applyAlignment="1" applyProtection="1">
      <alignment horizontal="left" vertical="center"/>
      <protection hidden="1"/>
    </xf>
    <xf numFmtId="0" fontId="6" fillId="0" borderId="10" xfId="0" applyFont="1" applyBorder="1" applyAlignment="1" applyProtection="1">
      <alignment horizontal="left" vertical="center"/>
      <protection hidden="1"/>
    </xf>
    <xf numFmtId="0" fontId="60" fillId="0" borderId="57" xfId="0" applyFont="1" applyBorder="1" applyAlignment="1" applyProtection="1">
      <alignment horizontal="center" vertical="center"/>
      <protection hidden="1"/>
    </xf>
    <xf numFmtId="0" fontId="60" fillId="0" borderId="57" xfId="0" applyFont="1" applyBorder="1" applyProtection="1">
      <alignment vertical="center"/>
      <protection hidden="1"/>
    </xf>
    <xf numFmtId="0" fontId="49" fillId="0" borderId="57" xfId="0" applyFont="1" applyBorder="1" applyProtection="1">
      <alignment vertical="center"/>
      <protection hidden="1"/>
    </xf>
    <xf numFmtId="0" fontId="49" fillId="0" borderId="79" xfId="0" applyFont="1" applyBorder="1" applyProtection="1">
      <alignment vertical="center"/>
      <protection hidden="1"/>
    </xf>
    <xf numFmtId="0" fontId="49" fillId="0" borderId="53" xfId="0" applyFont="1" applyBorder="1" applyProtection="1">
      <alignment vertical="center"/>
      <protection hidden="1"/>
    </xf>
    <xf numFmtId="0" fontId="99" fillId="33" borderId="89" xfId="0" applyFont="1" applyFill="1" applyBorder="1" applyProtection="1">
      <alignment vertical="center"/>
      <protection hidden="1"/>
    </xf>
    <xf numFmtId="0" fontId="86" fillId="33" borderId="53" xfId="0" applyFont="1" applyFill="1" applyBorder="1" applyProtection="1">
      <alignment vertical="center"/>
      <protection hidden="1"/>
    </xf>
    <xf numFmtId="0" fontId="86" fillId="33" borderId="53" xfId="0" applyFont="1" applyFill="1" applyBorder="1" applyAlignment="1" applyProtection="1">
      <alignment horizontal="right" vertical="center"/>
      <protection hidden="1"/>
    </xf>
    <xf numFmtId="184" fontId="93" fillId="33" borderId="0" xfId="0" applyNumberFormat="1" applyFont="1" applyFill="1" applyAlignment="1" applyProtection="1">
      <alignment horizontal="right" vertical="center"/>
      <protection hidden="1"/>
    </xf>
    <xf numFmtId="0" fontId="66" fillId="0" borderId="62" xfId="0" applyFont="1" applyBorder="1" applyAlignment="1" applyProtection="1">
      <alignment horizontal="left" vertical="center"/>
      <protection hidden="1"/>
    </xf>
    <xf numFmtId="1" fontId="66" fillId="0" borderId="0" xfId="0" applyNumberFormat="1" applyFont="1" applyAlignment="1" applyProtection="1">
      <alignment horizontal="left" vertical="center"/>
      <protection hidden="1"/>
    </xf>
    <xf numFmtId="0" fontId="66" fillId="0" borderId="63" xfId="0" applyFont="1" applyBorder="1" applyAlignment="1" applyProtection="1">
      <alignment horizontal="left" vertical="center"/>
      <protection hidden="1"/>
    </xf>
    <xf numFmtId="0" fontId="67" fillId="0" borderId="62" xfId="0" applyFont="1" applyBorder="1" applyProtection="1">
      <alignment vertical="center"/>
      <protection hidden="1"/>
    </xf>
    <xf numFmtId="0" fontId="100" fillId="0" borderId="0" xfId="0" applyFont="1" applyProtection="1">
      <alignment vertical="center"/>
      <protection hidden="1"/>
    </xf>
    <xf numFmtId="0" fontId="34" fillId="0" borderId="0" xfId="0" applyFont="1" applyAlignment="1" applyProtection="1">
      <alignment horizontal="right" vertical="center"/>
      <protection hidden="1"/>
    </xf>
    <xf numFmtId="1" fontId="34" fillId="0" borderId="0" xfId="0" applyNumberFormat="1" applyFont="1" applyProtection="1">
      <alignment vertical="center"/>
      <protection hidden="1"/>
    </xf>
    <xf numFmtId="0" fontId="67" fillId="0" borderId="0" xfId="0" applyFont="1" applyAlignment="1" applyProtection="1">
      <alignment horizontal="right" vertical="center"/>
      <protection hidden="1"/>
    </xf>
    <xf numFmtId="0" fontId="27" fillId="0" borderId="0" xfId="0" applyFont="1" applyAlignment="1" applyProtection="1">
      <alignment horizontal="left" vertical="center"/>
      <protection hidden="1"/>
    </xf>
    <xf numFmtId="0" fontId="49" fillId="0" borderId="10" xfId="0" applyFont="1" applyBorder="1" applyAlignment="1" applyProtection="1">
      <alignment horizontal="right"/>
      <protection hidden="1"/>
    </xf>
    <xf numFmtId="0" fontId="34" fillId="0" borderId="62" xfId="0" applyFont="1" applyBorder="1" applyProtection="1">
      <alignment vertical="center"/>
      <protection hidden="1"/>
    </xf>
    <xf numFmtId="177" fontId="56" fillId="0" borderId="0" xfId="0" applyNumberFormat="1" applyFont="1" applyProtection="1">
      <alignment vertical="center"/>
      <protection hidden="1"/>
    </xf>
    <xf numFmtId="188" fontId="49" fillId="0" borderId="10" xfId="35" applyNumberFormat="1" applyFont="1" applyFill="1" applyBorder="1" applyAlignment="1" applyProtection="1">
      <alignment horizontal="right"/>
      <protection hidden="1"/>
    </xf>
    <xf numFmtId="0" fontId="6" fillId="0" borderId="10" xfId="0" applyFont="1" applyBorder="1" applyAlignment="1" applyProtection="1">
      <alignment horizontal="left"/>
      <protection hidden="1"/>
    </xf>
    <xf numFmtId="0" fontId="34" fillId="0" borderId="65" xfId="0" applyFont="1" applyBorder="1" applyProtection="1">
      <alignment vertical="center"/>
      <protection hidden="1"/>
    </xf>
    <xf numFmtId="0" fontId="34" fillId="0" borderId="66" xfId="0" applyFont="1" applyBorder="1" applyProtection="1">
      <alignment vertical="center"/>
      <protection hidden="1"/>
    </xf>
    <xf numFmtId="0" fontId="34" fillId="0" borderId="66" xfId="0" applyFont="1" applyBorder="1" applyAlignment="1" applyProtection="1">
      <alignment horizontal="right" vertical="center"/>
      <protection hidden="1"/>
    </xf>
    <xf numFmtId="0" fontId="60" fillId="0" borderId="66" xfId="0" applyFont="1" applyBorder="1" applyProtection="1">
      <alignment vertical="center"/>
      <protection hidden="1"/>
    </xf>
    <xf numFmtId="0" fontId="27" fillId="0" borderId="66" xfId="0" applyFont="1" applyBorder="1" applyAlignment="1" applyProtection="1">
      <alignment horizontal="left" vertical="center"/>
      <protection hidden="1"/>
    </xf>
    <xf numFmtId="0" fontId="67" fillId="0" borderId="66" xfId="0" applyFont="1" applyBorder="1" applyProtection="1">
      <alignment vertical="center"/>
      <protection hidden="1"/>
    </xf>
    <xf numFmtId="0" fontId="67" fillId="0" borderId="67" xfId="0" applyFont="1" applyBorder="1" applyProtection="1">
      <alignment vertical="center"/>
      <protection hidden="1"/>
    </xf>
    <xf numFmtId="0" fontId="0" fillId="0" borderId="10" xfId="0" applyBorder="1" applyProtection="1">
      <alignment vertical="center"/>
      <protection hidden="1"/>
    </xf>
    <xf numFmtId="177" fontId="49" fillId="34" borderId="10" xfId="0" applyNumberFormat="1" applyFont="1" applyFill="1" applyBorder="1" applyAlignment="1" applyProtection="1">
      <alignment horizontal="right"/>
      <protection hidden="1"/>
    </xf>
    <xf numFmtId="0" fontId="79" fillId="0" borderId="0" xfId="0" applyFont="1" applyProtection="1">
      <alignment vertical="center"/>
      <protection hidden="1"/>
    </xf>
    <xf numFmtId="0" fontId="27" fillId="0" borderId="0" xfId="0" applyFont="1" applyAlignment="1" applyProtection="1">
      <alignment horizontal="right" vertical="center"/>
      <protection hidden="1"/>
    </xf>
    <xf numFmtId="0" fontId="49" fillId="0" borderId="0" xfId="0" applyFont="1" applyAlignment="1" applyProtection="1">
      <alignment horizontal="right"/>
      <protection hidden="1"/>
    </xf>
    <xf numFmtId="0" fontId="86" fillId="30" borderId="60" xfId="0" applyFont="1" applyFill="1" applyBorder="1" applyProtection="1">
      <alignment vertical="center"/>
      <protection hidden="1"/>
    </xf>
    <xf numFmtId="0" fontId="86" fillId="30" borderId="60" xfId="0" applyFont="1" applyFill="1" applyBorder="1" applyAlignment="1" applyProtection="1">
      <alignment horizontal="right" vertical="center"/>
      <protection hidden="1"/>
    </xf>
    <xf numFmtId="0" fontId="101" fillId="30" borderId="60" xfId="0" applyFont="1" applyFill="1" applyBorder="1" applyAlignment="1" applyProtection="1">
      <alignment horizontal="right" vertical="top"/>
      <protection hidden="1"/>
    </xf>
    <xf numFmtId="0" fontId="60" fillId="30" borderId="60" xfId="0" applyFont="1" applyFill="1" applyBorder="1" applyAlignment="1" applyProtection="1">
      <alignment horizontal="center" vertical="center"/>
      <protection hidden="1"/>
    </xf>
    <xf numFmtId="0" fontId="67" fillId="30" borderId="60" xfId="0" applyFont="1" applyFill="1" applyBorder="1" applyProtection="1">
      <alignment vertical="center"/>
      <protection hidden="1"/>
    </xf>
    <xf numFmtId="0" fontId="101" fillId="30" borderId="61" xfId="0" applyFont="1" applyFill="1" applyBorder="1" applyAlignment="1" applyProtection="1">
      <alignment horizontal="right" vertical="center"/>
      <protection hidden="1"/>
    </xf>
    <xf numFmtId="0" fontId="4" fillId="35" borderId="89" xfId="0" applyFont="1" applyFill="1" applyBorder="1" applyProtection="1">
      <alignment vertical="center"/>
      <protection hidden="1"/>
    </xf>
    <xf numFmtId="0" fontId="86" fillId="35" borderId="53" xfId="0" applyFont="1" applyFill="1" applyBorder="1" applyProtection="1">
      <alignment vertical="center"/>
      <protection hidden="1"/>
    </xf>
    <xf numFmtId="0" fontId="86" fillId="35" borderId="53" xfId="0" applyFont="1" applyFill="1" applyBorder="1" applyAlignment="1" applyProtection="1">
      <alignment horizontal="right" vertical="center"/>
      <protection hidden="1"/>
    </xf>
    <xf numFmtId="0" fontId="102" fillId="35" borderId="54" xfId="0" applyFont="1" applyFill="1" applyBorder="1" applyProtection="1">
      <alignment vertical="center"/>
      <protection hidden="1"/>
    </xf>
    <xf numFmtId="0" fontId="4" fillId="35" borderId="53" xfId="0" applyFont="1" applyFill="1" applyBorder="1" applyProtection="1">
      <alignment vertical="center"/>
      <protection hidden="1"/>
    </xf>
    <xf numFmtId="0" fontId="102" fillId="35" borderId="53" xfId="0" applyFont="1" applyFill="1" applyBorder="1" applyAlignment="1" applyProtection="1">
      <alignment horizontal="center" vertical="center"/>
      <protection hidden="1"/>
    </xf>
    <xf numFmtId="0" fontId="102" fillId="35" borderId="90" xfId="0" applyFont="1" applyFill="1" applyBorder="1" applyAlignment="1" applyProtection="1">
      <alignment horizontal="center" vertical="center"/>
      <protection hidden="1"/>
    </xf>
    <xf numFmtId="205" fontId="49" fillId="0" borderId="0" xfId="0" applyNumberFormat="1" applyFont="1" applyProtection="1">
      <alignment vertical="center"/>
      <protection hidden="1"/>
    </xf>
    <xf numFmtId="0" fontId="103" fillId="35" borderId="89" xfId="0" applyFont="1" applyFill="1" applyBorder="1" applyProtection="1">
      <alignment vertical="center"/>
      <protection hidden="1"/>
    </xf>
    <xf numFmtId="0" fontId="102" fillId="35" borderId="54" xfId="0" applyFont="1" applyFill="1" applyBorder="1" applyAlignment="1" applyProtection="1">
      <alignment horizontal="center" vertical="center"/>
      <protection hidden="1"/>
    </xf>
    <xf numFmtId="0" fontId="103" fillId="35" borderId="64" xfId="0" applyFont="1" applyFill="1" applyBorder="1">
      <alignment vertical="center"/>
    </xf>
    <xf numFmtId="0" fontId="102" fillId="35" borderId="0" xfId="0" applyFont="1" applyFill="1" applyAlignment="1" applyProtection="1">
      <alignment horizontal="center" vertical="center"/>
      <protection hidden="1"/>
    </xf>
    <xf numFmtId="0" fontId="102" fillId="35" borderId="17" xfId="0" applyFont="1" applyFill="1" applyBorder="1" applyAlignment="1" applyProtection="1">
      <alignment horizontal="center" vertical="center"/>
      <protection hidden="1"/>
    </xf>
    <xf numFmtId="0" fontId="103" fillId="35" borderId="52" xfId="0" applyFont="1" applyFill="1" applyBorder="1">
      <alignment vertical="center"/>
    </xf>
    <xf numFmtId="0" fontId="102" fillId="35" borderId="0" xfId="0" applyFont="1" applyFill="1" applyAlignment="1" applyProtection="1">
      <alignment horizontal="left" vertical="center"/>
      <protection hidden="1"/>
    </xf>
    <xf numFmtId="0" fontId="86" fillId="35" borderId="0" xfId="0" applyFont="1" applyFill="1" applyAlignment="1" applyProtection="1">
      <alignment horizontal="right" vertical="center"/>
      <protection hidden="1"/>
    </xf>
    <xf numFmtId="0" fontId="86" fillId="35" borderId="63" xfId="0" applyFont="1" applyFill="1" applyBorder="1" applyAlignment="1" applyProtection="1">
      <alignment horizontal="right" vertical="center"/>
      <protection hidden="1"/>
    </xf>
    <xf numFmtId="0" fontId="103" fillId="35" borderId="89" xfId="0" applyFont="1" applyFill="1" applyBorder="1">
      <alignment vertical="center"/>
    </xf>
    <xf numFmtId="0" fontId="102" fillId="35" borderId="53" xfId="0" applyFont="1" applyFill="1" applyBorder="1" applyAlignment="1" applyProtection="1">
      <alignment horizontal="left" vertical="center"/>
      <protection hidden="1"/>
    </xf>
    <xf numFmtId="0" fontId="86" fillId="35" borderId="54" xfId="0" applyFont="1" applyFill="1" applyBorder="1" applyAlignment="1" applyProtection="1">
      <alignment horizontal="right" vertical="center"/>
      <protection hidden="1"/>
    </xf>
    <xf numFmtId="0" fontId="103" fillId="35" borderId="0" xfId="0" applyFont="1" applyFill="1">
      <alignment vertical="center"/>
    </xf>
    <xf numFmtId="0" fontId="103" fillId="35" borderId="53" xfId="0" applyFont="1" applyFill="1" applyBorder="1">
      <alignment vertical="center"/>
    </xf>
    <xf numFmtId="0" fontId="86" fillId="35" borderId="90" xfId="0" applyFont="1" applyFill="1" applyBorder="1" applyAlignment="1" applyProtection="1">
      <alignment horizontal="right" vertical="center"/>
      <protection hidden="1"/>
    </xf>
    <xf numFmtId="0" fontId="63" fillId="36" borderId="68" xfId="0" applyFont="1" applyFill="1" applyBorder="1" applyProtection="1">
      <alignment vertical="center"/>
      <protection hidden="1"/>
    </xf>
    <xf numFmtId="0" fontId="86" fillId="36" borderId="69" xfId="0" applyFont="1" applyFill="1" applyBorder="1" applyProtection="1">
      <alignment vertical="center"/>
      <protection hidden="1"/>
    </xf>
    <xf numFmtId="0" fontId="86" fillId="36" borderId="69" xfId="0" applyFont="1" applyFill="1" applyBorder="1" applyAlignment="1" applyProtection="1">
      <alignment horizontal="right" vertical="center"/>
      <protection hidden="1"/>
    </xf>
    <xf numFmtId="0" fontId="87" fillId="36" borderId="69" xfId="0" applyFont="1" applyFill="1" applyBorder="1" applyAlignment="1" applyProtection="1">
      <alignment vertical="top"/>
      <protection hidden="1"/>
    </xf>
    <xf numFmtId="0" fontId="67" fillId="36" borderId="69" xfId="0" applyFont="1" applyFill="1" applyBorder="1" applyProtection="1">
      <alignment vertical="center"/>
      <protection hidden="1"/>
    </xf>
    <xf numFmtId="0" fontId="101" fillId="36" borderId="69" xfId="0" applyFont="1" applyFill="1" applyBorder="1" applyProtection="1">
      <alignment vertical="center"/>
      <protection hidden="1"/>
    </xf>
    <xf numFmtId="0" fontId="87" fillId="36" borderId="71" xfId="0" applyFont="1" applyFill="1" applyBorder="1" applyAlignment="1" applyProtection="1">
      <alignment horizontal="right" vertical="center"/>
      <protection hidden="1"/>
    </xf>
    <xf numFmtId="0" fontId="63" fillId="37" borderId="59" xfId="0" applyFont="1" applyFill="1" applyBorder="1" applyProtection="1">
      <alignment vertical="center"/>
      <protection hidden="1"/>
    </xf>
    <xf numFmtId="0" fontId="86" fillId="37" borderId="60" xfId="0" applyFont="1" applyFill="1" applyBorder="1" applyProtection="1">
      <alignment vertical="center"/>
      <protection hidden="1"/>
    </xf>
    <xf numFmtId="0" fontId="86" fillId="37" borderId="60" xfId="0" applyFont="1" applyFill="1" applyBorder="1" applyAlignment="1" applyProtection="1">
      <alignment horizontal="right" vertical="center"/>
      <protection hidden="1"/>
    </xf>
    <xf numFmtId="0" fontId="101" fillId="37" borderId="60" xfId="0" applyFont="1" applyFill="1" applyBorder="1" applyProtection="1">
      <alignment vertical="center"/>
      <protection hidden="1"/>
    </xf>
    <xf numFmtId="0" fontId="2" fillId="37" borderId="60" xfId="0" applyFont="1" applyFill="1" applyBorder="1" applyProtection="1">
      <alignment vertical="center"/>
      <protection hidden="1"/>
    </xf>
    <xf numFmtId="0" fontId="67" fillId="37" borderId="60" xfId="0" applyFont="1" applyFill="1" applyBorder="1" applyProtection="1">
      <alignment vertical="center"/>
      <protection hidden="1"/>
    </xf>
    <xf numFmtId="0" fontId="2" fillId="37" borderId="61" xfId="0" applyFont="1" applyFill="1" applyBorder="1" applyAlignment="1" applyProtection="1">
      <alignment horizontal="right" vertical="center"/>
      <protection hidden="1"/>
    </xf>
    <xf numFmtId="0" fontId="59" fillId="38" borderId="59" xfId="0" applyFont="1" applyFill="1" applyBorder="1" applyAlignment="1" applyProtection="1">
      <alignment horizontal="left" vertical="center"/>
      <protection hidden="1"/>
    </xf>
    <xf numFmtId="0" fontId="59" fillId="38" borderId="60" xfId="0" applyFont="1" applyFill="1" applyBorder="1" applyAlignment="1" applyProtection="1">
      <alignment horizontal="left" vertical="center"/>
      <protection hidden="1"/>
    </xf>
    <xf numFmtId="0" fontId="59" fillId="38" borderId="60" xfId="0" applyFont="1" applyFill="1" applyBorder="1" applyAlignment="1" applyProtection="1">
      <alignment horizontal="right" vertical="center"/>
      <protection hidden="1"/>
    </xf>
    <xf numFmtId="0" fontId="37" fillId="31" borderId="60" xfId="0" applyFont="1" applyFill="1" applyBorder="1" applyProtection="1">
      <alignment vertical="center"/>
      <protection hidden="1"/>
    </xf>
    <xf numFmtId="0" fontId="34" fillId="31" borderId="60" xfId="0" applyFont="1" applyFill="1" applyBorder="1" applyProtection="1">
      <alignment vertical="center"/>
      <protection hidden="1"/>
    </xf>
    <xf numFmtId="0" fontId="67" fillId="31" borderId="60" xfId="0" applyFont="1" applyFill="1" applyBorder="1" applyProtection="1">
      <alignment vertical="center"/>
      <protection hidden="1"/>
    </xf>
    <xf numFmtId="0" fontId="34" fillId="31" borderId="61" xfId="0" applyFont="1" applyFill="1" applyBorder="1" applyAlignment="1" applyProtection="1">
      <alignment horizontal="right" vertical="center"/>
      <protection hidden="1"/>
    </xf>
    <xf numFmtId="0" fontId="59" fillId="38" borderId="62" xfId="0" applyFont="1" applyFill="1" applyBorder="1" applyAlignment="1" applyProtection="1">
      <alignment horizontal="left" vertical="center"/>
      <protection hidden="1"/>
    </xf>
    <xf numFmtId="49" fontId="33" fillId="38" borderId="0" xfId="0" applyNumberFormat="1" applyFont="1" applyFill="1" applyAlignment="1" applyProtection="1">
      <alignment horizontal="left" vertical="center"/>
      <protection hidden="1"/>
    </xf>
    <xf numFmtId="49" fontId="34" fillId="38" borderId="0" xfId="0" applyNumberFormat="1" applyFont="1" applyFill="1" applyAlignment="1" applyProtection="1">
      <alignment horizontal="right" vertical="center"/>
      <protection hidden="1"/>
    </xf>
    <xf numFmtId="49" fontId="27" fillId="24" borderId="0" xfId="0" applyNumberFormat="1" applyFont="1" applyFill="1" applyAlignment="1" applyProtection="1">
      <alignment horizontal="left" vertical="center"/>
      <protection locked="0"/>
    </xf>
    <xf numFmtId="49" fontId="33" fillId="0" borderId="0" xfId="0" applyNumberFormat="1" applyFont="1" applyAlignment="1" applyProtection="1">
      <alignment horizontal="left" vertical="center"/>
      <protection hidden="1"/>
    </xf>
    <xf numFmtId="49" fontId="34" fillId="0" borderId="0" xfId="0" applyNumberFormat="1" applyFont="1" applyAlignment="1" applyProtection="1">
      <alignment horizontal="left" vertical="center"/>
      <protection hidden="1"/>
    </xf>
    <xf numFmtId="49" fontId="27" fillId="24" borderId="0" xfId="0" applyNumberFormat="1" applyFont="1" applyFill="1" applyAlignment="1" applyProtection="1">
      <alignment horizontal="right" vertical="center"/>
      <protection locked="0"/>
    </xf>
    <xf numFmtId="0" fontId="34" fillId="24" borderId="0" xfId="0" applyFont="1" applyFill="1" applyAlignment="1" applyProtection="1">
      <alignment horizontal="center" vertical="center"/>
      <protection locked="0"/>
    </xf>
    <xf numFmtId="0" fontId="34" fillId="0" borderId="0" xfId="0" applyFont="1" applyAlignment="1" applyProtection="1">
      <alignment horizontal="center" vertical="center"/>
      <protection hidden="1"/>
    </xf>
    <xf numFmtId="49" fontId="27" fillId="0" borderId="0" xfId="0" applyNumberFormat="1" applyFont="1" applyAlignment="1" applyProtection="1">
      <alignment horizontal="center" vertical="center"/>
      <protection hidden="1"/>
    </xf>
    <xf numFmtId="49" fontId="27" fillId="0" borderId="63" xfId="0" applyNumberFormat="1" applyFont="1" applyBorder="1" applyAlignment="1" applyProtection="1">
      <alignment horizontal="left" vertical="center"/>
      <protection hidden="1"/>
    </xf>
    <xf numFmtId="0" fontId="33" fillId="38" borderId="0" xfId="0" applyFont="1" applyFill="1" applyProtection="1">
      <alignment vertical="center"/>
      <protection hidden="1"/>
    </xf>
    <xf numFmtId="0" fontId="34" fillId="38" borderId="0" xfId="0" applyFont="1" applyFill="1" applyAlignment="1" applyProtection="1">
      <alignment horizontal="right" vertical="center"/>
      <protection hidden="1"/>
    </xf>
    <xf numFmtId="0" fontId="34" fillId="24" borderId="0" xfId="0" applyFont="1" applyFill="1" applyProtection="1">
      <alignment vertical="center"/>
      <protection locked="0"/>
    </xf>
    <xf numFmtId="0" fontId="34" fillId="24" borderId="0" xfId="0" applyFont="1" applyFill="1" applyAlignment="1" applyProtection="1">
      <alignment horizontal="right" vertical="center"/>
      <protection locked="0"/>
    </xf>
    <xf numFmtId="0" fontId="34" fillId="0" borderId="63" xfId="0" applyFont="1" applyBorder="1" applyProtection="1">
      <alignment vertical="center"/>
      <protection hidden="1"/>
    </xf>
    <xf numFmtId="0" fontId="83" fillId="0" borderId="0" xfId="0" applyFont="1" applyProtection="1">
      <alignment vertical="center"/>
      <protection hidden="1"/>
    </xf>
    <xf numFmtId="0" fontId="83" fillId="38" borderId="62" xfId="0" applyFont="1" applyFill="1" applyBorder="1" applyProtection="1">
      <alignment vertical="center"/>
      <protection hidden="1"/>
    </xf>
    <xf numFmtId="0" fontId="33" fillId="38" borderId="0" xfId="0" applyFont="1" applyFill="1" applyAlignment="1" applyProtection="1">
      <alignment horizontal="left" vertical="center"/>
      <protection hidden="1"/>
    </xf>
    <xf numFmtId="49" fontId="34" fillId="0" borderId="0" xfId="0" applyNumberFormat="1" applyFont="1" applyAlignment="1" applyProtection="1">
      <alignment horizontal="center" vertical="center"/>
      <protection hidden="1"/>
    </xf>
    <xf numFmtId="0" fontId="34" fillId="38" borderId="0" xfId="0" applyFont="1" applyFill="1" applyAlignment="1" applyProtection="1">
      <alignment horizontal="left" vertical="center"/>
      <protection hidden="1"/>
    </xf>
    <xf numFmtId="49" fontId="34" fillId="0" borderId="63" xfId="0" applyNumberFormat="1" applyFont="1" applyBorder="1" applyAlignment="1" applyProtection="1">
      <alignment horizontal="left" vertical="center"/>
      <protection hidden="1"/>
    </xf>
    <xf numFmtId="0" fontId="33" fillId="0" borderId="0" xfId="0" applyFont="1" applyProtection="1">
      <alignment vertical="center"/>
      <protection hidden="1"/>
    </xf>
    <xf numFmtId="0" fontId="59" fillId="38" borderId="65" xfId="0" applyFont="1" applyFill="1" applyBorder="1" applyAlignment="1" applyProtection="1">
      <alignment horizontal="left" vertical="center"/>
      <protection hidden="1"/>
    </xf>
    <xf numFmtId="0" fontId="34" fillId="24" borderId="66" xfId="0" applyFont="1" applyFill="1" applyBorder="1" applyAlignment="1" applyProtection="1">
      <alignment horizontal="left" vertical="center"/>
      <protection locked="0"/>
    </xf>
    <xf numFmtId="0" fontId="34" fillId="38" borderId="66" xfId="0" applyFont="1" applyFill="1" applyBorder="1" applyAlignment="1" applyProtection="1">
      <alignment horizontal="right" vertical="center"/>
      <protection hidden="1"/>
    </xf>
    <xf numFmtId="0" fontId="34" fillId="24" borderId="66" xfId="0" applyFont="1" applyFill="1" applyBorder="1" applyProtection="1">
      <alignment vertical="center"/>
      <protection locked="0"/>
    </xf>
    <xf numFmtId="0" fontId="33" fillId="0" borderId="66" xfId="0" applyFont="1" applyBorder="1" applyProtection="1">
      <alignment vertical="center"/>
      <protection hidden="1"/>
    </xf>
    <xf numFmtId="0" fontId="34" fillId="24" borderId="66" xfId="0" applyFont="1" applyFill="1" applyBorder="1" applyAlignment="1" applyProtection="1">
      <alignment horizontal="right" vertical="center"/>
      <protection locked="0"/>
    </xf>
    <xf numFmtId="0" fontId="34" fillId="0" borderId="66" xfId="0" applyFont="1" applyBorder="1" applyAlignment="1" applyProtection="1">
      <alignment horizontal="center" vertical="center"/>
      <protection hidden="1"/>
    </xf>
    <xf numFmtId="0" fontId="34" fillId="0" borderId="67" xfId="0" applyFont="1" applyBorder="1" applyProtection="1">
      <alignment vertical="center"/>
      <protection hidden="1"/>
    </xf>
    <xf numFmtId="0" fontId="63" fillId="37" borderId="68" xfId="0" applyFont="1" applyFill="1" applyBorder="1" applyAlignment="1" applyProtection="1">
      <alignment horizontal="left" vertical="center"/>
      <protection hidden="1"/>
    </xf>
    <xf numFmtId="0" fontId="101" fillId="37" borderId="69" xfId="0" applyFont="1" applyFill="1" applyBorder="1" applyAlignment="1" applyProtection="1">
      <alignment horizontal="left" vertical="center"/>
      <protection hidden="1"/>
    </xf>
    <xf numFmtId="0" fontId="101" fillId="37" borderId="69" xfId="0" applyFont="1" applyFill="1" applyBorder="1" applyAlignment="1" applyProtection="1">
      <alignment horizontal="right" vertical="center"/>
      <protection hidden="1"/>
    </xf>
    <xf numFmtId="0" fontId="101" fillId="37" borderId="69" xfId="0" applyFont="1" applyFill="1" applyBorder="1" applyProtection="1">
      <alignment vertical="center"/>
      <protection hidden="1"/>
    </xf>
    <xf numFmtId="0" fontId="106" fillId="37" borderId="69" xfId="0" applyFont="1" applyFill="1" applyBorder="1" applyProtection="1">
      <alignment vertical="center"/>
      <protection hidden="1"/>
    </xf>
    <xf numFmtId="0" fontId="106" fillId="37" borderId="71" xfId="0" applyFont="1" applyFill="1" applyBorder="1" applyProtection="1">
      <alignment vertical="center"/>
      <protection hidden="1"/>
    </xf>
    <xf numFmtId="0" fontId="4" fillId="33" borderId="59" xfId="0" applyFont="1" applyFill="1" applyBorder="1" applyProtection="1">
      <alignment vertical="center"/>
      <protection hidden="1"/>
    </xf>
    <xf numFmtId="0" fontId="102" fillId="33" borderId="60" xfId="0" applyFont="1" applyFill="1" applyBorder="1" applyProtection="1">
      <alignment vertical="center"/>
      <protection hidden="1"/>
    </xf>
    <xf numFmtId="0" fontId="102" fillId="33" borderId="60" xfId="0" applyFont="1" applyFill="1" applyBorder="1" applyAlignment="1" applyProtection="1">
      <alignment horizontal="right" vertical="center"/>
      <protection hidden="1"/>
    </xf>
    <xf numFmtId="184" fontId="64" fillId="33" borderId="60" xfId="0" applyNumberFormat="1" applyFont="1" applyFill="1" applyBorder="1" applyAlignment="1" applyProtection="1">
      <alignment horizontal="center" vertical="center"/>
      <protection hidden="1"/>
    </xf>
    <xf numFmtId="0" fontId="83" fillId="33" borderId="60" xfId="0" applyFont="1" applyFill="1" applyBorder="1" applyProtection="1">
      <alignment vertical="center"/>
      <protection hidden="1"/>
    </xf>
    <xf numFmtId="0" fontId="4" fillId="33" borderId="91" xfId="0" applyFont="1" applyFill="1" applyBorder="1" applyProtection="1">
      <alignment vertical="center"/>
      <protection hidden="1"/>
    </xf>
    <xf numFmtId="0" fontId="64" fillId="33" borderId="60" xfId="0" applyFont="1" applyFill="1" applyBorder="1" applyProtection="1">
      <alignment vertical="center"/>
      <protection hidden="1"/>
    </xf>
    <xf numFmtId="0" fontId="64" fillId="33" borderId="60" xfId="0" applyFont="1" applyFill="1" applyBorder="1" applyAlignment="1" applyProtection="1">
      <alignment horizontal="right" vertical="center"/>
      <protection hidden="1"/>
    </xf>
    <xf numFmtId="0" fontId="102" fillId="33" borderId="61" xfId="0" applyFont="1" applyFill="1" applyBorder="1" applyProtection="1">
      <alignment vertical="center"/>
      <protection hidden="1"/>
    </xf>
    <xf numFmtId="0" fontId="67" fillId="0" borderId="62" xfId="0" applyFont="1" applyBorder="1" applyAlignment="1" applyProtection="1">
      <alignment horizontal="left" vertical="center"/>
      <protection hidden="1"/>
    </xf>
    <xf numFmtId="0" fontId="107" fillId="24" borderId="0" xfId="0" applyFont="1" applyFill="1" applyAlignment="1" applyProtection="1">
      <alignment horizontal="left" vertical="center"/>
      <protection locked="0"/>
    </xf>
    <xf numFmtId="0" fontId="108" fillId="0" borderId="0" xfId="0" applyFont="1" applyAlignment="1" applyProtection="1">
      <alignment horizontal="right" vertical="center"/>
      <protection hidden="1"/>
    </xf>
    <xf numFmtId="0" fontId="107" fillId="24" borderId="64" xfId="0" applyFont="1" applyFill="1" applyBorder="1" applyAlignment="1" applyProtection="1">
      <alignment horizontal="left" vertical="center"/>
      <protection locked="0"/>
    </xf>
    <xf numFmtId="0" fontId="84" fillId="0" borderId="0" xfId="0" applyFont="1" applyProtection="1">
      <alignment vertical="center"/>
      <protection hidden="1"/>
    </xf>
    <xf numFmtId="0" fontId="67" fillId="0" borderId="65" xfId="0" applyFont="1" applyBorder="1" applyAlignment="1" applyProtection="1">
      <alignment horizontal="left" vertical="center"/>
      <protection hidden="1"/>
    </xf>
    <xf numFmtId="0" fontId="108" fillId="24" borderId="66" xfId="0" applyFont="1" applyFill="1" applyBorder="1" applyAlignment="1" applyProtection="1">
      <alignment horizontal="left" vertical="center"/>
      <protection locked="0"/>
    </xf>
    <xf numFmtId="0" fontId="108" fillId="0" borderId="66" xfId="0" applyFont="1" applyBorder="1" applyAlignment="1" applyProtection="1">
      <alignment horizontal="right" vertical="center"/>
      <protection hidden="1"/>
    </xf>
    <xf numFmtId="0" fontId="108" fillId="24" borderId="83" xfId="0" applyFont="1" applyFill="1" applyBorder="1" applyAlignment="1" applyProtection="1">
      <alignment horizontal="left" vertical="center"/>
      <protection locked="0"/>
    </xf>
    <xf numFmtId="0" fontId="40" fillId="0" borderId="66" xfId="0" applyFont="1" applyBorder="1" applyAlignment="1" applyProtection="1">
      <alignment horizontal="left" vertical="top"/>
      <protection hidden="1"/>
    </xf>
    <xf numFmtId="0" fontId="40" fillId="0" borderId="67" xfId="0" applyFont="1" applyBorder="1" applyAlignment="1" applyProtection="1">
      <alignment horizontal="left" vertical="top"/>
      <protection hidden="1"/>
    </xf>
    <xf numFmtId="0" fontId="109" fillId="0" borderId="52" xfId="0" quotePrefix="1" applyFont="1" applyBorder="1" applyAlignment="1" applyProtection="1">
      <alignment horizontal="left" vertical="center"/>
      <protection hidden="1"/>
    </xf>
    <xf numFmtId="0" fontId="110" fillId="0" borderId="53" xfId="0" applyFont="1" applyBorder="1" applyAlignment="1" applyProtection="1">
      <alignment horizontal="right" vertical="center"/>
      <protection hidden="1"/>
    </xf>
    <xf numFmtId="0" fontId="59" fillId="0" borderId="53" xfId="0" applyFont="1" applyBorder="1" applyAlignment="1" applyProtection="1">
      <alignment horizontal="right" vertical="center"/>
      <protection hidden="1"/>
    </xf>
    <xf numFmtId="0" fontId="110" fillId="0" borderId="53" xfId="0" quotePrefix="1" applyFont="1" applyBorder="1" applyAlignment="1" applyProtection="1">
      <alignment horizontal="left" vertical="center"/>
      <protection hidden="1"/>
    </xf>
    <xf numFmtId="0" fontId="56" fillId="0" borderId="53" xfId="0" applyFont="1" applyBorder="1" applyProtection="1">
      <alignment vertical="center"/>
      <protection hidden="1"/>
    </xf>
    <xf numFmtId="0" fontId="110" fillId="0" borderId="53" xfId="0" quotePrefix="1" applyFont="1" applyBorder="1" applyAlignment="1" applyProtection="1">
      <alignment horizontal="center" vertical="center"/>
      <protection hidden="1"/>
    </xf>
    <xf numFmtId="0" fontId="110" fillId="0" borderId="53" xfId="0" applyFont="1" applyBorder="1" applyAlignment="1" applyProtection="1">
      <alignment horizontal="center" vertical="center"/>
      <protection hidden="1"/>
    </xf>
    <xf numFmtId="0" fontId="110" fillId="0" borderId="53" xfId="0" applyFont="1" applyBorder="1" applyProtection="1">
      <alignment vertical="center"/>
      <protection hidden="1"/>
    </xf>
    <xf numFmtId="0" fontId="110" fillId="0" borderId="54" xfId="0" applyFont="1" applyBorder="1" applyProtection="1">
      <alignment vertical="center"/>
      <protection hidden="1"/>
    </xf>
    <xf numFmtId="0" fontId="109" fillId="0" borderId="64" xfId="0" quotePrefix="1" applyFont="1" applyBorder="1" applyAlignment="1" applyProtection="1">
      <alignment horizontal="left" vertical="center"/>
      <protection hidden="1"/>
    </xf>
    <xf numFmtId="0" fontId="111" fillId="0" borderId="0" xfId="0" applyFont="1" applyAlignment="1" applyProtection="1">
      <alignment horizontal="right" vertical="center"/>
      <protection hidden="1"/>
    </xf>
    <xf numFmtId="0" fontId="110" fillId="0" borderId="0" xfId="0" applyFont="1" applyAlignment="1" applyProtection="1">
      <alignment horizontal="center" vertical="center"/>
      <protection hidden="1"/>
    </xf>
    <xf numFmtId="0" fontId="110" fillId="0" borderId="0" xfId="0" applyFont="1" applyAlignment="1" applyProtection="1">
      <alignment horizontal="right" vertical="center"/>
      <protection hidden="1"/>
    </xf>
    <xf numFmtId="0" fontId="110" fillId="0" borderId="17" xfId="0" applyFont="1" applyBorder="1" applyAlignment="1" applyProtection="1">
      <alignment horizontal="right" vertical="center"/>
      <protection hidden="1"/>
    </xf>
    <xf numFmtId="0" fontId="111" fillId="0" borderId="0" xfId="0" applyFont="1" applyAlignment="1" applyProtection="1">
      <alignment horizontal="left" vertical="center"/>
      <protection hidden="1"/>
    </xf>
    <xf numFmtId="0" fontId="111" fillId="0" borderId="0" xfId="0" quotePrefix="1" applyFont="1" applyAlignment="1" applyProtection="1">
      <alignment horizontal="left" vertical="center"/>
      <protection hidden="1"/>
    </xf>
    <xf numFmtId="0" fontId="67" fillId="0" borderId="0" xfId="0" quotePrefix="1" applyFont="1" applyAlignment="1" applyProtection="1">
      <alignment horizontal="left" vertical="center"/>
      <protection hidden="1"/>
    </xf>
    <xf numFmtId="0" fontId="112" fillId="0" borderId="0" xfId="0" quotePrefix="1" applyFont="1" applyAlignment="1" applyProtection="1">
      <alignment horizontal="center" vertical="center"/>
      <protection hidden="1"/>
    </xf>
    <xf numFmtId="0" fontId="112" fillId="0" borderId="0" xfId="0" applyFont="1" applyAlignment="1" applyProtection="1">
      <alignment horizontal="center" vertical="center"/>
      <protection hidden="1"/>
    </xf>
    <xf numFmtId="0" fontId="67" fillId="0" borderId="17" xfId="0" applyFont="1" applyBorder="1" applyProtection="1">
      <alignment vertical="center"/>
      <protection hidden="1"/>
    </xf>
    <xf numFmtId="178" fontId="56" fillId="0" borderId="0" xfId="0" applyNumberFormat="1" applyFont="1" applyProtection="1">
      <alignment vertical="center"/>
      <protection hidden="1"/>
    </xf>
    <xf numFmtId="0" fontId="59" fillId="0" borderId="64" xfId="0" applyFont="1" applyBorder="1" applyAlignment="1" applyProtection="1">
      <alignment horizontal="left" vertical="center"/>
      <protection hidden="1"/>
    </xf>
    <xf numFmtId="0" fontId="112" fillId="0" borderId="0" xfId="0" applyFont="1" applyProtection="1">
      <alignment vertical="center"/>
      <protection hidden="1"/>
    </xf>
    <xf numFmtId="0" fontId="59" fillId="0" borderId="56" xfId="0" applyFont="1" applyBorder="1" applyAlignment="1" applyProtection="1">
      <alignment horizontal="left" vertical="center"/>
      <protection hidden="1"/>
    </xf>
    <xf numFmtId="0" fontId="111" fillId="0" borderId="57" xfId="0" applyFont="1" applyBorder="1" applyAlignment="1" applyProtection="1">
      <alignment horizontal="right" vertical="center"/>
      <protection hidden="1"/>
    </xf>
    <xf numFmtId="0" fontId="111" fillId="0" borderId="57" xfId="0" applyFont="1" applyBorder="1" applyAlignment="1" applyProtection="1">
      <alignment horizontal="left" vertical="center"/>
      <protection hidden="1"/>
    </xf>
    <xf numFmtId="0" fontId="59" fillId="0" borderId="57" xfId="0" applyFont="1" applyBorder="1" applyProtection="1">
      <alignment vertical="center"/>
      <protection hidden="1"/>
    </xf>
    <xf numFmtId="0" fontId="112" fillId="0" borderId="57" xfId="0" applyFont="1" applyBorder="1" applyProtection="1">
      <alignment vertical="center"/>
      <protection hidden="1"/>
    </xf>
    <xf numFmtId="0" fontId="67" fillId="0" borderId="57" xfId="0" applyFont="1" applyBorder="1" applyProtection="1">
      <alignment vertical="center"/>
      <protection hidden="1"/>
    </xf>
    <xf numFmtId="0" fontId="67" fillId="0" borderId="58" xfId="0" applyFont="1" applyBorder="1" applyProtection="1">
      <alignment vertical="center"/>
      <protection hidden="1"/>
    </xf>
    <xf numFmtId="0" fontId="67" fillId="0" borderId="0" xfId="0" applyFont="1" applyAlignment="1" applyProtection="1">
      <alignment horizontal="left" vertical="center"/>
      <protection hidden="1"/>
    </xf>
    <xf numFmtId="0" fontId="113" fillId="0" borderId="0" xfId="0" quotePrefix="1" applyFont="1" applyAlignment="1" applyProtection="1">
      <alignment horizontal="left" vertical="center"/>
      <protection hidden="1"/>
    </xf>
    <xf numFmtId="0" fontId="114" fillId="0" borderId="0" xfId="0" quotePrefix="1" applyFont="1" applyAlignment="1" applyProtection="1">
      <alignment horizontal="left" vertical="center"/>
      <protection hidden="1"/>
    </xf>
    <xf numFmtId="0" fontId="114" fillId="0" borderId="0" xfId="0" quotePrefix="1" applyFont="1" applyAlignment="1" applyProtection="1">
      <alignment horizontal="right" vertical="center"/>
      <protection hidden="1"/>
    </xf>
    <xf numFmtId="0" fontId="113" fillId="0" borderId="0" xfId="0" quotePrefix="1" applyFont="1" applyAlignment="1" applyProtection="1">
      <alignment horizontal="right" vertical="center"/>
      <protection hidden="1"/>
    </xf>
    <xf numFmtId="0" fontId="115" fillId="37" borderId="59" xfId="0" applyFont="1" applyFill="1" applyBorder="1" applyProtection="1">
      <alignment vertical="center"/>
      <protection hidden="1"/>
    </xf>
    <xf numFmtId="0" fontId="116" fillId="37" borderId="60" xfId="0" applyFont="1" applyFill="1" applyBorder="1" applyAlignment="1" applyProtection="1">
      <alignment horizontal="left" vertical="center"/>
      <protection hidden="1"/>
    </xf>
    <xf numFmtId="0" fontId="116" fillId="37" borderId="60" xfId="0" applyFont="1" applyFill="1" applyBorder="1" applyProtection="1">
      <alignment vertical="center"/>
      <protection hidden="1"/>
    </xf>
    <xf numFmtId="0" fontId="115" fillId="37" borderId="60" xfId="0" applyFont="1" applyFill="1" applyBorder="1" applyProtection="1">
      <alignment vertical="center"/>
      <protection hidden="1"/>
    </xf>
    <xf numFmtId="0" fontId="117" fillId="37" borderId="61" xfId="0" applyFont="1" applyFill="1" applyBorder="1" applyProtection="1">
      <alignment vertical="center"/>
      <protection hidden="1"/>
    </xf>
    <xf numFmtId="0" fontId="28" fillId="0" borderId="0" xfId="0" applyFont="1" applyProtection="1">
      <alignment vertical="center"/>
      <protection hidden="1"/>
    </xf>
    <xf numFmtId="182" fontId="37" fillId="0" borderId="0" xfId="0" applyNumberFormat="1" applyFont="1" applyAlignment="1" applyProtection="1">
      <alignment horizontal="left"/>
      <protection hidden="1"/>
    </xf>
    <xf numFmtId="0" fontId="6" fillId="0" borderId="0" xfId="0" applyFont="1" applyAlignment="1" applyProtection="1">
      <alignment horizontal="left" vertical="center"/>
      <protection hidden="1"/>
    </xf>
    <xf numFmtId="0" fontId="112" fillId="0" borderId="0" xfId="0" applyFont="1" applyAlignment="1" applyProtection="1">
      <alignment horizontal="right" vertical="top"/>
      <protection hidden="1"/>
    </xf>
    <xf numFmtId="0" fontId="119" fillId="0" borderId="69" xfId="0" applyFont="1" applyBorder="1" applyAlignment="1" applyProtection="1">
      <alignment horizontal="center" vertical="center"/>
      <protection hidden="1"/>
    </xf>
    <xf numFmtId="0" fontId="28" fillId="39" borderId="10" xfId="0" applyFont="1" applyFill="1" applyBorder="1" applyProtection="1">
      <alignment vertical="center"/>
      <protection hidden="1"/>
    </xf>
    <xf numFmtId="0" fontId="37" fillId="0" borderId="0" xfId="0" applyFont="1" applyAlignment="1" applyProtection="1">
      <alignment vertical="top"/>
      <protection hidden="1"/>
    </xf>
    <xf numFmtId="186" fontId="34" fillId="0" borderId="0" xfId="0" applyNumberFormat="1" applyFont="1" applyProtection="1">
      <alignment vertical="center"/>
      <protection hidden="1"/>
    </xf>
    <xf numFmtId="0" fontId="28" fillId="0" borderId="0" xfId="0" applyFont="1" applyAlignment="1" applyProtection="1">
      <alignment horizontal="center" vertical="justify"/>
      <protection hidden="1"/>
    </xf>
    <xf numFmtId="0" fontId="26" fillId="0" borderId="0" xfId="0" applyFont="1" applyAlignment="1" applyProtection="1">
      <alignment horizontal="center" vertical="justify"/>
      <protection hidden="1"/>
    </xf>
    <xf numFmtId="0" fontId="120" fillId="0" borderId="0" xfId="0" applyFont="1" applyProtection="1">
      <alignment vertical="center"/>
      <protection hidden="1"/>
    </xf>
    <xf numFmtId="0" fontId="121" fillId="0" borderId="0" xfId="0" applyFont="1" applyAlignment="1" applyProtection="1">
      <alignment horizontal="left"/>
      <protection hidden="1"/>
    </xf>
    <xf numFmtId="0" fontId="122" fillId="0" borderId="0" xfId="0" applyFont="1" applyProtection="1">
      <alignment vertical="center"/>
      <protection hidden="1"/>
    </xf>
    <xf numFmtId="182" fontId="107" fillId="0" borderId="0" xfId="0" applyNumberFormat="1" applyFont="1" applyAlignment="1" applyProtection="1">
      <alignment horizontal="left"/>
      <protection hidden="1"/>
    </xf>
    <xf numFmtId="0" fontId="23" fillId="0" borderId="0" xfId="0" applyFont="1" applyProtection="1">
      <alignment vertical="center"/>
      <protection hidden="1"/>
    </xf>
    <xf numFmtId="0" fontId="85" fillId="37" borderId="69" xfId="0" applyFont="1" applyFill="1" applyBorder="1" applyAlignment="1" applyProtection="1">
      <alignment horizontal="left" vertical="center"/>
      <protection hidden="1"/>
    </xf>
    <xf numFmtId="0" fontId="123" fillId="37" borderId="69" xfId="0" applyFont="1" applyFill="1" applyBorder="1" applyProtection="1">
      <alignment vertical="center"/>
      <protection hidden="1"/>
    </xf>
    <xf numFmtId="0" fontId="31" fillId="37" borderId="69" xfId="0" applyFont="1" applyFill="1" applyBorder="1" applyAlignment="1" applyProtection="1">
      <alignment horizontal="left" vertical="center"/>
      <protection hidden="1"/>
    </xf>
    <xf numFmtId="182" fontId="37" fillId="37" borderId="69" xfId="0" applyNumberFormat="1" applyFont="1" applyFill="1" applyBorder="1" applyAlignment="1" applyProtection="1">
      <alignment horizontal="left" vertical="center"/>
      <protection hidden="1"/>
    </xf>
    <xf numFmtId="182" fontId="37" fillId="37" borderId="60" xfId="0" applyNumberFormat="1" applyFont="1" applyFill="1" applyBorder="1" applyAlignment="1" applyProtection="1">
      <alignment horizontal="left" vertical="center"/>
      <protection hidden="1"/>
    </xf>
    <xf numFmtId="185" fontId="31" fillId="37" borderId="71" xfId="0" applyNumberFormat="1" applyFont="1" applyFill="1" applyBorder="1" applyProtection="1">
      <alignment vertical="center"/>
      <protection hidden="1"/>
    </xf>
    <xf numFmtId="187" fontId="53" fillId="0" borderId="0" xfId="0" applyNumberFormat="1" applyFont="1" applyAlignment="1" applyProtection="1">
      <alignment horizontal="center"/>
      <protection hidden="1"/>
    </xf>
    <xf numFmtId="0" fontId="26" fillId="0" borderId="26" xfId="0" applyFont="1" applyBorder="1" applyAlignment="1" applyProtection="1">
      <alignment horizontal="center" vertical="justify"/>
      <protection hidden="1"/>
    </xf>
    <xf numFmtId="0" fontId="23" fillId="27" borderId="59" xfId="0" applyFont="1" applyFill="1" applyBorder="1" applyProtection="1">
      <alignment vertical="center"/>
      <protection hidden="1"/>
    </xf>
    <xf numFmtId="0" fontId="85" fillId="27" borderId="60" xfId="0" applyFont="1" applyFill="1" applyBorder="1" applyAlignment="1" applyProtection="1">
      <alignment horizontal="left" vertical="center"/>
      <protection hidden="1"/>
    </xf>
    <xf numFmtId="0" fontId="118" fillId="27" borderId="60" xfId="0" applyFont="1" applyFill="1" applyBorder="1" applyProtection="1">
      <alignment vertical="center"/>
      <protection hidden="1"/>
    </xf>
    <xf numFmtId="0" fontId="119" fillId="27" borderId="60" xfId="0" applyFont="1" applyFill="1" applyBorder="1" applyProtection="1">
      <alignment vertical="center"/>
      <protection hidden="1"/>
    </xf>
    <xf numFmtId="0" fontId="119" fillId="27" borderId="61" xfId="0" applyFont="1" applyFill="1" applyBorder="1" applyProtection="1">
      <alignment vertical="center"/>
      <protection hidden="1"/>
    </xf>
    <xf numFmtId="0" fontId="119" fillId="27" borderId="60" xfId="0" applyFont="1" applyFill="1" applyBorder="1" applyAlignment="1" applyProtection="1">
      <alignment horizontal="center" vertical="center"/>
      <protection hidden="1"/>
    </xf>
    <xf numFmtId="182" fontId="23" fillId="27" borderId="59" xfId="0" applyNumberFormat="1" applyFont="1" applyFill="1" applyBorder="1" applyAlignment="1" applyProtection="1">
      <alignment horizontal="centerContinuous" vertical="center"/>
      <protection hidden="1"/>
    </xf>
    <xf numFmtId="182" fontId="23" fillId="27" borderId="60" xfId="0" applyNumberFormat="1" applyFont="1" applyFill="1" applyBorder="1" applyAlignment="1" applyProtection="1">
      <alignment horizontal="centerContinuous" vertical="center"/>
      <protection hidden="1"/>
    </xf>
    <xf numFmtId="0" fontId="28" fillId="27" borderId="26" xfId="0" applyFont="1" applyFill="1" applyBorder="1" applyAlignment="1" applyProtection="1">
      <alignment horizontal="centerContinuous" vertical="center"/>
      <protection hidden="1"/>
    </xf>
    <xf numFmtId="0" fontId="6" fillId="27" borderId="27" xfId="0" applyFont="1" applyFill="1" applyBorder="1" applyAlignment="1" applyProtection="1">
      <alignment horizontal="centerContinuous" vertical="center"/>
      <protection hidden="1"/>
    </xf>
    <xf numFmtId="0" fontId="6" fillId="27" borderId="50" xfId="0" applyFont="1" applyFill="1" applyBorder="1" applyAlignment="1" applyProtection="1">
      <alignment horizontal="centerContinuous" vertical="center"/>
      <protection hidden="1"/>
    </xf>
    <xf numFmtId="0" fontId="6" fillId="27" borderId="92" xfId="0" applyFont="1" applyFill="1" applyBorder="1" applyAlignment="1" applyProtection="1">
      <alignment horizontal="center" vertical="distributed"/>
      <protection hidden="1"/>
    </xf>
    <xf numFmtId="0" fontId="28" fillId="0" borderId="26" xfId="0" applyFont="1" applyBorder="1" applyProtection="1">
      <alignment vertical="center"/>
      <protection hidden="1"/>
    </xf>
    <xf numFmtId="0" fontId="26" fillId="0" borderId="27" xfId="0" applyFont="1" applyBorder="1" applyAlignment="1" applyProtection="1">
      <alignment horizontal="center" vertical="justify"/>
      <protection hidden="1"/>
    </xf>
    <xf numFmtId="0" fontId="28" fillId="0" borderId="50" xfId="0" applyFont="1" applyBorder="1" applyProtection="1">
      <alignment vertical="center"/>
      <protection hidden="1"/>
    </xf>
    <xf numFmtId="0" fontId="29" fillId="0" borderId="10" xfId="0" applyFont="1" applyBorder="1" applyProtection="1">
      <alignment vertical="center"/>
      <protection hidden="1"/>
    </xf>
    <xf numFmtId="0" fontId="119" fillId="27" borderId="57" xfId="0" applyFont="1" applyFill="1" applyBorder="1" applyAlignment="1" applyProtection="1">
      <alignment horizontal="center" vertical="top"/>
      <protection hidden="1"/>
    </xf>
    <xf numFmtId="182" fontId="23" fillId="27" borderId="77" xfId="0" applyNumberFormat="1" applyFont="1" applyFill="1" applyBorder="1" applyAlignment="1" applyProtection="1">
      <alignment horizontal="centerContinuous" vertical="top"/>
      <protection hidden="1"/>
    </xf>
    <xf numFmtId="182" fontId="23" fillId="27" borderId="57" xfId="0" applyNumberFormat="1" applyFont="1" applyFill="1" applyBorder="1" applyAlignment="1" applyProtection="1">
      <alignment horizontal="centerContinuous" vertical="top"/>
      <protection hidden="1"/>
    </xf>
    <xf numFmtId="182" fontId="23" fillId="27" borderId="58" xfId="0" applyNumberFormat="1" applyFont="1" applyFill="1" applyBorder="1" applyAlignment="1" applyProtection="1">
      <alignment horizontal="centerContinuous" vertical="top"/>
      <protection hidden="1"/>
    </xf>
    <xf numFmtId="185" fontId="26" fillId="27" borderId="93" xfId="0" applyNumberFormat="1" applyFont="1" applyFill="1" applyBorder="1" applyAlignment="1" applyProtection="1">
      <alignment horizontal="center" vertical="center" wrapText="1"/>
      <protection hidden="1"/>
    </xf>
    <xf numFmtId="185" fontId="85" fillId="27" borderId="94" xfId="0" applyNumberFormat="1" applyFont="1" applyFill="1" applyBorder="1" applyAlignment="1" applyProtection="1">
      <alignment horizontal="center" vertical="center" wrapText="1"/>
      <protection hidden="1"/>
    </xf>
    <xf numFmtId="185" fontId="26" fillId="27" borderId="57" xfId="0" applyNumberFormat="1" applyFont="1" applyFill="1" applyBorder="1" applyAlignment="1" applyProtection="1">
      <alignment horizontal="center" vertical="center" wrapText="1"/>
      <protection hidden="1"/>
    </xf>
    <xf numFmtId="185" fontId="85" fillId="27" borderId="95" xfId="0" applyNumberFormat="1" applyFont="1" applyFill="1" applyBorder="1" applyAlignment="1" applyProtection="1">
      <alignment horizontal="center" vertical="center" wrapText="1"/>
      <protection hidden="1"/>
    </xf>
    <xf numFmtId="185" fontId="15" fillId="27" borderId="96" xfId="0" applyNumberFormat="1" applyFont="1" applyFill="1" applyBorder="1" applyAlignment="1" applyProtection="1">
      <alignment horizontal="center" vertical="top" wrapText="1"/>
      <protection hidden="1"/>
    </xf>
    <xf numFmtId="0" fontId="28" fillId="27" borderId="10" xfId="0" applyFont="1" applyFill="1" applyBorder="1" applyAlignment="1" applyProtection="1">
      <alignment horizontal="center" vertical="center" shrinkToFit="1"/>
      <protection hidden="1"/>
    </xf>
    <xf numFmtId="187" fontId="39" fillId="40" borderId="55" xfId="0" applyNumberFormat="1" applyFont="1" applyFill="1" applyBorder="1" applyAlignment="1" applyProtection="1">
      <alignment horizontal="left" vertical="center" wrapText="1"/>
      <protection hidden="1"/>
    </xf>
    <xf numFmtId="0" fontId="28" fillId="0" borderId="55" xfId="0" applyFont="1" applyBorder="1" applyAlignment="1" applyProtection="1">
      <alignment horizontal="center" vertical="justify"/>
      <protection hidden="1"/>
    </xf>
    <xf numFmtId="0" fontId="28" fillId="0" borderId="10" xfId="0" applyFont="1" applyBorder="1" applyAlignment="1" applyProtection="1">
      <alignment horizontal="center" vertical="justify"/>
      <protection hidden="1"/>
    </xf>
    <xf numFmtId="0" fontId="125" fillId="33" borderId="0" xfId="0" applyFont="1" applyFill="1" applyProtection="1">
      <alignment vertical="center"/>
      <protection hidden="1"/>
    </xf>
    <xf numFmtId="182" fontId="37" fillId="33" borderId="62" xfId="0" applyNumberFormat="1" applyFont="1" applyFill="1" applyBorder="1" applyAlignment="1" applyProtection="1">
      <alignment horizontal="left" vertical="center"/>
      <protection hidden="1"/>
    </xf>
    <xf numFmtId="182" fontId="37" fillId="33" borderId="0" xfId="0" applyNumberFormat="1" applyFont="1" applyFill="1" applyAlignment="1" applyProtection="1">
      <alignment horizontal="left" vertical="center"/>
      <protection hidden="1"/>
    </xf>
    <xf numFmtId="182" fontId="37" fillId="33" borderId="0" xfId="0" applyNumberFormat="1" applyFont="1" applyFill="1" applyAlignment="1" applyProtection="1">
      <alignment horizontal="left"/>
      <protection hidden="1"/>
    </xf>
    <xf numFmtId="182" fontId="37" fillId="33" borderId="97" xfId="0" applyNumberFormat="1" applyFont="1" applyFill="1" applyBorder="1" applyAlignment="1" applyProtection="1">
      <alignment horizontal="left"/>
      <protection hidden="1"/>
    </xf>
    <xf numFmtId="198" fontId="102" fillId="33" borderId="98" xfId="0" applyNumberFormat="1" applyFont="1" applyFill="1" applyBorder="1" applyAlignment="1" applyProtection="1">
      <alignment horizontal="center" vertical="center"/>
      <protection hidden="1"/>
    </xf>
    <xf numFmtId="185" fontId="29" fillId="33" borderId="0" xfId="0" applyNumberFormat="1" applyFont="1" applyFill="1" applyAlignment="1" applyProtection="1">
      <alignment horizontal="center" vertical="center"/>
      <protection hidden="1"/>
    </xf>
    <xf numFmtId="198" fontId="102" fillId="33" borderId="99" xfId="0" applyNumberFormat="1" applyFont="1" applyFill="1" applyBorder="1" applyAlignment="1" applyProtection="1">
      <alignment horizontal="center" vertical="center"/>
      <protection hidden="1"/>
    </xf>
    <xf numFmtId="185" fontId="64" fillId="33" borderId="100" xfId="0" applyNumberFormat="1" applyFont="1" applyFill="1" applyBorder="1" applyAlignment="1" applyProtection="1">
      <alignment horizontal="center" vertical="center"/>
      <protection hidden="1"/>
    </xf>
    <xf numFmtId="0" fontId="53" fillId="0" borderId="10" xfId="0" applyFont="1" applyBorder="1" applyAlignment="1" applyProtection="1">
      <alignment horizontal="center" vertical="center" wrapText="1"/>
      <protection hidden="1"/>
    </xf>
    <xf numFmtId="0" fontId="26" fillId="0" borderId="10" xfId="0" applyFont="1" applyBorder="1" applyAlignment="1" applyProtection="1">
      <alignment horizontal="center" vertical="justify"/>
      <protection hidden="1"/>
    </xf>
    <xf numFmtId="0" fontId="23" fillId="31" borderId="101" xfId="0" applyFont="1" applyFill="1" applyBorder="1" applyProtection="1">
      <alignment vertical="center"/>
      <protection hidden="1"/>
    </xf>
    <xf numFmtId="0" fontId="23" fillId="31" borderId="102" xfId="0" applyFont="1" applyFill="1" applyBorder="1" applyAlignment="1" applyProtection="1">
      <alignment horizontal="left" vertical="center"/>
      <protection hidden="1"/>
    </xf>
    <xf numFmtId="0" fontId="33" fillId="31" borderId="103" xfId="0" applyFont="1" applyFill="1" applyBorder="1" applyAlignment="1" applyProtection="1">
      <alignment horizontal="left" vertical="center"/>
      <protection hidden="1"/>
    </xf>
    <xf numFmtId="0" fontId="126" fillId="31" borderId="102" xfId="0" applyFont="1" applyFill="1" applyBorder="1" applyAlignment="1" applyProtection="1">
      <alignment horizontal="center" vertical="center"/>
      <protection hidden="1"/>
    </xf>
    <xf numFmtId="182" fontId="37" fillId="31" borderId="104" xfId="0" applyNumberFormat="1" applyFont="1" applyFill="1" applyBorder="1" applyAlignment="1" applyProtection="1">
      <alignment horizontal="left" vertical="center"/>
      <protection hidden="1"/>
    </xf>
    <xf numFmtId="182" fontId="37" fillId="31" borderId="102" xfId="0" applyNumberFormat="1" applyFont="1" applyFill="1" applyBorder="1" applyAlignment="1" applyProtection="1">
      <alignment horizontal="left" vertical="center"/>
      <protection hidden="1"/>
    </xf>
    <xf numFmtId="182" fontId="37" fillId="31" borderId="102" xfId="0" applyNumberFormat="1" applyFont="1" applyFill="1" applyBorder="1" applyAlignment="1" applyProtection="1">
      <alignment horizontal="left"/>
      <protection hidden="1"/>
    </xf>
    <xf numFmtId="182" fontId="37" fillId="31" borderId="105" xfId="0" applyNumberFormat="1" applyFont="1" applyFill="1" applyBorder="1" applyAlignment="1" applyProtection="1">
      <alignment horizontal="left"/>
      <protection hidden="1"/>
    </xf>
    <xf numFmtId="198" fontId="127" fillId="31" borderId="106" xfId="0" applyNumberFormat="1" applyFont="1" applyFill="1" applyBorder="1" applyAlignment="1" applyProtection="1">
      <alignment horizontal="center" vertical="center"/>
      <protection hidden="1"/>
    </xf>
    <xf numFmtId="185" fontId="128" fillId="31" borderId="102" xfId="0" applyNumberFormat="1" applyFont="1" applyFill="1" applyBorder="1" applyAlignment="1" applyProtection="1">
      <alignment horizontal="center" vertical="center"/>
      <protection hidden="1"/>
    </xf>
    <xf numFmtId="198" fontId="127" fillId="31" borderId="107" xfId="0" applyNumberFormat="1" applyFont="1" applyFill="1" applyBorder="1" applyAlignment="1" applyProtection="1">
      <alignment horizontal="center" vertical="center"/>
      <protection hidden="1"/>
    </xf>
    <xf numFmtId="185" fontId="128" fillId="31" borderId="108" xfId="0" applyNumberFormat="1" applyFont="1" applyFill="1" applyBorder="1" applyAlignment="1" applyProtection="1">
      <alignment horizontal="center" vertical="center"/>
      <protection hidden="1"/>
    </xf>
    <xf numFmtId="0" fontId="127" fillId="0" borderId="10" xfId="0" applyFont="1" applyBorder="1" applyAlignment="1" applyProtection="1">
      <alignment horizontal="center" vertical="center"/>
      <protection hidden="1"/>
    </xf>
    <xf numFmtId="0" fontId="29" fillId="0" borderId="51" xfId="0" applyFont="1" applyBorder="1" applyProtection="1">
      <alignment vertical="center"/>
      <protection hidden="1"/>
    </xf>
    <xf numFmtId="0" fontId="23" fillId="27" borderId="62" xfId="0" quotePrefix="1" applyFont="1" applyFill="1" applyBorder="1" applyProtection="1">
      <alignment vertical="center"/>
      <protection hidden="1"/>
    </xf>
    <xf numFmtId="0" fontId="126" fillId="27" borderId="109" xfId="0" applyFont="1" applyFill="1" applyBorder="1" applyAlignment="1" applyProtection="1">
      <alignment horizontal="left" vertical="center"/>
      <protection hidden="1"/>
    </xf>
    <xf numFmtId="0" fontId="126" fillId="27" borderId="0" xfId="0" applyFont="1" applyFill="1" applyAlignment="1" applyProtection="1">
      <alignment horizontal="left" vertical="center"/>
      <protection hidden="1"/>
    </xf>
    <xf numFmtId="0" fontId="126" fillId="27" borderId="0" xfId="0" applyFont="1" applyFill="1" applyProtection="1">
      <alignment vertical="center"/>
      <protection hidden="1"/>
    </xf>
    <xf numFmtId="0" fontId="129" fillId="27" borderId="63" xfId="0" applyFont="1" applyFill="1" applyBorder="1" applyProtection="1">
      <alignment vertical="center"/>
      <protection hidden="1"/>
    </xf>
    <xf numFmtId="0" fontId="126" fillId="0" borderId="0" xfId="0" applyFont="1" applyAlignment="1" applyProtection="1">
      <alignment horizontal="center" vertical="center"/>
      <protection hidden="1"/>
    </xf>
    <xf numFmtId="182" fontId="28" fillId="0" borderId="62" xfId="0" applyNumberFormat="1" applyFont="1" applyBorder="1" applyAlignment="1" applyProtection="1">
      <alignment horizontal="left" vertical="center" wrapText="1"/>
      <protection locked="0"/>
    </xf>
    <xf numFmtId="182" fontId="28" fillId="0" borderId="0" xfId="0" applyNumberFormat="1" applyFont="1" applyAlignment="1" applyProtection="1">
      <alignment horizontal="left" vertical="center" wrapText="1"/>
      <protection locked="0"/>
    </xf>
    <xf numFmtId="182" fontId="37" fillId="0" borderId="0" xfId="0" applyNumberFormat="1" applyFont="1" applyAlignment="1" applyProtection="1">
      <alignment horizontal="left" wrapText="1"/>
      <protection locked="0"/>
    </xf>
    <xf numFmtId="185" fontId="36" fillId="27" borderId="110" xfId="0" applyNumberFormat="1" applyFont="1" applyFill="1" applyBorder="1" applyAlignment="1" applyProtection="1">
      <alignment horizontal="center" vertical="center"/>
      <protection hidden="1"/>
    </xf>
    <xf numFmtId="198" fontId="130" fillId="27" borderId="98" xfId="0" applyNumberFormat="1" applyFont="1" applyFill="1" applyBorder="1" applyAlignment="1" applyProtection="1">
      <alignment horizontal="center" vertical="center"/>
      <protection hidden="1"/>
    </xf>
    <xf numFmtId="198" fontId="130" fillId="27" borderId="99" xfId="0" applyNumberFormat="1" applyFont="1" applyFill="1" applyBorder="1" applyAlignment="1" applyProtection="1">
      <alignment horizontal="center" vertical="center"/>
      <protection hidden="1"/>
    </xf>
    <xf numFmtId="185" fontId="127" fillId="27" borderId="100" xfId="0" applyNumberFormat="1" applyFont="1" applyFill="1" applyBorder="1" applyAlignment="1" applyProtection="1">
      <alignment horizontal="center" vertical="center"/>
      <protection hidden="1"/>
    </xf>
    <xf numFmtId="0" fontId="36" fillId="27" borderId="10" xfId="0" applyFont="1" applyFill="1" applyBorder="1" applyAlignment="1" applyProtection="1">
      <alignment horizontal="center" vertical="center"/>
      <protection hidden="1"/>
    </xf>
    <xf numFmtId="0" fontId="130" fillId="0" borderId="10" xfId="0" applyFont="1" applyBorder="1" applyAlignment="1" applyProtection="1">
      <alignment horizontal="center" vertical="center"/>
      <protection hidden="1"/>
    </xf>
    <xf numFmtId="0" fontId="29" fillId="41" borderId="10" xfId="0" applyFont="1" applyFill="1" applyBorder="1" applyAlignment="1" applyProtection="1">
      <alignment horizontal="center" vertical="center"/>
      <protection hidden="1"/>
    </xf>
    <xf numFmtId="0" fontId="29" fillId="41" borderId="10" xfId="0" applyFont="1" applyFill="1" applyBorder="1" applyProtection="1">
      <alignment vertical="center"/>
      <protection hidden="1"/>
    </xf>
    <xf numFmtId="0" fontId="126" fillId="27" borderId="62" xfId="0" applyFont="1" applyFill="1" applyBorder="1" applyAlignment="1" applyProtection="1">
      <alignment horizontal="center"/>
      <protection hidden="1"/>
    </xf>
    <xf numFmtId="0" fontId="23" fillId="27" borderId="52" xfId="0" applyFont="1" applyFill="1" applyBorder="1" applyProtection="1">
      <alignment vertical="center"/>
      <protection hidden="1"/>
    </xf>
    <xf numFmtId="0" fontId="33" fillId="27" borderId="53" xfId="0" applyFont="1" applyFill="1" applyBorder="1" applyProtection="1">
      <alignment vertical="center"/>
      <protection hidden="1"/>
    </xf>
    <xf numFmtId="0" fontId="33" fillId="27" borderId="50" xfId="0" applyFont="1" applyFill="1" applyBorder="1" applyProtection="1">
      <alignment vertical="center"/>
      <protection hidden="1"/>
    </xf>
    <xf numFmtId="0" fontId="33" fillId="27" borderId="82" xfId="0" applyFont="1" applyFill="1" applyBorder="1" applyProtection="1">
      <alignment vertical="center"/>
      <protection hidden="1"/>
    </xf>
    <xf numFmtId="0" fontId="107" fillId="0" borderId="0" xfId="0" quotePrefix="1" applyFont="1" applyAlignment="1" applyProtection="1">
      <alignment horizontal="center" vertical="center"/>
      <protection hidden="1"/>
    </xf>
    <xf numFmtId="182" fontId="28" fillId="0" borderId="89" xfId="0" applyNumberFormat="1" applyFont="1" applyBorder="1" applyAlignment="1" applyProtection="1">
      <alignment horizontal="left" vertical="center" wrapText="1"/>
      <protection locked="0"/>
    </xf>
    <xf numFmtId="182" fontId="28" fillId="0" borderId="53" xfId="0" applyNumberFormat="1" applyFont="1" applyBorder="1" applyAlignment="1" applyProtection="1">
      <alignment horizontal="left" vertical="center" wrapText="1"/>
      <protection locked="0"/>
    </xf>
    <xf numFmtId="182" fontId="37" fillId="0" borderId="53" xfId="0" applyNumberFormat="1" applyFont="1" applyBorder="1" applyAlignment="1" applyProtection="1">
      <alignment horizontal="left" wrapText="1"/>
      <protection locked="0"/>
    </xf>
    <xf numFmtId="185" fontId="36" fillId="27" borderId="111" xfId="0" applyNumberFormat="1" applyFont="1" applyFill="1" applyBorder="1" applyAlignment="1" applyProtection="1">
      <alignment horizontal="center" vertical="center"/>
      <protection hidden="1"/>
    </xf>
    <xf numFmtId="198" fontId="130" fillId="27" borderId="53" xfId="0" applyNumberFormat="1" applyFont="1" applyFill="1" applyBorder="1" applyAlignment="1" applyProtection="1">
      <alignment horizontal="center" vertical="center"/>
      <protection hidden="1"/>
    </xf>
    <xf numFmtId="185" fontId="127" fillId="27" borderId="112" xfId="0" applyNumberFormat="1" applyFont="1" applyFill="1" applyBorder="1" applyAlignment="1" applyProtection="1">
      <alignment horizontal="center" vertical="center"/>
      <protection hidden="1"/>
    </xf>
    <xf numFmtId="0" fontId="28" fillId="0" borderId="66" xfId="0" applyFont="1" applyBorder="1" applyAlignment="1" applyProtection="1">
      <alignment horizontal="center" vertical="justify"/>
      <protection hidden="1"/>
    </xf>
    <xf numFmtId="0" fontId="131" fillId="27" borderId="64" xfId="29" applyFont="1" applyFill="1" applyBorder="1" applyAlignment="1" applyProtection="1">
      <alignment horizontal="center" vertical="center"/>
      <protection hidden="1"/>
    </xf>
    <xf numFmtId="0" fontId="33" fillId="27" borderId="10" xfId="0" applyFont="1" applyFill="1" applyBorder="1" applyAlignment="1" applyProtection="1">
      <alignment horizontal="center" vertical="center"/>
      <protection hidden="1"/>
    </xf>
    <xf numFmtId="0" fontId="33" fillId="27" borderId="57" xfId="0" applyFont="1" applyFill="1" applyBorder="1" applyProtection="1">
      <alignment vertical="center"/>
      <protection hidden="1"/>
    </xf>
    <xf numFmtId="0" fontId="33" fillId="27" borderId="79" xfId="0" applyFont="1" applyFill="1" applyBorder="1" applyProtection="1">
      <alignment vertical="center"/>
      <protection hidden="1"/>
    </xf>
    <xf numFmtId="182" fontId="28" fillId="0" borderId="62" xfId="0" applyNumberFormat="1" applyFont="1" applyBorder="1" applyAlignment="1" applyProtection="1">
      <alignment horizontal="left" vertical="top" wrapText="1"/>
      <protection locked="0"/>
    </xf>
    <xf numFmtId="185" fontId="29" fillId="0" borderId="92" xfId="0" applyNumberFormat="1" applyFont="1" applyBorder="1" applyAlignment="1" applyProtection="1">
      <alignment horizontal="center" vertical="center"/>
      <protection hidden="1"/>
    </xf>
    <xf numFmtId="198" fontId="130" fillId="27" borderId="0" xfId="0" applyNumberFormat="1" applyFont="1" applyFill="1" applyAlignment="1" applyProtection="1">
      <alignment horizontal="center" vertical="center"/>
      <protection hidden="1"/>
    </xf>
    <xf numFmtId="177" fontId="29" fillId="0" borderId="113" xfId="0" applyNumberFormat="1" applyFont="1" applyBorder="1" applyAlignment="1" applyProtection="1">
      <alignment horizontal="center" vertical="center"/>
      <protection hidden="1"/>
    </xf>
    <xf numFmtId="177" fontId="29" fillId="0" borderId="114" xfId="0" applyNumberFormat="1" applyFont="1" applyBorder="1" applyAlignment="1" applyProtection="1">
      <alignment horizontal="center" vertical="center"/>
      <protection hidden="1"/>
    </xf>
    <xf numFmtId="177" fontId="53" fillId="40" borderId="10" xfId="0" applyNumberFormat="1" applyFont="1" applyFill="1" applyBorder="1" applyAlignment="1" applyProtection="1">
      <alignment horizontal="center" vertical="center"/>
      <protection hidden="1"/>
    </xf>
    <xf numFmtId="0" fontId="131" fillId="27" borderId="56" xfId="29" applyFont="1" applyFill="1" applyBorder="1" applyAlignment="1" applyProtection="1">
      <alignment horizontal="center" vertical="center"/>
      <protection hidden="1"/>
    </xf>
    <xf numFmtId="0" fontId="33" fillId="27" borderId="26" xfId="0" applyFont="1" applyFill="1" applyBorder="1" applyProtection="1">
      <alignment vertical="center"/>
      <protection hidden="1"/>
    </xf>
    <xf numFmtId="0" fontId="107" fillId="0" borderId="57" xfId="0" quotePrefix="1" applyFont="1" applyBorder="1" applyAlignment="1" applyProtection="1">
      <alignment horizontal="center" vertical="center"/>
      <protection hidden="1"/>
    </xf>
    <xf numFmtId="185" fontId="29" fillId="0" borderId="115" xfId="0" applyNumberFormat="1" applyFont="1" applyBorder="1" applyAlignment="1" applyProtection="1">
      <alignment horizontal="center" vertical="center"/>
      <protection hidden="1"/>
    </xf>
    <xf numFmtId="177" fontId="29" fillId="0" borderId="116" xfId="0" applyNumberFormat="1" applyFont="1" applyBorder="1" applyAlignment="1" applyProtection="1">
      <alignment horizontal="center" vertical="center"/>
      <protection hidden="1"/>
    </xf>
    <xf numFmtId="177" fontId="29" fillId="0" borderId="117" xfId="0" applyNumberFormat="1" applyFont="1" applyBorder="1" applyAlignment="1" applyProtection="1">
      <alignment horizontal="center" vertical="center"/>
      <protection hidden="1"/>
    </xf>
    <xf numFmtId="0" fontId="23" fillId="27" borderId="64" xfId="0" applyFont="1" applyFill="1" applyBorder="1" applyProtection="1">
      <alignment vertical="center"/>
      <protection hidden="1"/>
    </xf>
    <xf numFmtId="0" fontId="33" fillId="27" borderId="63" xfId="0" applyFont="1" applyFill="1" applyBorder="1" applyProtection="1">
      <alignment vertical="center"/>
      <protection hidden="1"/>
    </xf>
    <xf numFmtId="0" fontId="28" fillId="0" borderId="69" xfId="0" applyFont="1" applyBorder="1" applyAlignment="1" applyProtection="1">
      <alignment horizontal="center" vertical="justify"/>
      <protection hidden="1"/>
    </xf>
    <xf numFmtId="185" fontId="29" fillId="0" borderId="100" xfId="0" applyNumberFormat="1" applyFont="1" applyBorder="1" applyAlignment="1" applyProtection="1">
      <alignment horizontal="center" vertical="center"/>
      <protection hidden="1"/>
    </xf>
    <xf numFmtId="177" fontId="29" fillId="0" borderId="118" xfId="0" applyNumberFormat="1" applyFont="1" applyBorder="1" applyAlignment="1" applyProtection="1">
      <alignment horizontal="center" vertical="center"/>
      <protection hidden="1"/>
    </xf>
    <xf numFmtId="177" fontId="29" fillId="0" borderId="119" xfId="0" applyNumberFormat="1" applyFont="1" applyBorder="1" applyAlignment="1" applyProtection="1">
      <alignment horizontal="center" vertical="center"/>
      <protection hidden="1"/>
    </xf>
    <xf numFmtId="0" fontId="126" fillId="27" borderId="120" xfId="0" applyFont="1" applyFill="1" applyBorder="1" applyAlignment="1" applyProtection="1">
      <alignment horizontal="center"/>
      <protection hidden="1"/>
    </xf>
    <xf numFmtId="0" fontId="23" fillId="27" borderId="26" xfId="0" applyFont="1" applyFill="1" applyBorder="1" applyProtection="1">
      <alignment vertical="center"/>
      <protection hidden="1"/>
    </xf>
    <xf numFmtId="185" fontId="36" fillId="0" borderId="115" xfId="0" applyNumberFormat="1" applyFont="1" applyBorder="1" applyAlignment="1" applyProtection="1">
      <alignment horizontal="center" vertical="center"/>
      <protection hidden="1"/>
    </xf>
    <xf numFmtId="0" fontId="126" fillId="27" borderId="50" xfId="0" applyFont="1" applyFill="1" applyBorder="1" applyAlignment="1" applyProtection="1">
      <alignment horizontal="left" vertical="center"/>
      <protection hidden="1"/>
    </xf>
    <xf numFmtId="0" fontId="129" fillId="27" borderId="0" xfId="0" applyFont="1" applyFill="1" applyProtection="1">
      <alignment vertical="center"/>
      <protection hidden="1"/>
    </xf>
    <xf numFmtId="182" fontId="28" fillId="0" borderId="80" xfId="0" applyNumberFormat="1" applyFont="1" applyBorder="1" applyAlignment="1" applyProtection="1">
      <alignment horizontal="left" vertical="center" wrapText="1"/>
      <protection locked="0"/>
    </xf>
    <xf numFmtId="182" fontId="28" fillId="0" borderId="50" xfId="0" applyNumberFormat="1" applyFont="1" applyBorder="1" applyAlignment="1" applyProtection="1">
      <alignment horizontal="left" vertical="center" wrapText="1"/>
      <protection locked="0"/>
    </xf>
    <xf numFmtId="182" fontId="37" fillId="0" borderId="50" xfId="0" applyNumberFormat="1" applyFont="1" applyBorder="1" applyAlignment="1" applyProtection="1">
      <alignment horizontal="left" wrapText="1"/>
      <protection locked="0"/>
    </xf>
    <xf numFmtId="185" fontId="36" fillId="27" borderId="93" xfId="0" applyNumberFormat="1" applyFont="1" applyFill="1" applyBorder="1" applyAlignment="1" applyProtection="1">
      <alignment horizontal="center" vertical="center"/>
      <protection hidden="1"/>
    </xf>
    <xf numFmtId="198" fontId="130" fillId="27" borderId="121" xfId="0" applyNumberFormat="1" applyFont="1" applyFill="1" applyBorder="1" applyAlignment="1" applyProtection="1">
      <alignment horizontal="center" vertical="center"/>
      <protection hidden="1"/>
    </xf>
    <xf numFmtId="198" fontId="130" fillId="27" borderId="122" xfId="0" applyNumberFormat="1" applyFont="1" applyFill="1" applyBorder="1" applyAlignment="1" applyProtection="1">
      <alignment horizontal="center" vertical="center"/>
      <protection hidden="1"/>
    </xf>
    <xf numFmtId="185" fontId="127" fillId="27" borderId="123" xfId="0" applyNumberFormat="1" applyFont="1" applyFill="1" applyBorder="1" applyAlignment="1" applyProtection="1">
      <alignment horizontal="center" vertical="center"/>
      <protection hidden="1"/>
    </xf>
    <xf numFmtId="0" fontId="28" fillId="0" borderId="60" xfId="0" applyFont="1" applyBorder="1" applyAlignment="1" applyProtection="1">
      <alignment horizontal="center" vertical="justify"/>
      <protection hidden="1"/>
    </xf>
    <xf numFmtId="0" fontId="33" fillId="27" borderId="53" xfId="0" applyFont="1" applyFill="1" applyBorder="1" applyAlignment="1" applyProtection="1">
      <alignment horizontal="left" vertical="center"/>
      <protection hidden="1"/>
    </xf>
    <xf numFmtId="0" fontId="129" fillId="27" borderId="53" xfId="0" applyFont="1" applyFill="1" applyBorder="1" applyProtection="1">
      <alignment vertical="center"/>
      <protection hidden="1"/>
    </xf>
    <xf numFmtId="0" fontId="129" fillId="27" borderId="90" xfId="0" applyFont="1" applyFill="1" applyBorder="1" applyProtection="1">
      <alignment vertical="center"/>
      <protection hidden="1"/>
    </xf>
    <xf numFmtId="198" fontId="130" fillId="27" borderId="124" xfId="0" applyNumberFormat="1" applyFont="1" applyFill="1" applyBorder="1" applyAlignment="1" applyProtection="1">
      <alignment horizontal="center" vertical="center"/>
      <protection hidden="1"/>
    </xf>
    <xf numFmtId="185" fontId="36" fillId="27" borderId="53" xfId="0" applyNumberFormat="1" applyFont="1" applyFill="1" applyBorder="1" applyAlignment="1" applyProtection="1">
      <alignment horizontal="center" vertical="center"/>
      <protection hidden="1"/>
    </xf>
    <xf numFmtId="198" fontId="130" fillId="27" borderId="125" xfId="0" applyNumberFormat="1" applyFont="1" applyFill="1" applyBorder="1" applyAlignment="1" applyProtection="1">
      <alignment horizontal="center" vertical="center"/>
      <protection hidden="1"/>
    </xf>
    <xf numFmtId="0" fontId="131" fillId="27" borderId="64" xfId="29" applyNumberFormat="1" applyFont="1" applyFill="1" applyBorder="1" applyAlignment="1" applyProtection="1">
      <alignment horizontal="center" vertical="center"/>
      <protection hidden="1"/>
    </xf>
    <xf numFmtId="0" fontId="129" fillId="27" borderId="82" xfId="0" applyFont="1" applyFill="1" applyBorder="1" applyProtection="1">
      <alignment vertical="center"/>
      <protection hidden="1"/>
    </xf>
    <xf numFmtId="0" fontId="53" fillId="40" borderId="10" xfId="0" applyFont="1" applyFill="1" applyBorder="1" applyAlignment="1" applyProtection="1">
      <alignment horizontal="center" vertical="center"/>
      <protection hidden="1"/>
    </xf>
    <xf numFmtId="0" fontId="129" fillId="27" borderId="50" xfId="0" applyFont="1" applyFill="1" applyBorder="1" applyProtection="1">
      <alignment vertical="center"/>
      <protection hidden="1"/>
    </xf>
    <xf numFmtId="185" fontId="36" fillId="0" borderId="100" xfId="0" applyNumberFormat="1" applyFont="1" applyBorder="1" applyAlignment="1" applyProtection="1">
      <alignment horizontal="center" vertical="center"/>
      <protection hidden="1"/>
    </xf>
    <xf numFmtId="0" fontId="133" fillId="27" borderId="64" xfId="29" applyFont="1" applyFill="1" applyBorder="1" applyAlignment="1" applyProtection="1">
      <alignment horizontal="center" vertical="center"/>
      <protection hidden="1"/>
    </xf>
    <xf numFmtId="0" fontId="38" fillId="0" borderId="0" xfId="0" quotePrefix="1" applyFont="1" applyAlignment="1" applyProtection="1">
      <alignment horizontal="center" vertical="center"/>
      <protection hidden="1"/>
    </xf>
    <xf numFmtId="185" fontId="134" fillId="27" borderId="100" xfId="0" applyNumberFormat="1" applyFont="1" applyFill="1" applyBorder="1" applyAlignment="1" applyProtection="1">
      <alignment horizontal="center" vertical="center"/>
      <protection hidden="1"/>
    </xf>
    <xf numFmtId="0" fontId="135" fillId="0" borderId="0" xfId="0" applyFont="1" applyAlignment="1" applyProtection="1">
      <alignment horizontal="center" vertical="justify"/>
      <protection hidden="1"/>
    </xf>
    <xf numFmtId="0" fontId="53" fillId="0" borderId="10" xfId="0" applyFont="1" applyBorder="1" applyAlignment="1" applyProtection="1">
      <alignment horizontal="center" vertical="center"/>
      <protection hidden="1"/>
    </xf>
    <xf numFmtId="0" fontId="135" fillId="0" borderId="10" xfId="0" applyFont="1" applyBorder="1" applyAlignment="1" applyProtection="1">
      <alignment horizontal="center" vertical="justify"/>
      <protection hidden="1"/>
    </xf>
    <xf numFmtId="0" fontId="53" fillId="0" borderId="10" xfId="0" applyFont="1" applyBorder="1" applyProtection="1">
      <alignment vertical="center"/>
      <protection hidden="1"/>
    </xf>
    <xf numFmtId="0" fontId="132" fillId="27" borderId="120" xfId="0" applyFont="1" applyFill="1" applyBorder="1" applyAlignment="1" applyProtection="1">
      <alignment horizontal="center" vertical="center"/>
      <protection hidden="1"/>
    </xf>
    <xf numFmtId="0" fontId="133" fillId="27" borderId="56" xfId="29" applyFont="1" applyFill="1" applyBorder="1" applyAlignment="1" applyProtection="1">
      <alignment horizontal="center" vertical="center"/>
      <protection hidden="1"/>
    </xf>
    <xf numFmtId="0" fontId="131" fillId="27" borderId="56" xfId="29" applyNumberFormat="1" applyFont="1" applyFill="1" applyBorder="1" applyAlignment="1" applyProtection="1">
      <alignment horizontal="center" vertical="center"/>
      <protection hidden="1"/>
    </xf>
    <xf numFmtId="0" fontId="126" fillId="27" borderId="62" xfId="0" quotePrefix="1" applyFont="1" applyFill="1" applyBorder="1" applyAlignment="1" applyProtection="1">
      <alignment horizontal="center" vertical="center"/>
      <protection hidden="1"/>
    </xf>
    <xf numFmtId="185" fontId="36" fillId="27" borderId="97" xfId="0" applyNumberFormat="1" applyFont="1" applyFill="1" applyBorder="1" applyAlignment="1" applyProtection="1">
      <alignment horizontal="center" vertical="center"/>
      <protection hidden="1"/>
    </xf>
    <xf numFmtId="185" fontId="36" fillId="27" borderId="0" xfId="0" applyNumberFormat="1" applyFont="1" applyFill="1" applyAlignment="1" applyProtection="1">
      <alignment horizontal="center" vertical="center"/>
      <protection hidden="1"/>
    </xf>
    <xf numFmtId="0" fontId="33" fillId="42" borderId="10" xfId="0" applyFont="1" applyFill="1" applyBorder="1" applyAlignment="1" applyProtection="1">
      <alignment horizontal="center" vertical="center"/>
      <protection hidden="1"/>
    </xf>
    <xf numFmtId="0" fontId="33" fillId="42" borderId="50" xfId="0" applyFont="1" applyFill="1" applyBorder="1" applyProtection="1">
      <alignment vertical="center"/>
      <protection hidden="1"/>
    </xf>
    <xf numFmtId="0" fontId="129" fillId="42" borderId="82" xfId="0" applyFont="1" applyFill="1" applyBorder="1" applyProtection="1">
      <alignment vertical="center"/>
      <protection hidden="1"/>
    </xf>
    <xf numFmtId="0" fontId="0" fillId="0" borderId="0" xfId="0" applyAlignment="1" applyProtection="1">
      <alignment horizontal="left" vertical="top" wrapText="1"/>
      <protection locked="0"/>
    </xf>
    <xf numFmtId="0" fontId="126" fillId="27" borderId="62" xfId="0" applyFont="1" applyFill="1" applyBorder="1" applyAlignment="1" applyProtection="1">
      <alignment horizontal="center" vertical="center"/>
      <protection hidden="1"/>
    </xf>
    <xf numFmtId="0" fontId="33" fillId="27" borderId="90" xfId="0" applyFont="1" applyFill="1" applyBorder="1" applyAlignment="1" applyProtection="1">
      <alignment horizontal="left" vertical="center"/>
      <protection hidden="1"/>
    </xf>
    <xf numFmtId="185" fontId="53" fillId="40" borderId="10" xfId="0" applyNumberFormat="1" applyFont="1" applyFill="1" applyBorder="1" applyAlignment="1" applyProtection="1">
      <alignment horizontal="center" vertical="center"/>
      <protection hidden="1"/>
    </xf>
    <xf numFmtId="0" fontId="126" fillId="27" borderId="77" xfId="0" applyFont="1" applyFill="1" applyBorder="1" applyAlignment="1" applyProtection="1">
      <alignment horizontal="center" vertical="center"/>
      <protection hidden="1"/>
    </xf>
    <xf numFmtId="0" fontId="37" fillId="27" borderId="27" xfId="0" applyFont="1" applyFill="1" applyBorder="1" applyAlignment="1" applyProtection="1">
      <alignment horizontal="center" vertical="center"/>
      <protection hidden="1"/>
    </xf>
    <xf numFmtId="0" fontId="107" fillId="0" borderId="50" xfId="0" quotePrefix="1" applyFont="1" applyBorder="1" applyAlignment="1" applyProtection="1">
      <alignment horizontal="center" vertical="center"/>
      <protection hidden="1"/>
    </xf>
    <xf numFmtId="0" fontId="129" fillId="27" borderId="79" xfId="0" applyFont="1" applyFill="1" applyBorder="1" applyProtection="1">
      <alignment vertical="center"/>
      <protection hidden="1"/>
    </xf>
    <xf numFmtId="177" fontId="29" fillId="0" borderId="92" xfId="0" applyNumberFormat="1" applyFont="1" applyBorder="1" applyAlignment="1" applyProtection="1">
      <alignment horizontal="center" vertical="center"/>
      <protection hidden="1"/>
    </xf>
    <xf numFmtId="0" fontId="28" fillId="0" borderId="62" xfId="0" applyFont="1" applyBorder="1" applyAlignment="1" applyProtection="1">
      <alignment horizontal="center" vertical="justify"/>
      <protection hidden="1"/>
    </xf>
    <xf numFmtId="0" fontId="126" fillId="27" borderId="65" xfId="0" quotePrefix="1" applyFont="1" applyFill="1" applyBorder="1" applyAlignment="1" applyProtection="1">
      <alignment horizontal="center" vertical="center"/>
      <protection hidden="1"/>
    </xf>
    <xf numFmtId="0" fontId="131" fillId="27" borderId="83" xfId="29" applyFont="1" applyFill="1" applyBorder="1" applyAlignment="1" applyProtection="1">
      <alignment horizontal="center" vertical="center"/>
      <protection hidden="1"/>
    </xf>
    <xf numFmtId="0" fontId="33" fillId="27" borderId="126" xfId="0" applyFont="1" applyFill="1" applyBorder="1" applyProtection="1">
      <alignment vertical="center"/>
      <protection hidden="1"/>
    </xf>
    <xf numFmtId="0" fontId="129" fillId="27" borderId="127" xfId="0" applyFont="1" applyFill="1" applyBorder="1" applyProtection="1">
      <alignment vertical="center"/>
      <protection hidden="1"/>
    </xf>
    <xf numFmtId="0" fontId="107" fillId="0" borderId="66" xfId="0" quotePrefix="1" applyFont="1" applyBorder="1" applyAlignment="1" applyProtection="1">
      <alignment horizontal="center" vertical="center"/>
      <protection hidden="1"/>
    </xf>
    <xf numFmtId="185" fontId="127" fillId="27" borderId="115" xfId="0" applyNumberFormat="1" applyFont="1" applyFill="1" applyBorder="1" applyAlignment="1" applyProtection="1">
      <alignment horizontal="center" vertical="center"/>
      <protection hidden="1"/>
    </xf>
    <xf numFmtId="177" fontId="29" fillId="0" borderId="115" xfId="0" applyNumberFormat="1" applyFont="1" applyBorder="1" applyAlignment="1" applyProtection="1">
      <alignment horizontal="center" vertical="center"/>
      <protection hidden="1"/>
    </xf>
    <xf numFmtId="0" fontId="23" fillId="31" borderId="128" xfId="0" applyFont="1" applyFill="1" applyBorder="1" applyProtection="1">
      <alignment vertical="center"/>
      <protection hidden="1"/>
    </xf>
    <xf numFmtId="0" fontId="23" fillId="31" borderId="129" xfId="0" applyFont="1" applyFill="1" applyBorder="1" applyAlignment="1" applyProtection="1">
      <alignment horizontal="left" vertical="center"/>
      <protection hidden="1"/>
    </xf>
    <xf numFmtId="0" fontId="23" fillId="31" borderId="129" xfId="0" applyFont="1" applyFill="1" applyBorder="1" applyAlignment="1" applyProtection="1">
      <alignment horizontal="left"/>
      <protection hidden="1"/>
    </xf>
    <xf numFmtId="0" fontId="6" fillId="31" borderId="130" xfId="0" applyFont="1" applyFill="1" applyBorder="1" applyProtection="1">
      <alignment vertical="center"/>
      <protection hidden="1"/>
    </xf>
    <xf numFmtId="0" fontId="6" fillId="31" borderId="129" xfId="0" applyFont="1" applyFill="1" applyBorder="1" applyProtection="1">
      <alignment vertical="center"/>
      <protection hidden="1"/>
    </xf>
    <xf numFmtId="182" fontId="37" fillId="31" borderId="128" xfId="0" applyNumberFormat="1" applyFont="1" applyFill="1" applyBorder="1" applyAlignment="1" applyProtection="1">
      <alignment horizontal="left" vertical="center"/>
      <protection hidden="1"/>
    </xf>
    <xf numFmtId="182" fontId="37" fillId="31" borderId="129" xfId="0" applyNumberFormat="1" applyFont="1" applyFill="1" applyBorder="1" applyAlignment="1" applyProtection="1">
      <alignment horizontal="left" vertical="center"/>
      <protection hidden="1"/>
    </xf>
    <xf numFmtId="182" fontId="37" fillId="31" borderId="129" xfId="0" applyNumberFormat="1" applyFont="1" applyFill="1" applyBorder="1" applyAlignment="1" applyProtection="1">
      <alignment horizontal="left"/>
      <protection hidden="1"/>
    </xf>
    <xf numFmtId="182" fontId="37" fillId="31" borderId="131" xfId="0" applyNumberFormat="1" applyFont="1" applyFill="1" applyBorder="1" applyAlignment="1" applyProtection="1">
      <alignment horizontal="center"/>
      <protection hidden="1"/>
    </xf>
    <xf numFmtId="198" fontId="127" fillId="31" borderId="132" xfId="0" applyNumberFormat="1" applyFont="1" applyFill="1" applyBorder="1" applyAlignment="1" applyProtection="1">
      <alignment horizontal="center" vertical="center"/>
      <protection hidden="1"/>
    </xf>
    <xf numFmtId="185" fontId="128" fillId="31" borderId="129" xfId="0" applyNumberFormat="1" applyFont="1" applyFill="1" applyBorder="1" applyAlignment="1" applyProtection="1">
      <alignment horizontal="center" vertical="center"/>
      <protection hidden="1"/>
    </xf>
    <xf numFmtId="198" fontId="127" fillId="31" borderId="133" xfId="0" applyNumberFormat="1" applyFont="1" applyFill="1" applyBorder="1" applyAlignment="1" applyProtection="1">
      <alignment horizontal="center" vertical="center"/>
      <protection hidden="1"/>
    </xf>
    <xf numFmtId="185" fontId="128" fillId="31" borderId="134" xfId="0" applyNumberFormat="1" applyFont="1" applyFill="1" applyBorder="1" applyAlignment="1" applyProtection="1">
      <alignment horizontal="center" vertical="center"/>
      <protection hidden="1"/>
    </xf>
    <xf numFmtId="182" fontId="28" fillId="0" borderId="77" xfId="0" applyNumberFormat="1" applyFont="1" applyBorder="1" applyAlignment="1" applyProtection="1">
      <alignment horizontal="left" vertical="center" wrapText="1"/>
      <protection locked="0"/>
    </xf>
    <xf numFmtId="182" fontId="28" fillId="0" borderId="57" xfId="0" applyNumberFormat="1" applyFont="1" applyBorder="1" applyAlignment="1" applyProtection="1">
      <alignment horizontal="left" vertical="center" wrapText="1"/>
      <protection locked="0"/>
    </xf>
    <xf numFmtId="182" fontId="37" fillId="0" borderId="57" xfId="0" applyNumberFormat="1" applyFont="1" applyBorder="1" applyAlignment="1" applyProtection="1">
      <alignment horizontal="left" wrapText="1"/>
      <protection locked="0"/>
    </xf>
    <xf numFmtId="198" fontId="130" fillId="27" borderId="94" xfId="0" applyNumberFormat="1" applyFont="1" applyFill="1" applyBorder="1" applyAlignment="1" applyProtection="1">
      <alignment horizontal="center" vertical="center"/>
      <protection hidden="1"/>
    </xf>
    <xf numFmtId="198" fontId="130" fillId="27" borderId="95" xfId="0" applyNumberFormat="1" applyFont="1" applyFill="1" applyBorder="1" applyAlignment="1" applyProtection="1">
      <alignment horizontal="center" vertical="center"/>
      <protection hidden="1"/>
    </xf>
    <xf numFmtId="185" fontId="127" fillId="27" borderId="96" xfId="0" applyNumberFormat="1" applyFont="1" applyFill="1" applyBorder="1" applyAlignment="1" applyProtection="1">
      <alignment horizontal="center" vertical="center"/>
      <protection hidden="1"/>
    </xf>
    <xf numFmtId="177" fontId="28" fillId="0" borderId="117" xfId="0" applyNumberFormat="1" applyFont="1" applyBorder="1" applyAlignment="1" applyProtection="1">
      <alignment horizontal="center" vertical="justify"/>
      <protection hidden="1"/>
    </xf>
    <xf numFmtId="177" fontId="28" fillId="0" borderId="119" xfId="0" applyNumberFormat="1" applyFont="1" applyBorder="1" applyAlignment="1" applyProtection="1">
      <alignment horizontal="center" vertical="justify"/>
      <protection hidden="1"/>
    </xf>
    <xf numFmtId="0" fontId="126" fillId="27" borderId="118" xfId="0" quotePrefix="1" applyFont="1" applyFill="1" applyBorder="1" applyAlignment="1" applyProtection="1">
      <alignment horizontal="center" vertical="center"/>
      <protection hidden="1"/>
    </xf>
    <xf numFmtId="0" fontId="107" fillId="27" borderId="0" xfId="0" quotePrefix="1" applyFont="1" applyFill="1" applyAlignment="1" applyProtection="1">
      <alignment horizontal="center" vertical="center"/>
      <protection hidden="1"/>
    </xf>
    <xf numFmtId="177" fontId="29" fillId="0" borderId="100" xfId="0" applyNumberFormat="1" applyFont="1" applyBorder="1" applyAlignment="1" applyProtection="1">
      <alignment horizontal="center" vertical="center"/>
      <protection hidden="1"/>
    </xf>
    <xf numFmtId="0" fontId="23" fillId="27" borderId="89" xfId="0" quotePrefix="1" applyFont="1" applyFill="1" applyBorder="1" applyProtection="1">
      <alignment vertical="center"/>
      <protection hidden="1"/>
    </xf>
    <xf numFmtId="185" fontId="36" fillId="0" borderId="0" xfId="0" applyNumberFormat="1" applyFont="1" applyAlignment="1" applyProtection="1">
      <alignment horizontal="center" vertical="center"/>
      <protection hidden="1"/>
    </xf>
    <xf numFmtId="177" fontId="29" fillId="0" borderId="66" xfId="0" applyNumberFormat="1" applyFont="1" applyBorder="1" applyAlignment="1" applyProtection="1">
      <alignment horizontal="center" vertical="center"/>
      <protection hidden="1"/>
    </xf>
    <xf numFmtId="198" fontId="130" fillId="27" borderId="17" xfId="0" applyNumberFormat="1" applyFont="1" applyFill="1" applyBorder="1" applyAlignment="1" applyProtection="1">
      <alignment horizontal="center" vertical="center"/>
      <protection hidden="1"/>
    </xf>
    <xf numFmtId="185" fontId="29" fillId="0" borderId="0" xfId="0" applyNumberFormat="1" applyFont="1" applyAlignment="1" applyProtection="1">
      <alignment horizontal="center" vertical="center"/>
      <protection hidden="1"/>
    </xf>
    <xf numFmtId="177" fontId="29" fillId="0" borderId="60" xfId="0" applyNumberFormat="1" applyFont="1" applyBorder="1" applyAlignment="1" applyProtection="1">
      <alignment horizontal="center" vertical="center"/>
      <protection hidden="1"/>
    </xf>
    <xf numFmtId="185" fontId="29" fillId="27" borderId="0" xfId="0" applyNumberFormat="1" applyFont="1" applyFill="1" applyAlignment="1" applyProtection="1">
      <alignment horizontal="center" vertical="center"/>
      <protection hidden="1"/>
    </xf>
    <xf numFmtId="0" fontId="126" fillId="27" borderId="77" xfId="0" quotePrefix="1" applyFont="1" applyFill="1" applyBorder="1" applyAlignment="1" applyProtection="1">
      <alignment horizontal="center" vertical="center"/>
      <protection hidden="1"/>
    </xf>
    <xf numFmtId="198" fontId="130" fillId="27" borderId="58" xfId="0" applyNumberFormat="1" applyFont="1" applyFill="1" applyBorder="1" applyAlignment="1" applyProtection="1">
      <alignment horizontal="center" vertical="center"/>
      <protection hidden="1"/>
    </xf>
    <xf numFmtId="185" fontId="29" fillId="0" borderId="57" xfId="0" applyNumberFormat="1" applyFont="1" applyBorder="1" applyAlignment="1" applyProtection="1">
      <alignment horizontal="center" vertical="center"/>
      <protection hidden="1"/>
    </xf>
    <xf numFmtId="0" fontId="107" fillId="0" borderId="53" xfId="0" quotePrefix="1" applyFont="1" applyBorder="1" applyAlignment="1" applyProtection="1">
      <alignment horizontal="center" vertical="center"/>
      <protection hidden="1"/>
    </xf>
    <xf numFmtId="182" fontId="28" fillId="0" borderId="89" xfId="0" applyNumberFormat="1" applyFont="1" applyBorder="1" applyAlignment="1" applyProtection="1">
      <alignment horizontal="left" vertical="top" wrapText="1"/>
      <protection locked="0"/>
    </xf>
    <xf numFmtId="0" fontId="0" fillId="0" borderId="53" xfId="0" applyBorder="1" applyAlignment="1" applyProtection="1">
      <alignment horizontal="left" vertical="top" wrapText="1"/>
      <protection locked="0"/>
    </xf>
    <xf numFmtId="185" fontId="36" fillId="0" borderId="53" xfId="0" applyNumberFormat="1" applyFont="1" applyBorder="1" applyAlignment="1" applyProtection="1">
      <alignment horizontal="center" vertical="center"/>
      <protection hidden="1"/>
    </xf>
    <xf numFmtId="177" fontId="29" fillId="0" borderId="62" xfId="0" applyNumberFormat="1" applyFont="1" applyBorder="1" applyAlignment="1" applyProtection="1">
      <alignment horizontal="center" vertical="center"/>
      <protection hidden="1"/>
    </xf>
    <xf numFmtId="0" fontId="126" fillId="27" borderId="77" xfId="0" applyFont="1" applyFill="1" applyBorder="1" applyAlignment="1" applyProtection="1">
      <alignment horizontal="center"/>
      <protection hidden="1"/>
    </xf>
    <xf numFmtId="198" fontId="130" fillId="27" borderId="120" xfId="0" applyNumberFormat="1" applyFont="1" applyFill="1" applyBorder="1" applyAlignment="1" applyProtection="1">
      <alignment horizontal="center" vertical="center"/>
      <protection hidden="1"/>
    </xf>
    <xf numFmtId="185" fontId="29" fillId="0" borderId="93" xfId="0" applyNumberFormat="1" applyFont="1" applyBorder="1" applyAlignment="1" applyProtection="1">
      <alignment horizontal="center" vertical="center"/>
      <protection hidden="1"/>
    </xf>
    <xf numFmtId="0" fontId="137" fillId="27" borderId="0" xfId="29" applyNumberFormat="1" applyFont="1" applyFill="1" applyBorder="1" applyAlignment="1" applyProtection="1">
      <alignment horizontal="center" vertical="center"/>
      <protection hidden="1"/>
    </xf>
    <xf numFmtId="0" fontId="138" fillId="27" borderId="0" xfId="0" applyFont="1" applyFill="1" applyAlignment="1" applyProtection="1">
      <alignment horizontal="left" vertical="center"/>
      <protection hidden="1"/>
    </xf>
    <xf numFmtId="0" fontId="138" fillId="27" borderId="0" xfId="0" applyFont="1" applyFill="1" applyAlignment="1" applyProtection="1">
      <alignment horizontal="center" vertical="center"/>
      <protection hidden="1"/>
    </xf>
    <xf numFmtId="185" fontId="29" fillId="0" borderId="97" xfId="0" applyNumberFormat="1" applyFont="1" applyBorder="1" applyAlignment="1" applyProtection="1">
      <alignment horizontal="center" vertical="center"/>
      <protection hidden="1"/>
    </xf>
    <xf numFmtId="0" fontId="126" fillId="27" borderId="53" xfId="0" applyFont="1" applyFill="1" applyBorder="1" applyAlignment="1" applyProtection="1">
      <alignment horizontal="left" vertical="center"/>
      <protection hidden="1"/>
    </xf>
    <xf numFmtId="185" fontId="36" fillId="27" borderId="135" xfId="0" applyNumberFormat="1" applyFont="1" applyFill="1" applyBorder="1" applyAlignment="1" applyProtection="1">
      <alignment horizontal="center" vertical="center"/>
      <protection hidden="1"/>
    </xf>
    <xf numFmtId="177" fontId="29" fillId="0" borderId="0" xfId="0" applyNumberFormat="1" applyFont="1" applyAlignment="1" applyProtection="1">
      <alignment horizontal="center" vertical="center"/>
      <protection hidden="1"/>
    </xf>
    <xf numFmtId="0" fontId="33" fillId="27" borderId="51" xfId="0" applyFont="1" applyFill="1" applyBorder="1" applyAlignment="1" applyProtection="1">
      <alignment horizontal="center" vertical="center"/>
      <protection hidden="1"/>
    </xf>
    <xf numFmtId="0" fontId="33" fillId="27" borderId="50" xfId="0" applyFont="1" applyFill="1" applyBorder="1" applyAlignment="1" applyProtection="1">
      <alignment horizontal="left" vertical="center"/>
      <protection hidden="1"/>
    </xf>
    <xf numFmtId="0" fontId="131" fillId="27" borderId="83" xfId="29" applyNumberFormat="1" applyFont="1" applyFill="1" applyBorder="1" applyAlignment="1" applyProtection="1">
      <alignment horizontal="center" vertical="center"/>
      <protection hidden="1"/>
    </xf>
    <xf numFmtId="0" fontId="33" fillId="27" borderId="136" xfId="0" applyFont="1" applyFill="1" applyBorder="1" applyAlignment="1" applyProtection="1">
      <alignment horizontal="center" vertical="center"/>
      <protection hidden="1"/>
    </xf>
    <xf numFmtId="198" fontId="130" fillId="27" borderId="84" xfId="0" applyNumberFormat="1" applyFont="1" applyFill="1" applyBorder="1" applyAlignment="1" applyProtection="1">
      <alignment horizontal="center" vertical="center"/>
      <protection hidden="1"/>
    </xf>
    <xf numFmtId="185" fontId="29" fillId="0" borderId="66" xfId="0" applyNumberFormat="1" applyFont="1" applyBorder="1" applyAlignment="1" applyProtection="1">
      <alignment horizontal="center" vertical="center"/>
      <protection hidden="1"/>
    </xf>
    <xf numFmtId="198" fontId="130" fillId="27" borderId="137" xfId="0" applyNumberFormat="1" applyFont="1" applyFill="1" applyBorder="1" applyAlignment="1" applyProtection="1">
      <alignment horizontal="center" vertical="center"/>
      <protection hidden="1"/>
    </xf>
    <xf numFmtId="0" fontId="33" fillId="31" borderId="130" xfId="0" applyFont="1" applyFill="1" applyBorder="1" applyAlignment="1" applyProtection="1">
      <alignment horizontal="left" vertical="center"/>
      <protection hidden="1"/>
    </xf>
    <xf numFmtId="0" fontId="126" fillId="31" borderId="129" xfId="0" applyFont="1" applyFill="1" applyBorder="1" applyAlignment="1" applyProtection="1">
      <alignment horizontal="center" vertical="center"/>
      <protection hidden="1"/>
    </xf>
    <xf numFmtId="182" fontId="37" fillId="31" borderId="138" xfId="0" applyNumberFormat="1" applyFont="1" applyFill="1" applyBorder="1" applyAlignment="1" applyProtection="1">
      <alignment horizontal="center"/>
      <protection hidden="1"/>
    </xf>
    <xf numFmtId="185" fontId="36" fillId="0" borderId="92" xfId="0" applyNumberFormat="1" applyFont="1" applyBorder="1" applyAlignment="1" applyProtection="1">
      <alignment horizontal="center" vertical="center"/>
      <protection hidden="1"/>
    </xf>
    <xf numFmtId="0" fontId="23" fillId="27" borderId="80" xfId="0" quotePrefix="1" applyFont="1" applyFill="1" applyBorder="1" applyProtection="1">
      <alignment vertical="center"/>
      <protection hidden="1"/>
    </xf>
    <xf numFmtId="185" fontId="36" fillId="0" borderId="139" xfId="0" applyNumberFormat="1" applyFont="1" applyBorder="1" applyAlignment="1" applyProtection="1">
      <alignment horizontal="center" vertical="center"/>
      <protection hidden="1"/>
    </xf>
    <xf numFmtId="198" fontId="130" fillId="27" borderId="27" xfId="0" applyNumberFormat="1" applyFont="1" applyFill="1" applyBorder="1" applyAlignment="1" applyProtection="1">
      <alignment horizontal="center" vertical="center"/>
      <protection hidden="1"/>
    </xf>
    <xf numFmtId="185" fontId="36" fillId="0" borderId="50" xfId="0" applyNumberFormat="1" applyFont="1" applyBorder="1" applyAlignment="1" applyProtection="1">
      <alignment horizontal="center" vertical="center"/>
      <protection hidden="1"/>
    </xf>
    <xf numFmtId="0" fontId="126" fillId="27" borderId="57" xfId="0" applyFont="1" applyFill="1" applyBorder="1" applyAlignment="1" applyProtection="1">
      <alignment horizontal="left" vertical="center"/>
      <protection hidden="1"/>
    </xf>
    <xf numFmtId="0" fontId="33" fillId="27" borderId="57" xfId="0" applyFont="1" applyFill="1" applyBorder="1" applyAlignment="1" applyProtection="1">
      <alignment horizontal="left" vertical="center"/>
      <protection hidden="1"/>
    </xf>
    <xf numFmtId="198" fontId="130" fillId="27" borderId="140" xfId="0" applyNumberFormat="1" applyFont="1" applyFill="1" applyBorder="1" applyAlignment="1" applyProtection="1">
      <alignment horizontal="center" vertical="center"/>
      <protection hidden="1"/>
    </xf>
    <xf numFmtId="0" fontId="139" fillId="0" borderId="62" xfId="0" quotePrefix="1" applyFont="1" applyBorder="1" applyAlignment="1" applyProtection="1">
      <alignment horizontal="left" vertical="center"/>
      <protection hidden="1"/>
    </xf>
    <xf numFmtId="0" fontId="140" fillId="0" borderId="0" xfId="0" applyFont="1" applyAlignment="1" applyProtection="1">
      <alignment horizontal="left"/>
      <protection hidden="1"/>
    </xf>
    <xf numFmtId="0" fontId="141" fillId="0" borderId="0" xfId="0" applyFont="1" applyProtection="1">
      <alignment vertical="center"/>
      <protection hidden="1"/>
    </xf>
    <xf numFmtId="0" fontId="22" fillId="0" borderId="0" xfId="0" applyFont="1" applyProtection="1">
      <alignment vertical="center"/>
      <protection hidden="1"/>
    </xf>
    <xf numFmtId="0" fontId="142" fillId="0" borderId="0" xfId="0" applyFont="1" applyProtection="1">
      <alignment vertical="center"/>
      <protection hidden="1"/>
    </xf>
    <xf numFmtId="0" fontId="119" fillId="0" borderId="0" xfId="0" applyFont="1" applyProtection="1">
      <alignment vertical="center"/>
      <protection hidden="1"/>
    </xf>
    <xf numFmtId="182" fontId="37" fillId="0" borderId="62" xfId="0" applyNumberFormat="1" applyFont="1" applyBorder="1" applyAlignment="1" applyProtection="1">
      <alignment horizontal="left" vertical="center"/>
      <protection hidden="1"/>
    </xf>
    <xf numFmtId="182" fontId="37" fillId="0" borderId="0" xfId="0" applyNumberFormat="1" applyFont="1" applyAlignment="1" applyProtection="1">
      <alignment horizontal="left" vertical="center"/>
      <protection hidden="1"/>
    </xf>
    <xf numFmtId="198" fontId="127" fillId="27" borderId="98" xfId="0" applyNumberFormat="1" applyFont="1" applyFill="1" applyBorder="1" applyAlignment="1" applyProtection="1">
      <alignment horizontal="center" vertical="center"/>
      <protection hidden="1"/>
    </xf>
    <xf numFmtId="198" fontId="127" fillId="27" borderId="99" xfId="0" applyNumberFormat="1" applyFont="1" applyFill="1" applyBorder="1" applyAlignment="1" applyProtection="1">
      <alignment horizontal="center" vertical="center"/>
      <protection hidden="1"/>
    </xf>
    <xf numFmtId="0" fontId="63" fillId="33" borderId="59" xfId="0" applyFont="1" applyFill="1" applyBorder="1" applyAlignment="1" applyProtection="1">
      <alignment horizontal="left" vertical="center"/>
      <protection hidden="1"/>
    </xf>
    <xf numFmtId="0" fontId="63" fillId="33" borderId="60" xfId="0" applyFont="1" applyFill="1" applyBorder="1" applyAlignment="1" applyProtection="1">
      <alignment horizontal="left" vertical="center"/>
      <protection hidden="1"/>
    </xf>
    <xf numFmtId="0" fontId="63" fillId="33" borderId="61" xfId="0" applyFont="1" applyFill="1" applyBorder="1" applyAlignment="1" applyProtection="1">
      <alignment horizontal="left" vertical="center"/>
      <protection hidden="1"/>
    </xf>
    <xf numFmtId="0" fontId="2" fillId="33" borderId="60" xfId="0" applyFont="1" applyFill="1" applyBorder="1" applyProtection="1">
      <alignment vertical="center"/>
      <protection hidden="1"/>
    </xf>
    <xf numFmtId="182" fontId="37" fillId="33" borderId="59" xfId="0" applyNumberFormat="1" applyFont="1" applyFill="1" applyBorder="1" applyAlignment="1" applyProtection="1">
      <alignment horizontal="left" vertical="center"/>
      <protection hidden="1"/>
    </xf>
    <xf numFmtId="182" fontId="37" fillId="33" borderId="60" xfId="0" applyNumberFormat="1" applyFont="1" applyFill="1" applyBorder="1" applyAlignment="1" applyProtection="1">
      <alignment horizontal="left" vertical="center"/>
      <protection hidden="1"/>
    </xf>
    <xf numFmtId="182" fontId="37" fillId="33" borderId="60" xfId="0" applyNumberFormat="1" applyFont="1" applyFill="1" applyBorder="1" applyAlignment="1" applyProtection="1">
      <alignment horizontal="left"/>
      <protection hidden="1"/>
    </xf>
    <xf numFmtId="182" fontId="37" fillId="33" borderId="138" xfId="0" applyNumberFormat="1" applyFont="1" applyFill="1" applyBorder="1" applyAlignment="1" applyProtection="1">
      <alignment horizontal="center"/>
      <protection hidden="1"/>
    </xf>
    <xf numFmtId="198" fontId="130" fillId="33" borderId="141" xfId="0" applyNumberFormat="1" applyFont="1" applyFill="1" applyBorder="1" applyAlignment="1" applyProtection="1">
      <alignment horizontal="center" vertical="center"/>
      <protection hidden="1"/>
    </xf>
    <xf numFmtId="185" fontId="29" fillId="33" borderId="60" xfId="0" applyNumberFormat="1" applyFont="1" applyFill="1" applyBorder="1" applyAlignment="1" applyProtection="1">
      <alignment horizontal="center" vertical="center"/>
      <protection hidden="1"/>
    </xf>
    <xf numFmtId="198" fontId="130" fillId="33" borderId="142" xfId="0" applyNumberFormat="1" applyFont="1" applyFill="1" applyBorder="1" applyAlignment="1" applyProtection="1">
      <alignment horizontal="center" vertical="center"/>
      <protection hidden="1"/>
    </xf>
    <xf numFmtId="185" fontId="64" fillId="33" borderId="92" xfId="0" applyNumberFormat="1" applyFont="1" applyFill="1" applyBorder="1" applyAlignment="1" applyProtection="1">
      <alignment horizontal="center" vertical="center"/>
      <protection hidden="1"/>
    </xf>
    <xf numFmtId="0" fontId="23" fillId="31" borderId="104" xfId="0" applyFont="1" applyFill="1" applyBorder="1" applyProtection="1">
      <alignment vertical="center"/>
      <protection hidden="1"/>
    </xf>
    <xf numFmtId="0" fontId="126" fillId="31" borderId="103" xfId="0" applyFont="1" applyFill="1" applyBorder="1" applyAlignment="1" applyProtection="1">
      <alignment horizontal="right" vertical="center"/>
      <protection hidden="1"/>
    </xf>
    <xf numFmtId="182" fontId="37" fillId="31" borderId="143" xfId="0" applyNumberFormat="1" applyFont="1" applyFill="1" applyBorder="1" applyAlignment="1" applyProtection="1">
      <alignment horizontal="center"/>
      <protection hidden="1"/>
    </xf>
    <xf numFmtId="0" fontId="126" fillId="27" borderId="63" xfId="0" applyFont="1" applyFill="1" applyBorder="1" applyAlignment="1" applyProtection="1">
      <alignment horizontal="right" vertical="center"/>
      <protection hidden="1"/>
    </xf>
    <xf numFmtId="185" fontId="36" fillId="0" borderId="144" xfId="0" applyNumberFormat="1" applyFont="1" applyBorder="1" applyAlignment="1" applyProtection="1">
      <alignment horizontal="center" vertical="center"/>
      <protection hidden="1"/>
    </xf>
    <xf numFmtId="0" fontId="23" fillId="27" borderId="89" xfId="0" applyFont="1" applyFill="1" applyBorder="1" applyProtection="1">
      <alignment vertical="center"/>
      <protection hidden="1"/>
    </xf>
    <xf numFmtId="0" fontId="126" fillId="27" borderId="82" xfId="0" applyFont="1" applyFill="1" applyBorder="1" applyAlignment="1" applyProtection="1">
      <alignment horizontal="right" vertical="center"/>
      <protection hidden="1"/>
    </xf>
    <xf numFmtId="182" fontId="28" fillId="0" borderId="80" xfId="0" applyNumberFormat="1" applyFont="1" applyBorder="1" applyAlignment="1" applyProtection="1">
      <alignment horizontal="left" vertical="top" wrapText="1"/>
      <protection locked="0"/>
    </xf>
    <xf numFmtId="0" fontId="0" fillId="0" borderId="50" xfId="0" applyBorder="1" applyAlignment="1" applyProtection="1">
      <alignment horizontal="left" vertical="top" wrapText="1"/>
      <protection locked="0"/>
    </xf>
    <xf numFmtId="0" fontId="23" fillId="27" borderId="62" xfId="0" applyFont="1" applyFill="1" applyBorder="1" applyProtection="1">
      <alignment vertical="center"/>
      <protection hidden="1"/>
    </xf>
    <xf numFmtId="198" fontId="130" fillId="27" borderId="54" xfId="0" applyNumberFormat="1" applyFont="1" applyFill="1" applyBorder="1" applyAlignment="1" applyProtection="1">
      <alignment horizontal="center" vertical="center"/>
      <protection hidden="1"/>
    </xf>
    <xf numFmtId="0" fontId="23" fillId="27" borderId="26" xfId="0" applyFont="1" applyFill="1" applyBorder="1" applyAlignment="1" applyProtection="1">
      <alignment horizontal="right" vertical="center"/>
      <protection hidden="1"/>
    </xf>
    <xf numFmtId="198" fontId="130" fillId="27" borderId="118" xfId="0" applyNumberFormat="1" applyFont="1" applyFill="1" applyBorder="1" applyAlignment="1" applyProtection="1">
      <alignment horizontal="center" vertical="center"/>
      <protection hidden="1"/>
    </xf>
    <xf numFmtId="0" fontId="23" fillId="27" borderId="120" xfId="0" applyFont="1" applyFill="1" applyBorder="1" applyProtection="1">
      <alignment vertical="center"/>
      <protection hidden="1"/>
    </xf>
    <xf numFmtId="177" fontId="28" fillId="0" borderId="115" xfId="0" applyNumberFormat="1" applyFont="1" applyBorder="1" applyAlignment="1" applyProtection="1">
      <alignment horizontal="center" vertical="justify"/>
      <protection hidden="1"/>
    </xf>
    <xf numFmtId="0" fontId="138" fillId="42" borderId="50" xfId="0" applyFont="1" applyFill="1" applyBorder="1" applyAlignment="1" applyProtection="1">
      <alignment horizontal="left" vertical="center"/>
      <protection hidden="1"/>
    </xf>
    <xf numFmtId="185" fontId="36" fillId="0" borderId="97" xfId="0" applyNumberFormat="1" applyFont="1" applyBorder="1" applyAlignment="1" applyProtection="1">
      <alignment horizontal="center" vertical="center"/>
      <protection hidden="1"/>
    </xf>
    <xf numFmtId="0" fontId="144" fillId="27" borderId="62" xfId="0" applyFont="1" applyFill="1" applyBorder="1" applyAlignment="1" applyProtection="1">
      <alignment horizontal="center" vertical="center"/>
      <protection hidden="1"/>
    </xf>
    <xf numFmtId="0" fontId="143" fillId="27" borderId="26" xfId="0" applyFont="1" applyFill="1" applyBorder="1" applyProtection="1">
      <alignment vertical="center"/>
      <protection hidden="1"/>
    </xf>
    <xf numFmtId="0" fontId="26" fillId="0" borderId="62" xfId="0" applyFont="1" applyBorder="1" applyAlignment="1" applyProtection="1">
      <alignment horizontal="center" vertical="justify"/>
      <protection hidden="1"/>
    </xf>
    <xf numFmtId="0" fontId="144" fillId="27" borderId="77" xfId="0" applyFont="1" applyFill="1" applyBorder="1" applyAlignment="1" applyProtection="1">
      <alignment horizontal="center" vertical="center"/>
      <protection hidden="1"/>
    </xf>
    <xf numFmtId="177" fontId="29" fillId="0" borderId="68" xfId="0" applyNumberFormat="1" applyFont="1" applyBorder="1" applyAlignment="1" applyProtection="1">
      <alignment horizontal="center" vertical="center"/>
      <protection hidden="1"/>
    </xf>
    <xf numFmtId="0" fontId="23" fillId="27" borderId="145" xfId="0" quotePrefix="1" applyFont="1" applyFill="1" applyBorder="1" applyProtection="1">
      <alignment vertical="center"/>
      <protection hidden="1"/>
    </xf>
    <xf numFmtId="182" fontId="28" fillId="0" borderId="146" xfId="0" applyNumberFormat="1" applyFont="1" applyBorder="1" applyAlignment="1" applyProtection="1">
      <alignment horizontal="left" vertical="center" wrapText="1"/>
      <protection locked="0"/>
    </xf>
    <xf numFmtId="182" fontId="28" fillId="0" borderId="109" xfId="0" applyNumberFormat="1" applyFont="1" applyBorder="1" applyAlignment="1" applyProtection="1">
      <alignment horizontal="left" vertical="center" wrapText="1"/>
      <protection locked="0"/>
    </xf>
    <xf numFmtId="182" fontId="37" fillId="0" borderId="147" xfId="0" applyNumberFormat="1" applyFont="1" applyBorder="1" applyAlignment="1" applyProtection="1">
      <alignment horizontal="left" wrapText="1"/>
      <protection locked="0"/>
    </xf>
    <xf numFmtId="0" fontId="23" fillId="27" borderId="64" xfId="0" quotePrefix="1" applyFont="1" applyFill="1" applyBorder="1" applyProtection="1">
      <alignment vertical="center"/>
      <protection hidden="1"/>
    </xf>
    <xf numFmtId="177" fontId="29" fillId="0" borderId="69" xfId="0" applyNumberFormat="1" applyFont="1" applyBorder="1" applyAlignment="1" applyProtection="1">
      <alignment horizontal="center" vertical="center"/>
      <protection hidden="1"/>
    </xf>
    <xf numFmtId="0" fontId="131" fillId="27" borderId="64" xfId="29" quotePrefix="1" applyNumberFormat="1" applyFont="1" applyFill="1" applyBorder="1" applyAlignment="1" applyProtection="1">
      <alignment horizontal="center" vertical="center"/>
      <protection hidden="1"/>
    </xf>
    <xf numFmtId="0" fontId="131" fillId="27" borderId="56" xfId="29" quotePrefix="1" applyNumberFormat="1" applyFont="1" applyFill="1" applyBorder="1" applyAlignment="1" applyProtection="1">
      <alignment horizontal="center" vertical="center"/>
      <protection hidden="1"/>
    </xf>
    <xf numFmtId="214" fontId="29" fillId="0" borderId="100" xfId="0" applyNumberFormat="1" applyFont="1" applyBorder="1" applyAlignment="1" applyProtection="1">
      <alignment horizontal="center" vertical="center"/>
      <protection hidden="1"/>
    </xf>
    <xf numFmtId="214" fontId="53" fillId="40" borderId="10" xfId="0" applyNumberFormat="1" applyFont="1" applyFill="1" applyBorder="1" applyAlignment="1" applyProtection="1">
      <alignment horizontal="center" vertical="center"/>
      <protection hidden="1"/>
    </xf>
    <xf numFmtId="214" fontId="29" fillId="0" borderId="100" xfId="0" applyNumberFormat="1" applyFont="1" applyBorder="1" applyAlignment="1" applyProtection="1">
      <alignment horizontal="center" vertical="justify"/>
      <protection hidden="1"/>
    </xf>
    <xf numFmtId="0" fontId="126" fillId="27" borderId="120" xfId="0" applyFont="1" applyFill="1" applyBorder="1" applyAlignment="1" applyProtection="1">
      <alignment horizontal="center" vertical="center"/>
      <protection hidden="1"/>
    </xf>
    <xf numFmtId="214" fontId="29" fillId="0" borderId="115" xfId="0" applyNumberFormat="1" applyFont="1" applyBorder="1" applyAlignment="1" applyProtection="1">
      <alignment horizontal="center" vertical="justify"/>
      <protection hidden="1"/>
    </xf>
    <xf numFmtId="214" fontId="29" fillId="0" borderId="0" xfId="0" applyNumberFormat="1" applyFont="1" applyAlignment="1" applyProtection="1">
      <alignment horizontal="center" vertical="center"/>
      <protection hidden="1"/>
    </xf>
    <xf numFmtId="185" fontId="29" fillId="0" borderId="144" xfId="0" applyNumberFormat="1" applyFont="1" applyBorder="1" applyAlignment="1" applyProtection="1">
      <alignment horizontal="center" vertical="center"/>
      <protection hidden="1"/>
    </xf>
    <xf numFmtId="214" fontId="29" fillId="0" borderId="144" xfId="0" applyNumberFormat="1" applyFont="1" applyBorder="1" applyAlignment="1" applyProtection="1">
      <alignment horizontal="center" vertical="justify"/>
      <protection hidden="1"/>
    </xf>
    <xf numFmtId="182" fontId="37" fillId="0" borderId="17" xfId="0" applyNumberFormat="1" applyFont="1" applyBorder="1" applyAlignment="1" applyProtection="1">
      <alignment horizontal="left" wrapText="1"/>
      <protection locked="0"/>
    </xf>
    <xf numFmtId="214" fontId="29" fillId="0" borderId="66" xfId="0" applyNumberFormat="1" applyFont="1" applyBorder="1" applyAlignment="1" applyProtection="1">
      <alignment horizontal="center" vertical="center"/>
      <protection hidden="1"/>
    </xf>
    <xf numFmtId="0" fontId="126" fillId="27" borderId="116" xfId="0" applyFont="1" applyFill="1" applyBorder="1" applyAlignment="1" applyProtection="1">
      <alignment horizontal="center" vertical="center"/>
      <protection hidden="1"/>
    </xf>
    <xf numFmtId="182" fontId="37" fillId="31" borderId="148" xfId="0" applyNumberFormat="1" applyFont="1" applyFill="1" applyBorder="1" applyAlignment="1" applyProtection="1">
      <alignment horizontal="center"/>
      <protection hidden="1"/>
    </xf>
    <xf numFmtId="185" fontId="36" fillId="27" borderId="149" xfId="0" applyNumberFormat="1" applyFont="1" applyFill="1" applyBorder="1" applyAlignment="1" applyProtection="1">
      <alignment horizontal="center" vertical="center"/>
      <protection hidden="1"/>
    </xf>
    <xf numFmtId="198" fontId="130" fillId="27" borderId="26" xfId="0" applyNumberFormat="1" applyFont="1" applyFill="1" applyBorder="1" applyAlignment="1" applyProtection="1">
      <alignment horizontal="center" vertical="center"/>
      <protection hidden="1"/>
    </xf>
    <xf numFmtId="185" fontId="36" fillId="0" borderId="135" xfId="0" applyNumberFormat="1" applyFont="1" applyBorder="1" applyAlignment="1" applyProtection="1">
      <alignment horizontal="center" vertical="center"/>
      <protection hidden="1"/>
    </xf>
    <xf numFmtId="198" fontId="130" fillId="27" borderId="50" xfId="0" applyNumberFormat="1" applyFont="1" applyFill="1" applyBorder="1" applyAlignment="1" applyProtection="1">
      <alignment horizontal="center" vertical="center"/>
      <protection hidden="1"/>
    </xf>
    <xf numFmtId="214" fontId="29" fillId="0" borderId="69" xfId="0" applyNumberFormat="1" applyFont="1" applyBorder="1" applyAlignment="1" applyProtection="1">
      <alignment horizontal="center" vertical="center"/>
      <protection hidden="1"/>
    </xf>
    <xf numFmtId="0" fontId="33" fillId="27" borderId="0" xfId="0" applyFont="1" applyFill="1" applyAlignment="1" applyProtection="1">
      <alignment horizontal="left" vertical="center"/>
      <protection hidden="1"/>
    </xf>
    <xf numFmtId="0" fontId="0" fillId="0" borderId="17" xfId="0" applyBorder="1" applyAlignment="1" applyProtection="1">
      <alignment horizontal="left" vertical="top" wrapText="1"/>
      <protection locked="0"/>
    </xf>
    <xf numFmtId="198" fontId="130" fillId="27" borderId="64" xfId="0" applyNumberFormat="1" applyFont="1" applyFill="1" applyBorder="1" applyAlignment="1" applyProtection="1">
      <alignment horizontal="center" vertical="center"/>
      <protection hidden="1"/>
    </xf>
    <xf numFmtId="0" fontId="23" fillId="27" borderId="77" xfId="0" quotePrefix="1" applyFont="1" applyFill="1" applyBorder="1" applyProtection="1">
      <alignment vertical="center"/>
      <protection hidden="1"/>
    </xf>
    <xf numFmtId="198" fontId="130" fillId="27" borderId="57" xfId="0" applyNumberFormat="1" applyFont="1" applyFill="1" applyBorder="1" applyAlignment="1" applyProtection="1">
      <alignment horizontal="center" vertical="center"/>
      <protection hidden="1"/>
    </xf>
    <xf numFmtId="185" fontId="36" fillId="0" borderId="93" xfId="0" applyNumberFormat="1" applyFont="1" applyBorder="1" applyAlignment="1" applyProtection="1">
      <alignment horizontal="center" vertical="center"/>
      <protection hidden="1"/>
    </xf>
    <xf numFmtId="185" fontId="36" fillId="27" borderId="55" xfId="0" applyNumberFormat="1" applyFont="1" applyFill="1" applyBorder="1" applyAlignment="1" applyProtection="1">
      <alignment horizontal="center" vertical="center"/>
      <protection hidden="1"/>
    </xf>
    <xf numFmtId="185" fontId="36" fillId="27" borderId="150" xfId="0" applyNumberFormat="1" applyFont="1" applyFill="1" applyBorder="1" applyAlignment="1" applyProtection="1">
      <alignment horizontal="center" vertical="center"/>
      <protection hidden="1"/>
    </xf>
    <xf numFmtId="0" fontId="144" fillId="27" borderId="62" xfId="0" applyFont="1" applyFill="1" applyBorder="1" applyAlignment="1" applyProtection="1">
      <alignment horizontal="center"/>
      <protection hidden="1"/>
    </xf>
    <xf numFmtId="185" fontId="29" fillId="0" borderId="61" xfId="0" applyNumberFormat="1" applyFont="1" applyBorder="1" applyAlignment="1" applyProtection="1">
      <alignment horizontal="center" vertical="center"/>
      <protection hidden="1"/>
    </xf>
    <xf numFmtId="177" fontId="28" fillId="0" borderId="92" xfId="0" applyNumberFormat="1" applyFont="1" applyBorder="1" applyAlignment="1" applyProtection="1">
      <alignment horizontal="center" vertical="justify"/>
      <protection hidden="1"/>
    </xf>
    <xf numFmtId="185" fontId="29" fillId="0" borderId="63" xfId="0" applyNumberFormat="1" applyFont="1" applyBorder="1" applyAlignment="1" applyProtection="1">
      <alignment horizontal="center" vertical="center"/>
      <protection hidden="1"/>
    </xf>
    <xf numFmtId="177" fontId="28" fillId="0" borderId="100" xfId="0" applyNumberFormat="1" applyFont="1" applyBorder="1" applyAlignment="1" applyProtection="1">
      <alignment horizontal="center" vertical="justify"/>
      <protection hidden="1"/>
    </xf>
    <xf numFmtId="185" fontId="29" fillId="0" borderId="67" xfId="0" applyNumberFormat="1" applyFont="1" applyBorder="1" applyAlignment="1" applyProtection="1">
      <alignment horizontal="center" vertical="center"/>
      <protection hidden="1"/>
    </xf>
    <xf numFmtId="185" fontId="36" fillId="27" borderId="151" xfId="0" applyNumberFormat="1" applyFont="1" applyFill="1" applyBorder="1" applyAlignment="1" applyProtection="1">
      <alignment horizontal="center" vertical="center"/>
      <protection hidden="1"/>
    </xf>
    <xf numFmtId="177" fontId="28" fillId="0" borderId="0" xfId="0" applyNumberFormat="1" applyFont="1" applyAlignment="1" applyProtection="1">
      <alignment horizontal="center" vertical="justify"/>
      <protection hidden="1"/>
    </xf>
    <xf numFmtId="0" fontId="33" fillId="27" borderId="26" xfId="0" applyFont="1" applyFill="1" applyBorder="1" applyAlignment="1" applyProtection="1">
      <alignment horizontal="left" vertical="center" shrinkToFit="1"/>
      <protection hidden="1"/>
    </xf>
    <xf numFmtId="0" fontId="63" fillId="37" borderId="59" xfId="0" applyFont="1" applyFill="1" applyBorder="1">
      <alignment vertical="center"/>
    </xf>
    <xf numFmtId="0" fontId="116" fillId="37" borderId="60" xfId="0" applyFont="1" applyFill="1" applyBorder="1" applyAlignment="1">
      <alignment horizontal="left" vertical="center"/>
    </xf>
    <xf numFmtId="0" fontId="116" fillId="37" borderId="60" xfId="0" applyFont="1" applyFill="1" applyBorder="1">
      <alignment vertical="center"/>
    </xf>
    <xf numFmtId="0" fontId="117" fillId="37" borderId="61" xfId="0" applyFont="1" applyFill="1" applyBorder="1">
      <alignment vertical="center"/>
    </xf>
    <xf numFmtId="0" fontId="33" fillId="0" borderId="0" xfId="0" applyFont="1">
      <alignment vertical="center"/>
    </xf>
    <xf numFmtId="0" fontId="96" fillId="0" borderId="65" xfId="0" applyFont="1" applyBorder="1">
      <alignment vertical="center"/>
    </xf>
    <xf numFmtId="0" fontId="85" fillId="0" borderId="66" xfId="0" applyFont="1" applyBorder="1" applyAlignment="1">
      <alignment horizontal="left" vertical="center"/>
    </xf>
    <xf numFmtId="0" fontId="118" fillId="0" borderId="66" xfId="0" applyFont="1" applyBorder="1">
      <alignment vertical="center"/>
    </xf>
    <xf numFmtId="0" fontId="119" fillId="0" borderId="67" xfId="0" applyFont="1" applyBorder="1">
      <alignment vertical="center"/>
    </xf>
    <xf numFmtId="186" fontId="28" fillId="0" borderId="0" xfId="0" applyNumberFormat="1" applyFont="1">
      <alignment vertical="center"/>
    </xf>
    <xf numFmtId="0" fontId="63" fillId="30" borderId="59" xfId="0" applyFont="1" applyFill="1" applyBorder="1">
      <alignment vertical="center"/>
    </xf>
    <xf numFmtId="0" fontId="32" fillId="30" borderId="60" xfId="44" applyFont="1" applyFill="1" applyBorder="1" applyAlignment="1">
      <alignment vertical="center"/>
    </xf>
    <xf numFmtId="0" fontId="32" fillId="30" borderId="60" xfId="44" applyFont="1" applyFill="1" applyBorder="1" applyAlignment="1">
      <alignment horizontal="left" vertical="center"/>
    </xf>
    <xf numFmtId="0" fontId="2" fillId="30" borderId="60" xfId="44" applyFont="1" applyFill="1" applyBorder="1" applyAlignment="1">
      <alignment vertical="center"/>
    </xf>
    <xf numFmtId="0" fontId="2" fillId="30" borderId="60" xfId="0" applyFont="1" applyFill="1" applyBorder="1" applyAlignment="1">
      <alignment horizontal="center" vertical="center"/>
    </xf>
    <xf numFmtId="0" fontId="2" fillId="30" borderId="60" xfId="0" applyFont="1" applyFill="1" applyBorder="1">
      <alignment vertical="center"/>
    </xf>
    <xf numFmtId="0" fontId="116" fillId="30" borderId="60" xfId="0" applyFont="1" applyFill="1" applyBorder="1">
      <alignment vertical="center"/>
    </xf>
    <xf numFmtId="0" fontId="32" fillId="30" borderId="61" xfId="44" applyFont="1" applyFill="1" applyBorder="1" applyAlignment="1">
      <alignment vertical="center"/>
    </xf>
    <xf numFmtId="0" fontId="63" fillId="27" borderId="62" xfId="0" applyFont="1" applyFill="1" applyBorder="1">
      <alignment vertical="center"/>
    </xf>
    <xf numFmtId="0" fontId="32" fillId="27" borderId="0" xfId="44" applyFont="1" applyFill="1" applyAlignment="1">
      <alignment vertical="center"/>
    </xf>
    <xf numFmtId="0" fontId="32" fillId="27" borderId="0" xfId="44" applyFont="1" applyFill="1" applyAlignment="1">
      <alignment horizontal="left" vertical="center"/>
    </xf>
    <xf numFmtId="0" fontId="2" fillId="27" borderId="0" xfId="44" applyFont="1" applyFill="1" applyAlignment="1">
      <alignment vertical="center"/>
    </xf>
    <xf numFmtId="0" fontId="33" fillId="27" borderId="0" xfId="0" applyFont="1" applyFill="1" applyAlignment="1">
      <alignment horizontal="center" vertical="center"/>
    </xf>
    <xf numFmtId="0" fontId="2" fillId="27" borderId="0" xfId="0" applyFont="1" applyFill="1">
      <alignment vertical="center"/>
    </xf>
    <xf numFmtId="0" fontId="116" fillId="27" borderId="0" xfId="0" applyFont="1" applyFill="1">
      <alignment vertical="center"/>
    </xf>
    <xf numFmtId="0" fontId="23" fillId="27" borderId="62" xfId="44" applyFont="1" applyFill="1" applyBorder="1" applyAlignment="1">
      <alignment vertical="center"/>
    </xf>
    <xf numFmtId="0" fontId="33" fillId="27" borderId="0" xfId="44" applyFont="1" applyFill="1" applyAlignment="1">
      <alignment horizontal="right" vertical="center"/>
    </xf>
    <xf numFmtId="0" fontId="6" fillId="27" borderId="0" xfId="44" applyFill="1" applyAlignment="1">
      <alignment vertical="center"/>
    </xf>
    <xf numFmtId="0" fontId="33" fillId="27" borderId="63" xfId="44" applyFont="1" applyFill="1" applyBorder="1" applyAlignment="1">
      <alignment horizontal="right" vertical="center"/>
    </xf>
    <xf numFmtId="0" fontId="126" fillId="27" borderId="0" xfId="44" applyFont="1" applyFill="1" applyAlignment="1">
      <alignment vertical="center"/>
    </xf>
    <xf numFmtId="0" fontId="69" fillId="27" borderId="0" xfId="44" applyFont="1" applyFill="1" applyAlignment="1">
      <alignment horizontal="left" vertical="center"/>
    </xf>
    <xf numFmtId="0" fontId="33" fillId="31" borderId="10" xfId="44" applyFont="1" applyFill="1" applyBorder="1" applyAlignment="1">
      <alignment horizontal="center" vertical="center"/>
    </xf>
    <xf numFmtId="182" fontId="33" fillId="31" borderId="10" xfId="44" applyNumberFormat="1" applyFont="1" applyFill="1" applyBorder="1" applyAlignment="1">
      <alignment horizontal="center" vertical="center"/>
    </xf>
    <xf numFmtId="0" fontId="33" fillId="31" borderId="10" xfId="44" applyFont="1" applyFill="1" applyBorder="1" applyAlignment="1">
      <alignment vertical="center"/>
    </xf>
    <xf numFmtId="0" fontId="33" fillId="27" borderId="0" xfId="44" applyFont="1" applyFill="1" applyAlignment="1">
      <alignment vertical="center"/>
    </xf>
    <xf numFmtId="0" fontId="33" fillId="31" borderId="152" xfId="44" applyFont="1" applyFill="1" applyBorder="1" applyAlignment="1">
      <alignment vertical="center"/>
    </xf>
    <xf numFmtId="0" fontId="33" fillId="27" borderId="0" xfId="44" applyFont="1" applyFill="1" applyAlignment="1">
      <alignment horizontal="left" vertical="center"/>
    </xf>
    <xf numFmtId="0" fontId="33" fillId="27" borderId="26" xfId="0" applyFont="1" applyFill="1" applyBorder="1">
      <alignment vertical="center"/>
    </xf>
    <xf numFmtId="0" fontId="6" fillId="27" borderId="63" xfId="44" applyFill="1" applyBorder="1" applyAlignment="1">
      <alignment vertical="center"/>
    </xf>
    <xf numFmtId="178" fontId="33" fillId="27" borderId="144" xfId="44" applyNumberFormat="1" applyFont="1" applyFill="1" applyBorder="1" applyAlignment="1">
      <alignment horizontal="right" vertical="center"/>
    </xf>
    <xf numFmtId="0" fontId="126" fillId="27" borderId="0" xfId="44" applyFont="1" applyFill="1" applyAlignment="1">
      <alignment horizontal="right" vertical="center"/>
    </xf>
    <xf numFmtId="178" fontId="33" fillId="27" borderId="0" xfId="44" applyNumberFormat="1" applyFont="1" applyFill="1" applyAlignment="1">
      <alignment horizontal="right" vertical="center"/>
    </xf>
    <xf numFmtId="38" fontId="33" fillId="27" borderId="10" xfId="35" applyFont="1" applyFill="1" applyBorder="1" applyAlignment="1">
      <alignment vertical="center"/>
    </xf>
    <xf numFmtId="0" fontId="33" fillId="27" borderId="10" xfId="0" applyFont="1" applyFill="1" applyBorder="1">
      <alignment vertical="center"/>
    </xf>
    <xf numFmtId="182" fontId="33" fillId="27" borderId="17" xfId="44" applyNumberFormat="1" applyFont="1" applyFill="1" applyBorder="1" applyAlignment="1">
      <alignment horizontal="center" vertical="center"/>
    </xf>
    <xf numFmtId="0" fontId="6" fillId="27" borderId="26" xfId="44" applyFill="1" applyBorder="1" applyAlignment="1">
      <alignment horizontal="left" vertical="center"/>
    </xf>
    <xf numFmtId="0" fontId="33" fillId="27" borderId="50" xfId="44" applyFont="1" applyFill="1" applyBorder="1" applyAlignment="1">
      <alignment vertical="center"/>
    </xf>
    <xf numFmtId="0" fontId="6" fillId="27" borderId="27" xfId="44" applyFill="1" applyBorder="1" applyAlignment="1">
      <alignment vertical="center"/>
    </xf>
    <xf numFmtId="179" fontId="6" fillId="27" borderId="10" xfId="44" applyNumberFormat="1" applyFill="1" applyBorder="1" applyAlignment="1">
      <alignment vertical="center"/>
    </xf>
    <xf numFmtId="179" fontId="6" fillId="27" borderId="152" xfId="44" applyNumberFormat="1" applyFill="1" applyBorder="1" applyAlignment="1">
      <alignment vertical="center"/>
    </xf>
    <xf numFmtId="179" fontId="6" fillId="27" borderId="51" xfId="44" applyNumberFormat="1" applyFill="1" applyBorder="1" applyAlignment="1">
      <alignment vertical="center"/>
    </xf>
    <xf numFmtId="179" fontId="6" fillId="27" borderId="154" xfId="44" applyNumberFormat="1" applyFill="1" applyBorder="1" applyAlignment="1">
      <alignment horizontal="right" vertical="center"/>
    </xf>
    <xf numFmtId="0" fontId="4" fillId="33" borderId="155" xfId="44" applyFont="1" applyFill="1" applyBorder="1" applyAlignment="1">
      <alignment vertical="center"/>
    </xf>
    <xf numFmtId="0" fontId="32" fillId="33" borderId="126" xfId="44" applyFont="1" applyFill="1" applyBorder="1" applyAlignment="1">
      <alignment horizontal="left" vertical="center"/>
    </xf>
    <xf numFmtId="0" fontId="32" fillId="33" borderId="126" xfId="44" applyFont="1" applyFill="1" applyBorder="1" applyAlignment="1">
      <alignment vertical="center"/>
    </xf>
    <xf numFmtId="0" fontId="2" fillId="33" borderId="156" xfId="44" applyFont="1" applyFill="1" applyBorder="1" applyAlignment="1">
      <alignment vertical="center"/>
    </xf>
    <xf numFmtId="179" fontId="4" fillId="33" borderId="136" xfId="44" applyNumberFormat="1" applyFont="1" applyFill="1" applyBorder="1" applyAlignment="1">
      <alignment horizontal="right" vertical="center"/>
    </xf>
    <xf numFmtId="0" fontId="33" fillId="27" borderId="66" xfId="44" applyFont="1" applyFill="1" applyBorder="1" applyAlignment="1">
      <alignment vertical="center"/>
    </xf>
    <xf numFmtId="179" fontId="4" fillId="33" borderId="157" xfId="44" applyNumberFormat="1" applyFont="1" applyFill="1" applyBorder="1" applyAlignment="1">
      <alignment horizontal="right" vertical="center"/>
    </xf>
    <xf numFmtId="0" fontId="148" fillId="0" borderId="0" xfId="0" applyFont="1">
      <alignment vertical="center"/>
    </xf>
    <xf numFmtId="0" fontId="149" fillId="0" borderId="0" xfId="0" applyFont="1" applyAlignment="1">
      <alignment horizontal="center" vertical="center"/>
    </xf>
    <xf numFmtId="0" fontId="6" fillId="0" borderId="0" xfId="0" applyFont="1" applyAlignment="1">
      <alignment horizontal="center" vertical="center"/>
    </xf>
    <xf numFmtId="0" fontId="33" fillId="0" borderId="126" xfId="0" applyFont="1" applyBorder="1">
      <alignment vertical="center"/>
    </xf>
    <xf numFmtId="0" fontId="33" fillId="0" borderId="126" xfId="0" applyFont="1" applyBorder="1" applyAlignment="1">
      <alignment horizontal="left" vertical="top" wrapText="1"/>
    </xf>
    <xf numFmtId="3" fontId="27" fillId="0" borderId="0" xfId="0" applyNumberFormat="1" applyFont="1" applyAlignment="1">
      <alignment horizontal="left" vertical="center"/>
    </xf>
    <xf numFmtId="0" fontId="0" fillId="31" borderId="158" xfId="0" applyFill="1" applyBorder="1" applyAlignment="1">
      <alignment horizontal="center" vertical="center"/>
    </xf>
    <xf numFmtId="0" fontId="0" fillId="31" borderId="159" xfId="0" applyFill="1" applyBorder="1" applyAlignment="1">
      <alignment horizontal="center" vertical="center"/>
    </xf>
    <xf numFmtId="0" fontId="0" fillId="31" borderId="160" xfId="0" applyFill="1" applyBorder="1">
      <alignment vertical="center"/>
    </xf>
    <xf numFmtId="0" fontId="0" fillId="27" borderId="120" xfId="0" applyFill="1" applyBorder="1" applyAlignment="1">
      <alignment horizontal="center" vertical="center"/>
    </xf>
    <xf numFmtId="0" fontId="0" fillId="27" borderId="161" xfId="0" applyFill="1" applyBorder="1" applyAlignment="1">
      <alignment horizontal="center" vertical="center" wrapText="1"/>
    </xf>
    <xf numFmtId="0" fontId="0" fillId="27" borderId="162" xfId="0" applyFill="1" applyBorder="1" applyAlignment="1">
      <alignment horizontal="center" vertical="center" wrapText="1"/>
    </xf>
    <xf numFmtId="0" fontId="0" fillId="27" borderId="116" xfId="0" applyFill="1" applyBorder="1" applyAlignment="1">
      <alignment horizontal="center" vertical="center" wrapText="1"/>
    </xf>
    <xf numFmtId="0" fontId="0" fillId="0" borderId="0" xfId="0" applyAlignment="1">
      <alignment horizontal="left" vertical="center"/>
    </xf>
    <xf numFmtId="0" fontId="48" fillId="0" borderId="0" xfId="0" applyFont="1" applyAlignment="1">
      <alignment horizontal="left" vertical="center"/>
    </xf>
    <xf numFmtId="0" fontId="28" fillId="0" borderId="0" xfId="0" applyFont="1">
      <alignment vertical="center"/>
    </xf>
    <xf numFmtId="0" fontId="33" fillId="0" borderId="57" xfId="0" applyFont="1" applyBorder="1" applyAlignment="1">
      <alignment horizontal="center" vertical="center"/>
    </xf>
    <xf numFmtId="0" fontId="33" fillId="0" borderId="57" xfId="0" applyFont="1" applyBorder="1">
      <alignment vertical="center"/>
    </xf>
    <xf numFmtId="0" fontId="48" fillId="0" borderId="0" xfId="0" applyFont="1" applyAlignment="1" applyProtection="1">
      <alignment horizontal="left" vertical="center"/>
      <protection hidden="1"/>
    </xf>
    <xf numFmtId="0" fontId="151" fillId="0" borderId="0" xfId="0" applyFont="1" applyProtection="1">
      <alignment vertical="center"/>
      <protection hidden="1"/>
    </xf>
    <xf numFmtId="0" fontId="28" fillId="41" borderId="144" xfId="0" applyFont="1" applyFill="1" applyBorder="1" applyProtection="1">
      <alignment vertical="center"/>
      <protection hidden="1"/>
    </xf>
    <xf numFmtId="0" fontId="37" fillId="0" borderId="0" xfId="0" applyFont="1" applyProtection="1">
      <alignment vertical="center"/>
      <protection hidden="1"/>
    </xf>
    <xf numFmtId="0" fontId="26" fillId="0" borderId="0" xfId="0" applyFont="1" applyProtection="1">
      <alignment vertical="center"/>
      <protection hidden="1"/>
    </xf>
    <xf numFmtId="0" fontId="45" fillId="0" borderId="0" xfId="0" applyFont="1" applyProtection="1">
      <alignment vertical="center"/>
      <protection hidden="1"/>
    </xf>
    <xf numFmtId="0" fontId="152" fillId="0" borderId="0" xfId="0" applyFont="1" applyProtection="1">
      <alignment vertical="center"/>
      <protection hidden="1"/>
    </xf>
    <xf numFmtId="0" fontId="45" fillId="0" borderId="0" xfId="0" applyFont="1" applyAlignment="1" applyProtection="1">
      <alignment horizontal="left" vertical="center"/>
      <protection hidden="1"/>
    </xf>
    <xf numFmtId="0" fontId="27" fillId="0" borderId="0" xfId="0" applyFont="1" applyAlignment="1">
      <alignment horizontal="left" vertical="center"/>
    </xf>
    <xf numFmtId="0" fontId="153" fillId="0" borderId="0" xfId="0" applyFont="1" applyProtection="1">
      <alignment vertical="center"/>
      <protection hidden="1"/>
    </xf>
    <xf numFmtId="0" fontId="23" fillId="0" borderId="0" xfId="0" applyFont="1" applyAlignment="1" applyProtection="1">
      <alignment horizontal="right" vertical="center"/>
      <protection hidden="1"/>
    </xf>
    <xf numFmtId="0" fontId="26" fillId="0" borderId="0" xfId="0" applyFont="1" applyAlignment="1" applyProtection="1">
      <alignment horizontal="right" vertical="center"/>
      <protection hidden="1"/>
    </xf>
    <xf numFmtId="179" fontId="28" fillId="31" borderId="52" xfId="0" applyNumberFormat="1" applyFont="1" applyFill="1" applyBorder="1" applyAlignment="1" applyProtection="1">
      <alignment horizontal="left" vertical="center"/>
      <protection hidden="1"/>
    </xf>
    <xf numFmtId="179" fontId="28" fillId="31" borderId="50" xfId="0" applyNumberFormat="1" applyFont="1" applyFill="1" applyBorder="1" applyAlignment="1" applyProtection="1">
      <alignment horizontal="left" vertical="center"/>
      <protection hidden="1"/>
    </xf>
    <xf numFmtId="179" fontId="28" fillId="31" borderId="50" xfId="0" applyNumberFormat="1" applyFont="1" applyFill="1" applyBorder="1" applyAlignment="1" applyProtection="1">
      <alignment horizontal="centerContinuous" vertical="center"/>
      <protection hidden="1"/>
    </xf>
    <xf numFmtId="0" fontId="37" fillId="31" borderId="50" xfId="0" applyFont="1" applyFill="1" applyBorder="1" applyAlignment="1" applyProtection="1">
      <alignment horizontal="right" vertical="center"/>
      <protection hidden="1"/>
    </xf>
    <xf numFmtId="2" fontId="28" fillId="31" borderId="50" xfId="0" applyNumberFormat="1" applyFont="1" applyFill="1" applyBorder="1" applyAlignment="1" applyProtection="1">
      <alignment horizontal="left" vertical="center"/>
      <protection hidden="1"/>
    </xf>
    <xf numFmtId="179" fontId="28" fillId="31" borderId="27" xfId="0" applyNumberFormat="1" applyFont="1" applyFill="1" applyBorder="1" applyAlignment="1" applyProtection="1">
      <alignment horizontal="left" vertical="center"/>
      <protection hidden="1"/>
    </xf>
    <xf numFmtId="2" fontId="28" fillId="31" borderId="27" xfId="0" applyNumberFormat="1" applyFont="1" applyFill="1" applyBorder="1" applyAlignment="1" applyProtection="1">
      <alignment horizontal="left" vertical="center"/>
      <protection hidden="1"/>
    </xf>
    <xf numFmtId="203" fontId="26" fillId="31" borderId="144" xfId="0" applyNumberFormat="1" applyFont="1" applyFill="1" applyBorder="1" applyAlignment="1" applyProtection="1">
      <alignment horizontal="center" vertical="center"/>
      <protection locked="0" hidden="1"/>
    </xf>
    <xf numFmtId="181" fontId="28" fillId="31" borderId="56" xfId="0" applyNumberFormat="1" applyFont="1" applyFill="1" applyBorder="1" applyAlignment="1" applyProtection="1">
      <alignment horizontal="centerContinuous" vertical="center" wrapText="1"/>
      <protection hidden="1"/>
    </xf>
    <xf numFmtId="181" fontId="28" fillId="31" borderId="55" xfId="0" applyNumberFormat="1" applyFont="1" applyFill="1" applyBorder="1" applyAlignment="1" applyProtection="1">
      <alignment horizontal="center" vertical="center"/>
      <protection hidden="1"/>
    </xf>
    <xf numFmtId="181" fontId="28" fillId="31" borderId="57" xfId="0" applyNumberFormat="1" applyFont="1" applyFill="1" applyBorder="1" applyAlignment="1" applyProtection="1">
      <alignment horizontal="center" vertical="center"/>
      <protection hidden="1"/>
    </xf>
    <xf numFmtId="181" fontId="28" fillId="31" borderId="80" xfId="0" applyNumberFormat="1" applyFont="1" applyFill="1" applyBorder="1" applyAlignment="1" applyProtection="1">
      <alignment horizontal="centerContinuous" vertical="center"/>
      <protection hidden="1"/>
    </xf>
    <xf numFmtId="181" fontId="28" fillId="31" borderId="50" xfId="0" applyNumberFormat="1" applyFont="1" applyFill="1" applyBorder="1" applyAlignment="1" applyProtection="1">
      <alignment horizontal="centerContinuous" vertical="center"/>
      <protection hidden="1"/>
    </xf>
    <xf numFmtId="181" fontId="28" fillId="31" borderId="27" xfId="0" applyNumberFormat="1" applyFont="1" applyFill="1" applyBorder="1" applyAlignment="1" applyProtection="1">
      <alignment horizontal="centerContinuous" vertical="center"/>
      <protection hidden="1"/>
    </xf>
    <xf numFmtId="181" fontId="26" fillId="27" borderId="163" xfId="0" applyNumberFormat="1" applyFont="1" applyFill="1" applyBorder="1" applyAlignment="1" applyProtection="1">
      <alignment horizontal="center" vertical="center"/>
      <protection hidden="1"/>
    </xf>
    <xf numFmtId="181" fontId="28" fillId="27" borderId="164" xfId="0" applyNumberFormat="1" applyFont="1" applyFill="1" applyBorder="1" applyAlignment="1" applyProtection="1">
      <alignment horizontal="left" vertical="center" wrapText="1"/>
      <protection hidden="1"/>
    </xf>
    <xf numFmtId="181" fontId="28" fillId="27" borderId="164" xfId="0" applyNumberFormat="1" applyFont="1" applyFill="1" applyBorder="1" applyAlignment="1" applyProtection="1">
      <alignment horizontal="left" vertical="center"/>
      <protection hidden="1"/>
    </xf>
    <xf numFmtId="181" fontId="28" fillId="27" borderId="165" xfId="0" applyNumberFormat="1" applyFont="1" applyFill="1" applyBorder="1" applyAlignment="1" applyProtection="1">
      <alignment horizontal="left" vertical="center"/>
      <protection hidden="1"/>
    </xf>
    <xf numFmtId="181" fontId="28" fillId="27" borderId="166" xfId="0" applyNumberFormat="1" applyFont="1" applyFill="1" applyBorder="1" applyAlignment="1" applyProtection="1">
      <alignment horizontal="left" vertical="center"/>
      <protection hidden="1"/>
    </xf>
    <xf numFmtId="181" fontId="26" fillId="27" borderId="167" xfId="0" applyNumberFormat="1" applyFont="1" applyFill="1" applyBorder="1" applyAlignment="1" applyProtection="1">
      <alignment horizontal="center" vertical="center"/>
      <protection hidden="1"/>
    </xf>
    <xf numFmtId="181" fontId="28" fillId="27" borderId="11" xfId="0" applyNumberFormat="1" applyFont="1" applyFill="1" applyBorder="1" applyAlignment="1" applyProtection="1">
      <alignment vertical="center" shrinkToFit="1"/>
      <protection hidden="1"/>
    </xf>
    <xf numFmtId="181" fontId="28" fillId="27" borderId="14" xfId="0" applyNumberFormat="1" applyFont="1" applyFill="1" applyBorder="1" applyAlignment="1" applyProtection="1">
      <alignment vertical="center" shrinkToFit="1"/>
      <protection hidden="1"/>
    </xf>
    <xf numFmtId="181" fontId="28" fillId="27" borderId="12" xfId="0" applyNumberFormat="1" applyFont="1" applyFill="1" applyBorder="1" applyAlignment="1" applyProtection="1">
      <alignment horizontal="left" vertical="center" wrapText="1"/>
      <protection hidden="1"/>
    </xf>
    <xf numFmtId="181" fontId="28" fillId="27" borderId="12" xfId="0" applyNumberFormat="1" applyFont="1" applyFill="1" applyBorder="1" applyAlignment="1" applyProtection="1">
      <alignment horizontal="left" vertical="center"/>
      <protection hidden="1"/>
    </xf>
    <xf numFmtId="181" fontId="28" fillId="27" borderId="13" xfId="0" applyNumberFormat="1" applyFont="1" applyFill="1" applyBorder="1" applyAlignment="1" applyProtection="1">
      <alignment horizontal="left" vertical="center"/>
      <protection hidden="1"/>
    </xf>
    <xf numFmtId="181" fontId="28" fillId="27" borderId="14" xfId="0" applyNumberFormat="1" applyFont="1" applyFill="1" applyBorder="1" applyAlignment="1" applyProtection="1">
      <alignment horizontal="left" vertical="center"/>
      <protection hidden="1"/>
    </xf>
    <xf numFmtId="181" fontId="28" fillId="27" borderId="11" xfId="0" applyNumberFormat="1" applyFont="1" applyFill="1" applyBorder="1" applyAlignment="1" applyProtection="1">
      <alignment horizontal="left" vertical="center" wrapText="1"/>
      <protection hidden="1"/>
    </xf>
    <xf numFmtId="181" fontId="28" fillId="27" borderId="12" xfId="0" applyNumberFormat="1" applyFont="1" applyFill="1" applyBorder="1" applyAlignment="1" applyProtection="1">
      <alignment vertical="center" wrapText="1"/>
      <protection hidden="1"/>
    </xf>
    <xf numFmtId="181" fontId="28" fillId="27" borderId="11" xfId="0" applyNumberFormat="1" applyFont="1" applyFill="1" applyBorder="1" applyAlignment="1" applyProtection="1">
      <alignment vertical="center" wrapText="1"/>
      <protection hidden="1"/>
    </xf>
    <xf numFmtId="181" fontId="28" fillId="27" borderId="14" xfId="0" applyNumberFormat="1" applyFont="1" applyFill="1" applyBorder="1" applyAlignment="1" applyProtection="1">
      <alignment vertical="center" wrapText="1"/>
      <protection hidden="1"/>
    </xf>
    <xf numFmtId="181" fontId="26" fillId="27" borderId="168" xfId="0" applyNumberFormat="1" applyFont="1" applyFill="1" applyBorder="1" applyAlignment="1" applyProtection="1">
      <alignment horizontal="center" vertical="center"/>
      <protection hidden="1"/>
    </xf>
    <xf numFmtId="181" fontId="28" fillId="27" borderId="169" xfId="0" applyNumberFormat="1" applyFont="1" applyFill="1" applyBorder="1" applyAlignment="1" applyProtection="1">
      <alignment vertical="center" wrapText="1"/>
      <protection hidden="1"/>
    </xf>
    <xf numFmtId="181" fontId="28" fillId="27" borderId="168" xfId="0" applyNumberFormat="1" applyFont="1" applyFill="1" applyBorder="1" applyAlignment="1" applyProtection="1">
      <alignment vertical="center" wrapText="1"/>
      <protection hidden="1"/>
    </xf>
    <xf numFmtId="181" fontId="28" fillId="27" borderId="170" xfId="0" applyNumberFormat="1" applyFont="1" applyFill="1" applyBorder="1" applyAlignment="1" applyProtection="1">
      <alignment vertical="center" wrapText="1"/>
      <protection hidden="1"/>
    </xf>
    <xf numFmtId="181" fontId="28" fillId="27" borderId="169" xfId="0" applyNumberFormat="1" applyFont="1" applyFill="1" applyBorder="1" applyAlignment="1" applyProtection="1">
      <alignment horizontal="left" vertical="center"/>
      <protection hidden="1"/>
    </xf>
    <xf numFmtId="181" fontId="28" fillId="27" borderId="171" xfId="0" applyNumberFormat="1" applyFont="1" applyFill="1" applyBorder="1" applyAlignment="1" applyProtection="1">
      <alignment horizontal="left" vertical="center"/>
      <protection hidden="1"/>
    </xf>
    <xf numFmtId="181" fontId="28" fillId="27" borderId="170" xfId="0" applyNumberFormat="1" applyFont="1" applyFill="1" applyBorder="1" applyAlignment="1" applyProtection="1">
      <alignment horizontal="left" vertical="center"/>
      <protection hidden="1"/>
    </xf>
    <xf numFmtId="202" fontId="28" fillId="0" borderId="10" xfId="35" applyNumberFormat="1" applyFont="1" applyFill="1" applyBorder="1" applyAlignment="1" applyProtection="1">
      <alignment horizontal="center" vertical="center"/>
      <protection hidden="1"/>
    </xf>
    <xf numFmtId="0" fontId="26" fillId="0" borderId="0" xfId="0" applyFont="1">
      <alignment vertical="center"/>
    </xf>
    <xf numFmtId="0" fontId="28" fillId="38" borderId="0" xfId="0" applyFont="1" applyFill="1">
      <alignment vertical="center"/>
    </xf>
    <xf numFmtId="0" fontId="28" fillId="27" borderId="10" xfId="0" applyFont="1" applyFill="1" applyBorder="1">
      <alignment vertical="center"/>
    </xf>
    <xf numFmtId="0" fontId="28" fillId="27" borderId="10" xfId="0" quotePrefix="1" applyFont="1" applyFill="1" applyBorder="1" applyAlignment="1">
      <alignment horizontal="center" vertical="center"/>
    </xf>
    <xf numFmtId="0" fontId="28" fillId="27" borderId="51" xfId="0" applyFont="1" applyFill="1" applyBorder="1" applyAlignment="1">
      <alignment horizontal="center" vertical="center"/>
    </xf>
    <xf numFmtId="0" fontId="28" fillId="27" borderId="26" xfId="0" applyFont="1" applyFill="1" applyBorder="1">
      <alignment vertical="center"/>
    </xf>
    <xf numFmtId="0" fontId="37" fillId="27" borderId="26" xfId="0" applyFont="1" applyFill="1" applyBorder="1" applyAlignment="1">
      <alignment horizontal="right" vertical="center"/>
    </xf>
    <xf numFmtId="0" fontId="37" fillId="27" borderId="50" xfId="0" applyFont="1" applyFill="1" applyBorder="1">
      <alignment vertical="center"/>
    </xf>
    <xf numFmtId="0" fontId="37" fillId="27" borderId="50" xfId="0" applyFont="1" applyFill="1" applyBorder="1" applyAlignment="1">
      <alignment horizontal="center" vertical="center"/>
    </xf>
    <xf numFmtId="0" fontId="37" fillId="27" borderId="27" xfId="0" applyFont="1" applyFill="1" applyBorder="1">
      <alignment vertical="center"/>
    </xf>
    <xf numFmtId="0" fontId="37" fillId="27" borderId="52" xfId="0" applyFont="1" applyFill="1" applyBorder="1">
      <alignment vertical="center"/>
    </xf>
    <xf numFmtId="0" fontId="37" fillId="27" borderId="53" xfId="0" applyFont="1" applyFill="1" applyBorder="1">
      <alignment vertical="center"/>
    </xf>
    <xf numFmtId="0" fontId="37" fillId="27" borderId="53" xfId="0" applyFont="1" applyFill="1" applyBorder="1" applyAlignment="1">
      <alignment vertical="top" wrapText="1"/>
    </xf>
    <xf numFmtId="0" fontId="37" fillId="27" borderId="53" xfId="0" applyFont="1" applyFill="1" applyBorder="1" applyAlignment="1">
      <alignment horizontal="center" vertical="top"/>
    </xf>
    <xf numFmtId="0" fontId="37" fillId="27" borderId="54" xfId="0" applyFont="1" applyFill="1" applyBorder="1" applyAlignment="1">
      <alignment horizontal="right" vertical="top" wrapText="1"/>
    </xf>
    <xf numFmtId="0" fontId="37" fillId="27" borderId="56" xfId="0" applyFont="1" applyFill="1" applyBorder="1">
      <alignment vertical="center"/>
    </xf>
    <xf numFmtId="0" fontId="37" fillId="27" borderId="57" xfId="0" applyFont="1" applyFill="1" applyBorder="1">
      <alignment vertical="center"/>
    </xf>
    <xf numFmtId="0" fontId="37" fillId="27" borderId="57" xfId="0" applyFont="1" applyFill="1" applyBorder="1" applyAlignment="1">
      <alignment horizontal="left" vertical="center"/>
    </xf>
    <xf numFmtId="0" fontId="37" fillId="27" borderId="57" xfId="0" applyFont="1" applyFill="1" applyBorder="1" applyAlignment="1">
      <alignment vertical="center" wrapText="1"/>
    </xf>
    <xf numFmtId="0" fontId="37" fillId="27" borderId="57" xfId="0" applyFont="1" applyFill="1" applyBorder="1" applyAlignment="1">
      <alignment horizontal="center" vertical="center"/>
    </xf>
    <xf numFmtId="0" fontId="37" fillId="27" borderId="58" xfId="0" applyFont="1" applyFill="1" applyBorder="1" applyAlignment="1">
      <alignment vertical="center" wrapText="1"/>
    </xf>
    <xf numFmtId="0" fontId="28" fillId="27" borderId="51" xfId="0" applyFont="1" applyFill="1" applyBorder="1">
      <alignment vertical="center"/>
    </xf>
    <xf numFmtId="0" fontId="37" fillId="27" borderId="54" xfId="0" applyFont="1" applyFill="1" applyBorder="1">
      <alignment vertical="center"/>
    </xf>
    <xf numFmtId="0" fontId="28" fillId="27" borderId="15" xfId="0" applyFont="1" applyFill="1" applyBorder="1">
      <alignment vertical="center"/>
    </xf>
    <xf numFmtId="0" fontId="37" fillId="27" borderId="0" xfId="0" applyFont="1" applyFill="1">
      <alignment vertical="center"/>
    </xf>
    <xf numFmtId="0" fontId="37" fillId="27" borderId="0" xfId="0" applyFont="1" applyFill="1" applyAlignment="1">
      <alignment horizontal="left" vertical="center"/>
    </xf>
    <xf numFmtId="0" fontId="37" fillId="27" borderId="0" xfId="0" applyFont="1" applyFill="1" applyAlignment="1">
      <alignment horizontal="center" vertical="center"/>
    </xf>
    <xf numFmtId="0" fontId="37" fillId="27" borderId="17" xfId="0" applyFont="1" applyFill="1" applyBorder="1">
      <alignment vertical="center"/>
    </xf>
    <xf numFmtId="0" fontId="37" fillId="27" borderId="17" xfId="0" applyFont="1" applyFill="1" applyBorder="1" applyAlignment="1">
      <alignment horizontal="center" vertical="center"/>
    </xf>
    <xf numFmtId="0" fontId="37" fillId="27" borderId="0" xfId="0" applyFont="1" applyFill="1" applyAlignment="1">
      <alignment vertical="top" wrapText="1"/>
    </xf>
    <xf numFmtId="0" fontId="37" fillId="27" borderId="57" xfId="0" applyFont="1" applyFill="1" applyBorder="1" applyAlignment="1">
      <alignment horizontal="center" vertical="top" wrapText="1"/>
    </xf>
    <xf numFmtId="0" fontId="37" fillId="27" borderId="58" xfId="0" applyFont="1" applyFill="1" applyBorder="1">
      <alignment vertical="center"/>
    </xf>
    <xf numFmtId="0" fontId="37" fillId="38" borderId="0" xfId="0" applyFont="1" applyFill="1">
      <alignment vertical="center"/>
    </xf>
    <xf numFmtId="0" fontId="37" fillId="38" borderId="0" xfId="0" applyFont="1" applyFill="1" applyAlignment="1">
      <alignment horizontal="right" vertical="center"/>
    </xf>
    <xf numFmtId="0" fontId="28" fillId="38" borderId="0" xfId="0" applyFont="1" applyFill="1" applyProtection="1">
      <alignment vertical="center"/>
      <protection hidden="1"/>
    </xf>
    <xf numFmtId="0" fontId="153" fillId="38" borderId="0" xfId="0" applyFont="1" applyFill="1" applyProtection="1">
      <alignment vertical="center"/>
      <protection hidden="1"/>
    </xf>
    <xf numFmtId="0" fontId="26" fillId="38" borderId="0" xfId="0" applyFont="1" applyFill="1" applyAlignment="1" applyProtection="1">
      <alignment horizontal="right" vertical="center"/>
      <protection hidden="1"/>
    </xf>
    <xf numFmtId="0" fontId="152" fillId="38" borderId="0" xfId="0" applyFont="1" applyFill="1">
      <alignment vertical="center"/>
    </xf>
    <xf numFmtId="0" fontId="23" fillId="38" borderId="0" xfId="0" applyFont="1" applyFill="1" applyAlignment="1" applyProtection="1">
      <alignment horizontal="right" vertical="center"/>
      <protection hidden="1"/>
    </xf>
    <xf numFmtId="209" fontId="26" fillId="31" borderId="144" xfId="0" applyNumberFormat="1" applyFont="1" applyFill="1" applyBorder="1" applyAlignment="1" applyProtection="1">
      <alignment horizontal="center" vertical="center"/>
      <protection hidden="1"/>
    </xf>
    <xf numFmtId="181" fontId="28" fillId="31" borderId="50" xfId="0" applyNumberFormat="1" applyFont="1" applyFill="1" applyBorder="1" applyAlignment="1" applyProtection="1">
      <alignment horizontal="center" vertical="center"/>
      <protection hidden="1"/>
    </xf>
    <xf numFmtId="181" fontId="28" fillId="31" borderId="26" xfId="0" applyNumberFormat="1" applyFont="1" applyFill="1" applyBorder="1" applyProtection="1">
      <alignment vertical="center"/>
      <protection hidden="1"/>
    </xf>
    <xf numFmtId="181" fontId="28" fillId="27" borderId="164" xfId="0" applyNumberFormat="1" applyFont="1" applyFill="1" applyBorder="1" applyAlignment="1" applyProtection="1">
      <alignment vertical="center" wrapText="1"/>
      <protection hidden="1"/>
    </xf>
    <xf numFmtId="0" fontId="28" fillId="0" borderId="0" xfId="0" applyFont="1" applyAlignment="1" applyProtection="1">
      <alignment horizontal="left"/>
      <protection hidden="1"/>
    </xf>
    <xf numFmtId="0" fontId="28" fillId="38" borderId="0" xfId="0" applyFont="1" applyFill="1" applyAlignment="1" applyProtection="1">
      <protection hidden="1"/>
    </xf>
    <xf numFmtId="0" fontId="28" fillId="38" borderId="0" xfId="0" applyFont="1" applyFill="1" applyAlignment="1"/>
    <xf numFmtId="0" fontId="28" fillId="31" borderId="144" xfId="0" applyFont="1" applyFill="1" applyBorder="1" applyAlignment="1" applyProtection="1">
      <alignment horizontal="center"/>
      <protection locked="0"/>
    </xf>
    <xf numFmtId="0" fontId="28" fillId="38" borderId="0" xfId="0" applyFont="1" applyFill="1" applyAlignment="1" applyProtection="1">
      <alignment horizontal="right"/>
      <protection hidden="1"/>
    </xf>
    <xf numFmtId="0" fontId="48" fillId="0" borderId="0" xfId="0" applyFont="1" applyAlignment="1" applyProtection="1">
      <alignment horizontal="left"/>
      <protection hidden="1"/>
    </xf>
    <xf numFmtId="0" fontId="48" fillId="38" borderId="0" xfId="0" applyFont="1" applyFill="1" applyAlignment="1" applyProtection="1">
      <alignment horizontal="left"/>
      <protection hidden="1"/>
    </xf>
    <xf numFmtId="0" fontId="37" fillId="31" borderId="10" xfId="0" applyFont="1" applyFill="1" applyBorder="1" applyAlignment="1">
      <alignment horizontal="center"/>
    </xf>
    <xf numFmtId="0" fontId="28" fillId="31" borderId="10" xfId="0" applyFont="1" applyFill="1" applyBorder="1" applyAlignment="1">
      <alignment horizontal="center"/>
    </xf>
    <xf numFmtId="0" fontId="28" fillId="38" borderId="0" xfId="0" applyFont="1" applyFill="1" applyAlignment="1">
      <alignment horizontal="right" vertical="center"/>
    </xf>
    <xf numFmtId="0" fontId="28" fillId="27" borderId="10" xfId="0" applyFont="1" applyFill="1" applyBorder="1" applyAlignment="1" applyProtection="1">
      <alignment horizontal="left" vertical="center"/>
      <protection locked="0"/>
    </xf>
    <xf numFmtId="209" fontId="28" fillId="31" borderId="55" xfId="0" applyNumberFormat="1" applyFont="1" applyFill="1" applyBorder="1" applyAlignment="1" applyProtection="1">
      <alignment horizontal="center" vertical="center"/>
      <protection hidden="1"/>
    </xf>
    <xf numFmtId="0" fontId="28" fillId="31" borderId="50" xfId="0" applyFont="1" applyFill="1" applyBorder="1" applyAlignment="1" applyProtection="1">
      <alignment horizontal="centerContinuous" vertical="center"/>
      <protection hidden="1"/>
    </xf>
    <xf numFmtId="0" fontId="33" fillId="31" borderId="26" xfId="0" applyFont="1" applyFill="1" applyBorder="1" applyAlignment="1" applyProtection="1">
      <alignment horizontal="centerContinuous" vertical="center"/>
      <protection hidden="1"/>
    </xf>
    <xf numFmtId="0" fontId="33" fillId="31" borderId="27" xfId="0" applyFont="1" applyFill="1" applyBorder="1" applyAlignment="1" applyProtection="1">
      <alignment horizontal="centerContinuous" vertical="center"/>
      <protection hidden="1"/>
    </xf>
    <xf numFmtId="179" fontId="28" fillId="31" borderId="26" xfId="0" applyNumberFormat="1" applyFont="1" applyFill="1" applyBorder="1" applyAlignment="1" applyProtection="1">
      <alignment horizontal="right" vertical="center"/>
      <protection hidden="1"/>
    </xf>
    <xf numFmtId="193" fontId="28" fillId="31" borderId="27" xfId="0" applyNumberFormat="1" applyFont="1" applyFill="1" applyBorder="1" applyAlignment="1" applyProtection="1">
      <alignment horizontal="right" vertical="center"/>
      <protection hidden="1"/>
    </xf>
    <xf numFmtId="0" fontId="28" fillId="31" borderId="26" xfId="0" applyFont="1" applyFill="1" applyBorder="1" applyAlignment="1">
      <alignment horizontal="center" vertical="center"/>
    </xf>
    <xf numFmtId="193" fontId="28" fillId="31" borderId="27" xfId="0" applyNumberFormat="1" applyFont="1" applyFill="1" applyBorder="1" applyProtection="1">
      <alignment vertical="center"/>
      <protection hidden="1"/>
    </xf>
    <xf numFmtId="9" fontId="28" fillId="27" borderId="172" xfId="0" applyNumberFormat="1" applyFont="1" applyFill="1" applyBorder="1" applyAlignment="1" applyProtection="1">
      <alignment horizontal="center" vertical="center"/>
      <protection locked="0" hidden="1"/>
    </xf>
    <xf numFmtId="9" fontId="28" fillId="27" borderId="173" xfId="0" applyNumberFormat="1" applyFont="1" applyFill="1" applyBorder="1" applyAlignment="1" applyProtection="1">
      <alignment horizontal="center" vertical="center"/>
      <protection locked="0" hidden="1"/>
    </xf>
    <xf numFmtId="0" fontId="37" fillId="27" borderId="80" xfId="0" applyFont="1" applyFill="1" applyBorder="1" applyAlignment="1" applyProtection="1">
      <alignment horizontal="left" vertical="center"/>
      <protection hidden="1"/>
    </xf>
    <xf numFmtId="0" fontId="6" fillId="27" borderId="27" xfId="0" applyFont="1" applyFill="1" applyBorder="1" applyAlignment="1">
      <alignment horizontal="left" vertical="center" wrapText="1"/>
    </xf>
    <xf numFmtId="0" fontId="37" fillId="27" borderId="26" xfId="0" applyFont="1" applyFill="1" applyBorder="1" applyAlignment="1" applyProtection="1">
      <alignment horizontal="left" vertical="center"/>
      <protection hidden="1"/>
    </xf>
    <xf numFmtId="179" fontId="28" fillId="31" borderId="27" xfId="0" applyNumberFormat="1" applyFont="1" applyFill="1" applyBorder="1" applyAlignment="1" applyProtection="1">
      <alignment horizontal="centerContinuous" vertical="center"/>
      <protection hidden="1"/>
    </xf>
    <xf numFmtId="0" fontId="28" fillId="31" borderId="27" xfId="0" applyFont="1" applyFill="1" applyBorder="1" applyAlignment="1" applyProtection="1">
      <alignment horizontal="centerContinuous" vertical="center"/>
      <protection hidden="1"/>
    </xf>
    <xf numFmtId="0" fontId="33" fillId="31" borderId="56" xfId="0" applyFont="1" applyFill="1" applyBorder="1" applyAlignment="1" applyProtection="1">
      <alignment horizontal="centerContinuous" vertical="center"/>
      <protection hidden="1"/>
    </xf>
    <xf numFmtId="9" fontId="28" fillId="27" borderId="174" xfId="0" applyNumberFormat="1" applyFont="1" applyFill="1" applyBorder="1" applyAlignment="1" applyProtection="1">
      <alignment horizontal="center" vertical="center"/>
      <protection locked="0" hidden="1"/>
    </xf>
    <xf numFmtId="0" fontId="26" fillId="0" borderId="55" xfId="0" applyFont="1" applyBorder="1" applyAlignment="1" applyProtection="1">
      <alignment horizontal="center" vertical="center"/>
      <protection hidden="1"/>
    </xf>
    <xf numFmtId="0" fontId="26" fillId="38" borderId="55" xfId="0" applyFont="1" applyFill="1" applyBorder="1" applyAlignment="1" applyProtection="1">
      <alignment horizontal="center" vertical="center"/>
      <protection hidden="1"/>
    </xf>
    <xf numFmtId="0" fontId="6" fillId="38" borderId="0" xfId="0" applyFont="1" applyFill="1" applyAlignment="1">
      <alignment horizontal="left" vertical="center" wrapText="1"/>
    </xf>
    <xf numFmtId="0" fontId="26" fillId="38" borderId="0" xfId="0" applyFont="1" applyFill="1" applyAlignment="1" applyProtection="1">
      <protection hidden="1"/>
    </xf>
    <xf numFmtId="0" fontId="28" fillId="0" borderId="0" xfId="0" applyFont="1" applyAlignment="1"/>
    <xf numFmtId="181" fontId="28" fillId="31" borderId="50" xfId="0" applyNumberFormat="1" applyFont="1" applyFill="1" applyBorder="1" applyAlignment="1" applyProtection="1">
      <alignment horizontal="right" vertical="center"/>
      <protection hidden="1"/>
    </xf>
    <xf numFmtId="0" fontId="48" fillId="38" borderId="0" xfId="0" applyFont="1" applyFill="1" applyAlignment="1" applyProtection="1">
      <alignment horizontal="left" vertical="center"/>
      <protection hidden="1"/>
    </xf>
    <xf numFmtId="0" fontId="26" fillId="0" borderId="0" xfId="0" applyFont="1" applyAlignment="1" applyProtection="1">
      <alignment horizontal="center" vertical="center"/>
      <protection hidden="1"/>
    </xf>
    <xf numFmtId="0" fontId="152" fillId="38" borderId="0" xfId="0" applyFont="1" applyFill="1" applyProtection="1">
      <alignment vertical="center"/>
      <protection hidden="1"/>
    </xf>
    <xf numFmtId="0" fontId="45" fillId="38" borderId="0" xfId="0" applyFont="1" applyFill="1" applyProtection="1">
      <alignment vertical="center"/>
      <protection hidden="1"/>
    </xf>
    <xf numFmtId="181" fontId="28" fillId="31" borderId="26" xfId="0" applyNumberFormat="1" applyFont="1" applyFill="1" applyBorder="1" applyAlignment="1" applyProtection="1">
      <alignment horizontal="centerContinuous" vertical="center"/>
      <protection hidden="1"/>
    </xf>
    <xf numFmtId="0" fontId="28" fillId="27" borderId="10" xfId="0" applyFont="1" applyFill="1" applyBorder="1" applyProtection="1">
      <alignment vertical="center"/>
      <protection hidden="1"/>
    </xf>
    <xf numFmtId="0" fontId="28" fillId="27" borderId="51" xfId="0" applyFont="1" applyFill="1" applyBorder="1" applyProtection="1">
      <alignment vertical="center"/>
      <protection hidden="1"/>
    </xf>
    <xf numFmtId="181" fontId="26" fillId="27" borderId="16" xfId="0" applyNumberFormat="1" applyFont="1" applyFill="1" applyBorder="1" applyAlignment="1" applyProtection="1">
      <alignment horizontal="center" vertical="center"/>
      <protection hidden="1"/>
    </xf>
    <xf numFmtId="0" fontId="28" fillId="38" borderId="0" xfId="0" applyFont="1" applyFill="1" applyAlignment="1" applyProtection="1">
      <alignment horizontal="left" vertical="center"/>
      <protection hidden="1"/>
    </xf>
    <xf numFmtId="181" fontId="28" fillId="31" borderId="58" xfId="0" applyNumberFormat="1" applyFont="1" applyFill="1" applyBorder="1" applyAlignment="1" applyProtection="1">
      <alignment horizontal="centerContinuous" vertical="center"/>
      <protection hidden="1"/>
    </xf>
    <xf numFmtId="180" fontId="28" fillId="31" borderId="50" xfId="0" applyNumberFormat="1" applyFont="1" applyFill="1" applyBorder="1" applyAlignment="1" applyProtection="1">
      <alignment horizontal="centerContinuous" vertical="center"/>
      <protection hidden="1"/>
    </xf>
    <xf numFmtId="180" fontId="28" fillId="31" borderId="27" xfId="0" applyNumberFormat="1" applyFont="1" applyFill="1" applyBorder="1" applyAlignment="1" applyProtection="1">
      <alignment horizontal="centerContinuous" vertical="center"/>
      <protection hidden="1"/>
    </xf>
    <xf numFmtId="181" fontId="28" fillId="27" borderId="175" xfId="0" applyNumberFormat="1" applyFont="1" applyFill="1" applyBorder="1" applyAlignment="1" applyProtection="1">
      <alignment horizontal="left" vertical="center"/>
      <protection hidden="1"/>
    </xf>
    <xf numFmtId="181" fontId="28" fillId="27" borderId="87" xfId="0" applyNumberFormat="1" applyFont="1" applyFill="1" applyBorder="1" applyAlignment="1" applyProtection="1">
      <alignment horizontal="left" vertical="center"/>
      <protection hidden="1"/>
    </xf>
    <xf numFmtId="181" fontId="28" fillId="27" borderId="14" xfId="0" applyNumberFormat="1" applyFont="1" applyFill="1" applyBorder="1" applyAlignment="1" applyProtection="1">
      <alignment horizontal="left" vertical="center" wrapText="1"/>
      <protection hidden="1"/>
    </xf>
    <xf numFmtId="181" fontId="28" fillId="27" borderId="13" xfId="0" applyNumberFormat="1" applyFont="1" applyFill="1" applyBorder="1" applyAlignment="1" applyProtection="1">
      <alignment horizontal="left" vertical="center" wrapText="1"/>
      <protection hidden="1"/>
    </xf>
    <xf numFmtId="181" fontId="26" fillId="0" borderId="0" xfId="0" applyNumberFormat="1" applyFont="1" applyProtection="1">
      <alignment vertical="center"/>
      <protection hidden="1"/>
    </xf>
    <xf numFmtId="181" fontId="28" fillId="0" borderId="0" xfId="0" applyNumberFormat="1" applyFont="1" applyAlignment="1" applyProtection="1">
      <alignment horizontal="center" vertical="center"/>
      <protection hidden="1"/>
    </xf>
    <xf numFmtId="0" fontId="28" fillId="38" borderId="0" xfId="0" applyFont="1" applyFill="1" applyAlignment="1" applyProtection="1">
      <alignment vertical="top"/>
      <protection hidden="1"/>
    </xf>
    <xf numFmtId="0" fontId="28" fillId="38" borderId="53" xfId="0" applyFont="1" applyFill="1" applyBorder="1" applyProtection="1">
      <alignment vertical="center"/>
      <protection hidden="1"/>
    </xf>
    <xf numFmtId="0" fontId="28" fillId="38" borderId="53" xfId="0" applyFont="1" applyFill="1" applyBorder="1" applyAlignment="1" applyProtection="1">
      <alignment horizontal="right" vertical="center"/>
      <protection hidden="1"/>
    </xf>
    <xf numFmtId="0" fontId="27" fillId="0" borderId="0" xfId="0" applyFont="1">
      <alignment vertical="center"/>
    </xf>
    <xf numFmtId="179" fontId="28" fillId="31" borderId="26" xfId="0" applyNumberFormat="1" applyFont="1" applyFill="1" applyBorder="1" applyAlignment="1" applyProtection="1">
      <alignment horizontal="left" vertical="center"/>
      <protection hidden="1"/>
    </xf>
    <xf numFmtId="0" fontId="28" fillId="31" borderId="50" xfId="0" applyFont="1" applyFill="1" applyBorder="1">
      <alignment vertical="center"/>
    </xf>
    <xf numFmtId="179" fontId="28" fillId="31" borderId="50" xfId="0" applyNumberFormat="1" applyFont="1" applyFill="1" applyBorder="1" applyAlignment="1" applyProtection="1">
      <alignment horizontal="centerContinuous" vertical="center" wrapText="1"/>
      <protection hidden="1"/>
    </xf>
    <xf numFmtId="0" fontId="28" fillId="31" borderId="27" xfId="0" applyFont="1" applyFill="1" applyBorder="1">
      <alignment vertical="center"/>
    </xf>
    <xf numFmtId="180" fontId="28" fillId="31" borderId="155" xfId="0" applyNumberFormat="1" applyFont="1" applyFill="1" applyBorder="1" applyAlignment="1" applyProtection="1">
      <alignment horizontal="centerContinuous" vertical="center"/>
      <protection hidden="1"/>
    </xf>
    <xf numFmtId="181" fontId="28" fillId="31" borderId="55" xfId="0" applyNumberFormat="1" applyFont="1" applyFill="1" applyBorder="1" applyAlignment="1" applyProtection="1">
      <alignment horizontal="centerContinuous" vertical="center"/>
      <protection hidden="1"/>
    </xf>
    <xf numFmtId="181" fontId="28" fillId="31" borderId="57" xfId="0" applyNumberFormat="1" applyFont="1" applyFill="1" applyBorder="1" applyAlignment="1" applyProtection="1">
      <alignment horizontal="centerContinuous" vertical="center"/>
      <protection hidden="1"/>
    </xf>
    <xf numFmtId="181" fontId="28" fillId="31" borderId="10" xfId="0" applyNumberFormat="1" applyFont="1" applyFill="1" applyBorder="1" applyAlignment="1" applyProtection="1">
      <alignment horizontal="centerContinuous" vertical="center"/>
      <protection hidden="1"/>
    </xf>
    <xf numFmtId="180" fontId="28" fillId="31" borderId="58" xfId="0" applyNumberFormat="1" applyFont="1" applyFill="1" applyBorder="1" applyAlignment="1" applyProtection="1">
      <alignment horizontal="centerContinuous" vertical="center"/>
      <protection hidden="1"/>
    </xf>
    <xf numFmtId="181" fontId="28" fillId="27" borderId="164" xfId="0" applyNumberFormat="1" applyFont="1" applyFill="1" applyBorder="1" applyAlignment="1" applyProtection="1">
      <alignment horizontal="left" vertical="center" shrinkToFit="1"/>
      <protection hidden="1"/>
    </xf>
    <xf numFmtId="181" fontId="28" fillId="27" borderId="16" xfId="0" applyNumberFormat="1" applyFont="1" applyFill="1" applyBorder="1" applyAlignment="1" applyProtection="1">
      <alignment vertical="center" wrapText="1"/>
      <protection hidden="1"/>
    </xf>
    <xf numFmtId="181" fontId="28" fillId="27" borderId="176" xfId="0" applyNumberFormat="1" applyFont="1" applyFill="1" applyBorder="1" applyAlignment="1" applyProtection="1">
      <alignment vertical="center" wrapText="1"/>
      <protection hidden="1"/>
    </xf>
    <xf numFmtId="181" fontId="28" fillId="27" borderId="177" xfId="0" applyNumberFormat="1" applyFont="1" applyFill="1" applyBorder="1" applyAlignment="1" applyProtection="1">
      <alignment vertical="center" wrapText="1"/>
      <protection hidden="1"/>
    </xf>
    <xf numFmtId="181" fontId="28" fillId="27" borderId="169" xfId="0" applyNumberFormat="1" applyFont="1" applyFill="1" applyBorder="1" applyProtection="1">
      <alignment vertical="center"/>
      <protection hidden="1"/>
    </xf>
    <xf numFmtId="181" fontId="28" fillId="27" borderId="171" xfId="0" applyNumberFormat="1" applyFont="1" applyFill="1" applyBorder="1" applyAlignment="1" applyProtection="1">
      <alignment vertical="center" wrapText="1"/>
      <protection hidden="1"/>
    </xf>
    <xf numFmtId="181" fontId="26" fillId="0" borderId="0" xfId="0" applyNumberFormat="1" applyFont="1" applyAlignment="1" applyProtection="1">
      <alignment horizontal="center" vertical="center"/>
      <protection hidden="1"/>
    </xf>
    <xf numFmtId="181" fontId="28" fillId="38" borderId="0" xfId="0" applyNumberFormat="1" applyFont="1" applyFill="1" applyAlignment="1" applyProtection="1">
      <alignment vertical="center" wrapText="1"/>
      <protection hidden="1"/>
    </xf>
    <xf numFmtId="181" fontId="26" fillId="38" borderId="0" xfId="0" applyNumberFormat="1" applyFont="1" applyFill="1" applyAlignment="1" applyProtection="1">
      <alignment horizontal="center" vertical="center"/>
      <protection hidden="1"/>
    </xf>
    <xf numFmtId="181" fontId="28" fillId="38" borderId="0" xfId="0" applyNumberFormat="1" applyFont="1" applyFill="1" applyAlignment="1" applyProtection="1">
      <alignment horizontal="left" vertical="center" wrapText="1"/>
      <protection hidden="1"/>
    </xf>
    <xf numFmtId="0" fontId="27" fillId="38" borderId="0" xfId="0" applyFont="1" applyFill="1" applyAlignment="1">
      <alignment horizontal="left" vertical="center"/>
    </xf>
    <xf numFmtId="0" fontId="28" fillId="27" borderId="178" xfId="0" applyFont="1" applyFill="1" applyBorder="1" applyProtection="1">
      <alignment vertical="center"/>
      <protection hidden="1"/>
    </xf>
    <xf numFmtId="181" fontId="28" fillId="27" borderId="13" xfId="0" applyNumberFormat="1" applyFont="1" applyFill="1" applyBorder="1" applyAlignment="1" applyProtection="1">
      <alignment vertical="center" wrapText="1"/>
      <protection hidden="1"/>
    </xf>
    <xf numFmtId="179" fontId="28" fillId="31" borderId="27" xfId="0" applyNumberFormat="1" applyFont="1" applyFill="1" applyBorder="1" applyAlignment="1" applyProtection="1">
      <alignment horizontal="centerContinuous" vertical="center" wrapText="1"/>
      <protection hidden="1"/>
    </xf>
    <xf numFmtId="0" fontId="28" fillId="27" borderId="10" xfId="0" applyFont="1" applyFill="1" applyBorder="1" applyAlignment="1" applyProtection="1">
      <alignment horizontal="center" vertical="center"/>
      <protection hidden="1"/>
    </xf>
    <xf numFmtId="181" fontId="26" fillId="27" borderId="11" xfId="0" applyNumberFormat="1" applyFont="1" applyFill="1" applyBorder="1" applyAlignment="1" applyProtection="1">
      <alignment horizontal="center" vertical="center"/>
      <protection hidden="1"/>
    </xf>
    <xf numFmtId="181" fontId="28" fillId="27" borderId="168" xfId="0" applyNumberFormat="1" applyFont="1" applyFill="1" applyBorder="1" applyAlignment="1" applyProtection="1">
      <alignment horizontal="left" vertical="center" wrapText="1"/>
      <protection hidden="1"/>
    </xf>
    <xf numFmtId="179" fontId="28" fillId="31" borderId="26" xfId="0" applyNumberFormat="1" applyFont="1" applyFill="1" applyBorder="1" applyAlignment="1" applyProtection="1">
      <alignment horizontal="centerContinuous" vertical="center" wrapText="1"/>
      <protection hidden="1"/>
    </xf>
    <xf numFmtId="0" fontId="28" fillId="31" borderId="179" xfId="0" applyFont="1" applyFill="1" applyBorder="1" applyAlignment="1" applyProtection="1">
      <alignment horizontal="left" vertical="center"/>
      <protection hidden="1"/>
    </xf>
    <xf numFmtId="0" fontId="28" fillId="31" borderId="54" xfId="0" applyFont="1" applyFill="1" applyBorder="1" applyAlignment="1" applyProtection="1">
      <alignment horizontal="left" vertical="center"/>
      <protection hidden="1"/>
    </xf>
    <xf numFmtId="0" fontId="28" fillId="31" borderId="180" xfId="0" applyFont="1" applyFill="1" applyBorder="1" applyAlignment="1" applyProtection="1">
      <alignment horizontal="left" vertical="center"/>
      <protection hidden="1"/>
    </xf>
    <xf numFmtId="0" fontId="28" fillId="31" borderId="58" xfId="0" applyFont="1" applyFill="1" applyBorder="1" applyAlignment="1" applyProtection="1">
      <alignment horizontal="left" vertical="center"/>
      <protection hidden="1"/>
    </xf>
    <xf numFmtId="181" fontId="28" fillId="27" borderId="176" xfId="0" applyNumberFormat="1" applyFont="1" applyFill="1" applyBorder="1" applyAlignment="1" applyProtection="1">
      <alignment horizontal="left" vertical="center"/>
      <protection hidden="1"/>
    </xf>
    <xf numFmtId="181" fontId="28" fillId="27" borderId="181" xfId="0" applyNumberFormat="1" applyFont="1" applyFill="1" applyBorder="1" applyAlignment="1" applyProtection="1">
      <alignment horizontal="left" vertical="center"/>
      <protection hidden="1"/>
    </xf>
    <xf numFmtId="181" fontId="28" fillId="27" borderId="182" xfId="0" applyNumberFormat="1" applyFont="1" applyFill="1" applyBorder="1" applyAlignment="1" applyProtection="1">
      <alignment horizontal="left" vertical="center"/>
      <protection hidden="1"/>
    </xf>
    <xf numFmtId="0" fontId="37" fillId="27" borderId="183" xfId="0" applyFont="1" applyFill="1" applyBorder="1" applyAlignment="1" applyProtection="1">
      <alignment horizontal="left" vertical="center"/>
      <protection hidden="1"/>
    </xf>
    <xf numFmtId="0" fontId="37" fillId="27" borderId="14" xfId="0" applyFont="1" applyFill="1" applyBorder="1" applyAlignment="1" applyProtection="1">
      <alignment horizontal="left" vertical="center"/>
      <protection hidden="1"/>
    </xf>
    <xf numFmtId="181" fontId="28" fillId="27" borderId="12" xfId="0" applyNumberFormat="1" applyFont="1" applyFill="1" applyBorder="1" applyProtection="1">
      <alignment vertical="center"/>
      <protection hidden="1"/>
    </xf>
    <xf numFmtId="181" fontId="28" fillId="27" borderId="13" xfId="0" applyNumberFormat="1" applyFont="1" applyFill="1" applyBorder="1" applyProtection="1">
      <alignment vertical="center"/>
      <protection hidden="1"/>
    </xf>
    <xf numFmtId="181" fontId="28" fillId="0" borderId="0" xfId="0" applyNumberFormat="1" applyFont="1" applyAlignment="1" applyProtection="1">
      <alignment horizontal="left" vertical="center" wrapText="1"/>
      <protection hidden="1"/>
    </xf>
    <xf numFmtId="0" fontId="48" fillId="0" borderId="0" xfId="29" applyFont="1" applyFill="1" applyAlignment="1" applyProtection="1">
      <alignment horizontal="left" vertical="center"/>
      <protection hidden="1"/>
    </xf>
    <xf numFmtId="181" fontId="28" fillId="27" borderId="164" xfId="0" applyNumberFormat="1" applyFont="1" applyFill="1" applyBorder="1" applyAlignment="1" applyProtection="1">
      <alignment vertical="center" shrinkToFit="1"/>
      <protection hidden="1"/>
    </xf>
    <xf numFmtId="0" fontId="28" fillId="27" borderId="52" xfId="0" applyFont="1" applyFill="1" applyBorder="1" applyProtection="1">
      <alignment vertical="center"/>
      <protection hidden="1"/>
    </xf>
    <xf numFmtId="181" fontId="28" fillId="38" borderId="0" xfId="0" applyNumberFormat="1" applyFont="1" applyFill="1" applyAlignment="1" applyProtection="1">
      <alignment horizontal="left" vertical="center"/>
      <protection hidden="1"/>
    </xf>
    <xf numFmtId="181" fontId="28" fillId="38" borderId="0" xfId="0" applyNumberFormat="1" applyFont="1" applyFill="1" applyAlignment="1" applyProtection="1">
      <alignment horizontal="center" vertical="center"/>
      <protection hidden="1"/>
    </xf>
    <xf numFmtId="0" fontId="6" fillId="38" borderId="0" xfId="0" applyFont="1" applyFill="1" applyProtection="1">
      <alignment vertical="center"/>
      <protection hidden="1"/>
    </xf>
    <xf numFmtId="0" fontId="0" fillId="43" borderId="0" xfId="0" applyFill="1">
      <alignment vertical="center"/>
    </xf>
    <xf numFmtId="0" fontId="26" fillId="38" borderId="0" xfId="0" applyFont="1" applyFill="1" applyProtection="1">
      <alignment vertical="center"/>
      <protection hidden="1"/>
    </xf>
    <xf numFmtId="0" fontId="28" fillId="27" borderId="26" xfId="0" applyFont="1" applyFill="1" applyBorder="1" applyProtection="1">
      <alignment vertical="center"/>
      <protection hidden="1"/>
    </xf>
    <xf numFmtId="0" fontId="28" fillId="27" borderId="50" xfId="0" applyFont="1" applyFill="1" applyBorder="1" applyProtection="1">
      <alignment vertical="center"/>
      <protection hidden="1"/>
    </xf>
    <xf numFmtId="0" fontId="28" fillId="27" borderId="27" xfId="0" applyFont="1" applyFill="1" applyBorder="1" applyProtection="1">
      <alignment vertical="center"/>
      <protection hidden="1"/>
    </xf>
    <xf numFmtId="0" fontId="152" fillId="0" borderId="0" xfId="0" applyFont="1">
      <alignment vertical="center"/>
    </xf>
    <xf numFmtId="0" fontId="28" fillId="27" borderId="51" xfId="0" applyFont="1" applyFill="1" applyBorder="1" applyAlignment="1" applyProtection="1">
      <alignment vertical="center" wrapText="1"/>
      <protection hidden="1"/>
    </xf>
    <xf numFmtId="181" fontId="28" fillId="27" borderId="16" xfId="0" applyNumberFormat="1" applyFont="1" applyFill="1" applyBorder="1" applyAlignment="1" applyProtection="1">
      <alignment horizontal="left" vertical="center" wrapText="1"/>
      <protection hidden="1"/>
    </xf>
    <xf numFmtId="0" fontId="28" fillId="27" borderId="177" xfId="0" applyFont="1" applyFill="1" applyBorder="1" applyAlignment="1" applyProtection="1">
      <alignment vertical="center" shrinkToFit="1"/>
      <protection hidden="1"/>
    </xf>
    <xf numFmtId="0" fontId="28" fillId="27" borderId="11" xfId="0" applyFont="1" applyFill="1" applyBorder="1" applyAlignment="1">
      <alignment vertical="center" wrapText="1"/>
    </xf>
    <xf numFmtId="0" fontId="28" fillId="27" borderId="177" xfId="0" applyFont="1" applyFill="1" applyBorder="1" applyAlignment="1" applyProtection="1">
      <alignment vertical="center" wrapText="1"/>
      <protection hidden="1"/>
    </xf>
    <xf numFmtId="0" fontId="28" fillId="27" borderId="168" xfId="0" applyFont="1" applyFill="1" applyBorder="1" applyAlignment="1" applyProtection="1">
      <alignment vertical="center" shrinkToFit="1"/>
      <protection hidden="1"/>
    </xf>
    <xf numFmtId="0" fontId="6" fillId="38" borderId="0" xfId="0" applyFont="1" applyFill="1">
      <alignment vertical="center"/>
    </xf>
    <xf numFmtId="0" fontId="153" fillId="38" borderId="57" xfId="0" applyFont="1" applyFill="1" applyBorder="1" applyProtection="1">
      <alignment vertical="center"/>
      <protection hidden="1"/>
    </xf>
    <xf numFmtId="0" fontId="45" fillId="38" borderId="57" xfId="0" applyFont="1" applyFill="1" applyBorder="1" applyProtection="1">
      <alignment vertical="center"/>
      <protection hidden="1"/>
    </xf>
    <xf numFmtId="0" fontId="37" fillId="31" borderId="26" xfId="0" applyFont="1" applyFill="1" applyBorder="1" applyAlignment="1" applyProtection="1">
      <alignment horizontal="right" vertical="center"/>
      <protection hidden="1"/>
    </xf>
    <xf numFmtId="179" fontId="28" fillId="31" borderId="10" xfId="0" applyNumberFormat="1" applyFont="1" applyFill="1" applyBorder="1" applyAlignment="1" applyProtection="1">
      <alignment horizontal="centerContinuous" vertical="center"/>
      <protection hidden="1"/>
    </xf>
    <xf numFmtId="180" fontId="28" fillId="31" borderId="80" xfId="0" applyNumberFormat="1" applyFont="1" applyFill="1" applyBorder="1" applyAlignment="1" applyProtection="1">
      <alignment horizontal="centerContinuous" vertical="center"/>
      <protection hidden="1"/>
    </xf>
    <xf numFmtId="181" fontId="26" fillId="42" borderId="163" xfId="0" applyNumberFormat="1" applyFont="1" applyFill="1" applyBorder="1" applyAlignment="1" applyProtection="1">
      <alignment horizontal="center" vertical="center"/>
      <protection hidden="1"/>
    </xf>
    <xf numFmtId="181" fontId="26" fillId="42" borderId="167" xfId="0" applyNumberFormat="1" applyFont="1" applyFill="1" applyBorder="1" applyAlignment="1" applyProtection="1">
      <alignment horizontal="center" vertical="center"/>
      <protection hidden="1"/>
    </xf>
    <xf numFmtId="181" fontId="26" fillId="42" borderId="168" xfId="0" applyNumberFormat="1" applyFont="1" applyFill="1" applyBorder="1" applyAlignment="1" applyProtection="1">
      <alignment horizontal="center" vertical="center"/>
      <protection hidden="1"/>
    </xf>
    <xf numFmtId="181" fontId="28" fillId="44" borderId="26" xfId="0" applyNumberFormat="1" applyFont="1" applyFill="1" applyBorder="1" applyAlignment="1" applyProtection="1">
      <alignment horizontal="centerContinuous" vertical="center"/>
      <protection hidden="1"/>
    </xf>
    <xf numFmtId="181" fontId="28" fillId="44" borderId="50" xfId="0" applyNumberFormat="1" applyFont="1" applyFill="1" applyBorder="1" applyAlignment="1" applyProtection="1">
      <alignment horizontal="centerContinuous" vertical="center"/>
      <protection hidden="1"/>
    </xf>
    <xf numFmtId="0" fontId="0" fillId="25" borderId="10" xfId="0" applyFill="1" applyBorder="1">
      <alignment vertical="center"/>
    </xf>
    <xf numFmtId="181" fontId="26" fillId="27" borderId="175" xfId="0" applyNumberFormat="1" applyFont="1" applyFill="1" applyBorder="1" applyAlignment="1" applyProtection="1">
      <alignment horizontal="center" vertical="center"/>
      <protection hidden="1"/>
    </xf>
    <xf numFmtId="181" fontId="26" fillId="27" borderId="169" xfId="0" applyNumberFormat="1" applyFont="1" applyFill="1" applyBorder="1" applyAlignment="1" applyProtection="1">
      <alignment horizontal="center" vertical="center"/>
      <protection hidden="1"/>
    </xf>
    <xf numFmtId="181" fontId="28" fillId="31" borderId="56" xfId="0" applyNumberFormat="1" applyFont="1" applyFill="1" applyBorder="1" applyAlignment="1" applyProtection="1">
      <alignment horizontal="centerContinuous" vertical="center"/>
      <protection hidden="1"/>
    </xf>
    <xf numFmtId="181" fontId="28" fillId="0" borderId="17" xfId="0" applyNumberFormat="1" applyFont="1" applyBorder="1" applyAlignment="1" applyProtection="1">
      <alignment horizontal="center" vertical="center"/>
      <protection hidden="1"/>
    </xf>
    <xf numFmtId="0" fontId="126" fillId="38" borderId="0" xfId="0" applyFont="1" applyFill="1" applyProtection="1">
      <alignment vertical="center"/>
      <protection hidden="1"/>
    </xf>
    <xf numFmtId="0" fontId="28" fillId="38" borderId="0" xfId="0" applyFont="1" applyFill="1" applyAlignment="1">
      <alignment horizontal="center" vertical="center"/>
    </xf>
    <xf numFmtId="0" fontId="28" fillId="27" borderId="144" xfId="0" applyFont="1" applyFill="1" applyBorder="1" applyAlignment="1" applyProtection="1">
      <alignment horizontal="center" vertical="center"/>
      <protection locked="0"/>
    </xf>
    <xf numFmtId="0" fontId="28" fillId="38" borderId="57" xfId="0" applyFont="1" applyFill="1" applyBorder="1" applyAlignment="1" applyProtection="1">
      <alignment horizontal="left" wrapText="1"/>
      <protection hidden="1"/>
    </xf>
    <xf numFmtId="201" fontId="26" fillId="31" borderId="92" xfId="0" applyNumberFormat="1" applyFont="1" applyFill="1" applyBorder="1" applyAlignment="1" applyProtection="1">
      <alignment horizontal="center" vertical="center"/>
      <protection hidden="1"/>
    </xf>
    <xf numFmtId="0" fontId="28" fillId="27" borderId="50" xfId="0" applyFont="1" applyFill="1" applyBorder="1" applyAlignment="1" applyProtection="1">
      <alignment horizontal="centerContinuous" vertical="center"/>
      <protection hidden="1"/>
    </xf>
    <xf numFmtId="0" fontId="28" fillId="27" borderId="10" xfId="0" applyFont="1" applyFill="1" applyBorder="1" applyAlignment="1" applyProtection="1">
      <alignment horizontal="centerContinuous" vertical="center"/>
      <protection hidden="1"/>
    </xf>
    <xf numFmtId="193" fontId="28" fillId="31" borderId="54" xfId="0" applyNumberFormat="1" applyFont="1" applyFill="1" applyBorder="1" applyAlignment="1" applyProtection="1">
      <alignment horizontal="center" vertical="center"/>
      <protection hidden="1"/>
    </xf>
    <xf numFmtId="181" fontId="28" fillId="31" borderId="52" xfId="0" applyNumberFormat="1" applyFont="1" applyFill="1" applyBorder="1" applyAlignment="1" applyProtection="1">
      <alignment horizontal="centerContinuous" vertical="center"/>
      <protection hidden="1"/>
    </xf>
    <xf numFmtId="181" fontId="28" fillId="31" borderId="54" xfId="0" applyNumberFormat="1" applyFont="1" applyFill="1" applyBorder="1" applyAlignment="1" applyProtection="1">
      <alignment horizontal="centerContinuous" vertical="center"/>
      <protection hidden="1"/>
    </xf>
    <xf numFmtId="0" fontId="0" fillId="28" borderId="0" xfId="0" applyFill="1">
      <alignment vertical="center"/>
    </xf>
    <xf numFmtId="181" fontId="28" fillId="31" borderId="56" xfId="0" quotePrefix="1" applyNumberFormat="1" applyFont="1" applyFill="1" applyBorder="1" applyAlignment="1" applyProtection="1">
      <alignment horizontal="centerContinuous" vertical="center"/>
      <protection hidden="1"/>
    </xf>
    <xf numFmtId="0" fontId="28" fillId="27" borderId="164" xfId="0" applyFont="1" applyFill="1" applyBorder="1" applyAlignment="1" applyProtection="1">
      <alignment horizontal="left" vertical="center"/>
      <protection hidden="1"/>
    </xf>
    <xf numFmtId="0" fontId="28" fillId="27" borderId="165" xfId="0" applyFont="1" applyFill="1" applyBorder="1" applyAlignment="1" applyProtection="1">
      <alignment horizontal="left" vertical="center"/>
      <protection hidden="1"/>
    </xf>
    <xf numFmtId="0" fontId="28" fillId="27" borderId="166" xfId="0" applyFont="1" applyFill="1" applyBorder="1" applyAlignment="1" applyProtection="1">
      <alignment horizontal="left" vertical="center"/>
      <protection hidden="1"/>
    </xf>
    <xf numFmtId="0" fontId="28" fillId="27" borderId="12" xfId="0" applyFont="1" applyFill="1" applyBorder="1" applyAlignment="1" applyProtection="1">
      <alignment horizontal="left" vertical="center"/>
      <protection hidden="1"/>
    </xf>
    <xf numFmtId="0" fontId="28" fillId="27" borderId="13" xfId="0" applyFont="1" applyFill="1" applyBorder="1" applyAlignment="1" applyProtection="1">
      <alignment horizontal="left" vertical="center"/>
      <protection hidden="1"/>
    </xf>
    <xf numFmtId="0" fontId="28" fillId="27" borderId="14" xfId="0" applyFont="1" applyFill="1" applyBorder="1" applyAlignment="1" applyProtection="1">
      <alignment horizontal="left" vertical="center"/>
      <protection hidden="1"/>
    </xf>
    <xf numFmtId="0" fontId="28" fillId="27" borderId="169" xfId="0" applyFont="1" applyFill="1" applyBorder="1" applyAlignment="1" applyProtection="1">
      <alignment horizontal="left" vertical="center"/>
      <protection hidden="1"/>
    </xf>
    <xf numFmtId="0" fontId="28" fillId="27" borderId="171" xfId="0" applyFont="1" applyFill="1" applyBorder="1" applyAlignment="1" applyProtection="1">
      <alignment horizontal="left" vertical="center"/>
      <protection hidden="1"/>
    </xf>
    <xf numFmtId="0" fontId="28" fillId="27" borderId="170" xfId="0" applyFont="1" applyFill="1" applyBorder="1" applyAlignment="1" applyProtection="1">
      <alignment horizontal="left" vertical="center"/>
      <protection hidden="1"/>
    </xf>
    <xf numFmtId="0" fontId="23" fillId="38" borderId="0" xfId="0" applyFont="1" applyFill="1" applyProtection="1">
      <alignment vertical="center"/>
      <protection hidden="1"/>
    </xf>
    <xf numFmtId="0" fontId="28" fillId="38" borderId="0" xfId="0" applyFont="1" applyFill="1" applyAlignment="1" applyProtection="1">
      <alignment horizontal="left" vertical="top"/>
      <protection hidden="1"/>
    </xf>
    <xf numFmtId="0" fontId="28" fillId="27" borderId="27" xfId="0" applyFont="1" applyFill="1" applyBorder="1" applyAlignment="1" applyProtection="1">
      <alignment horizontal="centerContinuous" vertical="center"/>
      <protection hidden="1"/>
    </xf>
    <xf numFmtId="0" fontId="28" fillId="27" borderId="184" xfId="0" applyFont="1" applyFill="1" applyBorder="1" applyProtection="1">
      <alignment vertical="center"/>
      <protection hidden="1"/>
    </xf>
    <xf numFmtId="0" fontId="28" fillId="27" borderId="165" xfId="0" applyFont="1" applyFill="1" applyBorder="1" applyProtection="1">
      <alignment vertical="center"/>
      <protection hidden="1"/>
    </xf>
    <xf numFmtId="0" fontId="28" fillId="27" borderId="166" xfId="0" applyFont="1" applyFill="1" applyBorder="1" applyProtection="1">
      <alignment vertical="center"/>
      <protection hidden="1"/>
    </xf>
    <xf numFmtId="0" fontId="28" fillId="27" borderId="185" xfId="0" applyFont="1" applyFill="1" applyBorder="1" applyProtection="1">
      <alignment vertical="center"/>
      <protection hidden="1"/>
    </xf>
    <xf numFmtId="0" fontId="28" fillId="27" borderId="13" xfId="0" applyFont="1" applyFill="1" applyBorder="1" applyProtection="1">
      <alignment vertical="center"/>
      <protection hidden="1"/>
    </xf>
    <xf numFmtId="0" fontId="28" fillId="27" borderId="14" xfId="0" applyFont="1" applyFill="1" applyBorder="1" applyProtection="1">
      <alignment vertical="center"/>
      <protection hidden="1"/>
    </xf>
    <xf numFmtId="0" fontId="28" fillId="27" borderId="186" xfId="0" applyFont="1" applyFill="1" applyBorder="1" applyProtection="1">
      <alignment vertical="center"/>
      <protection hidden="1"/>
    </xf>
    <xf numFmtId="0" fontId="28" fillId="27" borderId="171" xfId="0" applyFont="1" applyFill="1" applyBorder="1" applyProtection="1">
      <alignment vertical="center"/>
      <protection hidden="1"/>
    </xf>
    <xf numFmtId="0" fontId="28" fillId="27" borderId="170" xfId="0" applyFont="1" applyFill="1" applyBorder="1" applyProtection="1">
      <alignment vertical="center"/>
      <protection hidden="1"/>
    </xf>
    <xf numFmtId="0" fontId="152" fillId="27" borderId="56" xfId="0" applyFont="1" applyFill="1" applyBorder="1" applyAlignment="1" applyProtection="1">
      <alignment horizontal="center" vertical="center"/>
      <protection hidden="1"/>
    </xf>
    <xf numFmtId="195" fontId="45" fillId="27" borderId="50" xfId="0" applyNumberFormat="1" applyFont="1" applyFill="1" applyBorder="1" applyAlignment="1" applyProtection="1">
      <alignment horizontal="center" vertical="center" wrapText="1"/>
      <protection hidden="1"/>
    </xf>
    <xf numFmtId="0" fontId="28" fillId="27" borderId="50" xfId="0" applyFont="1" applyFill="1" applyBorder="1" applyAlignment="1" applyProtection="1">
      <alignment horizontal="center" vertical="center"/>
      <protection hidden="1"/>
    </xf>
    <xf numFmtId="196" fontId="26" fillId="27" borderId="50" xfId="0" applyNumberFormat="1" applyFont="1" applyFill="1" applyBorder="1" applyAlignment="1" applyProtection="1">
      <alignment horizontal="center" vertical="center" wrapText="1"/>
      <protection hidden="1"/>
    </xf>
    <xf numFmtId="196" fontId="26" fillId="27" borderId="27" xfId="0" applyNumberFormat="1" applyFont="1" applyFill="1" applyBorder="1" applyAlignment="1" applyProtection="1">
      <alignment horizontal="center" vertical="center" wrapText="1"/>
      <protection hidden="1"/>
    </xf>
    <xf numFmtId="0" fontId="28" fillId="27" borderId="51" xfId="0" applyFont="1" applyFill="1" applyBorder="1" applyAlignment="1" applyProtection="1">
      <alignment horizontal="center" vertical="center"/>
      <protection hidden="1"/>
    </xf>
    <xf numFmtId="206" fontId="23" fillId="39" borderId="172" xfId="0" applyNumberFormat="1" applyFont="1" applyFill="1" applyBorder="1" applyAlignment="1" applyProtection="1">
      <alignment horizontal="center" vertical="center"/>
      <protection locked="0" hidden="1"/>
    </xf>
    <xf numFmtId="0" fontId="6" fillId="27" borderId="16" xfId="0" applyFont="1" applyFill="1" applyBorder="1" applyAlignment="1" applyProtection="1">
      <alignment horizontal="center" vertical="center"/>
      <protection hidden="1"/>
    </xf>
    <xf numFmtId="206" fontId="23" fillId="39" borderId="173" xfId="0" applyNumberFormat="1" applyFont="1" applyFill="1" applyBorder="1" applyAlignment="1" applyProtection="1">
      <alignment horizontal="center" vertical="center"/>
      <protection locked="0" hidden="1"/>
    </xf>
    <xf numFmtId="0" fontId="6" fillId="27" borderId="11" xfId="0" applyFont="1" applyFill="1" applyBorder="1" applyAlignment="1" applyProtection="1">
      <alignment horizontal="center" vertical="center"/>
      <protection hidden="1"/>
    </xf>
    <xf numFmtId="206" fontId="23" fillId="39" borderId="174" xfId="0" applyNumberFormat="1" applyFont="1" applyFill="1" applyBorder="1" applyAlignment="1" applyProtection="1">
      <alignment horizontal="center" vertical="center"/>
      <protection locked="0" hidden="1"/>
    </xf>
    <xf numFmtId="0" fontId="6" fillId="27" borderId="177" xfId="0" applyFont="1" applyFill="1" applyBorder="1" applyAlignment="1" applyProtection="1">
      <alignment horizontal="center" vertical="center"/>
      <protection hidden="1"/>
    </xf>
    <xf numFmtId="178" fontId="26" fillId="27" borderId="27" xfId="0" applyNumberFormat="1" applyFont="1" applyFill="1" applyBorder="1" applyAlignment="1" applyProtection="1">
      <alignment horizontal="center" vertical="center" wrapText="1"/>
      <protection hidden="1"/>
    </xf>
    <xf numFmtId="206" fontId="23" fillId="27" borderId="172" xfId="0" applyNumberFormat="1" applyFont="1" applyFill="1" applyBorder="1" applyAlignment="1" applyProtection="1">
      <alignment horizontal="center" vertical="center"/>
      <protection locked="0" hidden="1"/>
    </xf>
    <xf numFmtId="206" fontId="23" fillId="27" borderId="173" xfId="0" applyNumberFormat="1" applyFont="1" applyFill="1" applyBorder="1" applyAlignment="1" applyProtection="1">
      <alignment horizontal="center" vertical="center"/>
      <protection locked="0" hidden="1"/>
    </xf>
    <xf numFmtId="206" fontId="23" fillId="27" borderId="174" xfId="0" applyNumberFormat="1" applyFont="1" applyFill="1" applyBorder="1" applyAlignment="1" applyProtection="1">
      <alignment horizontal="center" vertical="center"/>
      <protection locked="0" hidden="1"/>
    </xf>
    <xf numFmtId="0" fontId="28" fillId="27" borderId="54" xfId="0" applyFont="1" applyFill="1" applyBorder="1" applyAlignment="1" applyProtection="1">
      <alignment horizontal="centerContinuous" vertical="center"/>
      <protection hidden="1"/>
    </xf>
    <xf numFmtId="0" fontId="28" fillId="27" borderId="185" xfId="0" applyFont="1" applyFill="1" applyBorder="1" applyAlignment="1" applyProtection="1">
      <alignment horizontal="left" vertical="center"/>
      <protection hidden="1"/>
    </xf>
    <xf numFmtId="0" fontId="28" fillId="27" borderId="13" xfId="0" applyFont="1" applyFill="1" applyBorder="1">
      <alignment vertical="center"/>
    </xf>
    <xf numFmtId="195" fontId="45" fillId="27" borderId="50" xfId="0" applyNumberFormat="1" applyFont="1" applyFill="1" applyBorder="1" applyAlignment="1" applyProtection="1">
      <alignment vertical="center" wrapText="1"/>
      <protection hidden="1"/>
    </xf>
    <xf numFmtId="0" fontId="0" fillId="25" borderId="0" xfId="0" applyFill="1">
      <alignment vertical="center"/>
    </xf>
    <xf numFmtId="0" fontId="28" fillId="27" borderId="10" xfId="0" quotePrefix="1" applyFont="1" applyFill="1" applyBorder="1" applyAlignment="1" applyProtection="1">
      <alignment horizontal="left" vertical="center"/>
      <protection hidden="1"/>
    </xf>
    <xf numFmtId="0" fontId="28" fillId="27" borderId="187" xfId="0" applyFont="1" applyFill="1" applyBorder="1" applyAlignment="1" applyProtection="1">
      <alignment horizontal="centerContinuous" vertical="center"/>
      <protection hidden="1"/>
    </xf>
    <xf numFmtId="0" fontId="28" fillId="27" borderId="118" xfId="0" applyFont="1" applyFill="1" applyBorder="1" applyAlignment="1" applyProtection="1">
      <alignment horizontal="centerContinuous" vertical="center"/>
      <protection hidden="1"/>
    </xf>
    <xf numFmtId="0" fontId="28" fillId="27" borderId="120" xfId="0" applyFont="1" applyFill="1" applyBorder="1" applyAlignment="1" applyProtection="1">
      <alignment horizontal="centerContinuous" vertical="center"/>
      <protection hidden="1"/>
    </xf>
    <xf numFmtId="0" fontId="33" fillId="29" borderId="0" xfId="0" applyFont="1" applyFill="1" applyAlignment="1" applyProtection="1">
      <alignment vertical="center" wrapText="1"/>
      <protection hidden="1"/>
    </xf>
    <xf numFmtId="0" fontId="28" fillId="38" borderId="77" xfId="0" applyFont="1" applyFill="1" applyBorder="1" applyAlignment="1">
      <alignment horizontal="center" vertical="center"/>
    </xf>
    <xf numFmtId="0" fontId="6" fillId="38" borderId="57" xfId="0" applyFont="1" applyFill="1" applyBorder="1">
      <alignment vertical="center"/>
    </xf>
    <xf numFmtId="0" fontId="48" fillId="38" borderId="57" xfId="0" applyFont="1" applyFill="1" applyBorder="1" applyAlignment="1" applyProtection="1">
      <alignment horizontal="left" vertical="center"/>
      <protection hidden="1"/>
    </xf>
    <xf numFmtId="217" fontId="23" fillId="27" borderId="92" xfId="0" applyNumberFormat="1" applyFont="1" applyFill="1" applyBorder="1" applyAlignment="1" applyProtection="1">
      <alignment horizontal="center" vertical="center"/>
      <protection locked="0" hidden="1"/>
    </xf>
    <xf numFmtId="0" fontId="6" fillId="27" borderId="51" xfId="0" quotePrefix="1" applyFont="1" applyFill="1" applyBorder="1" applyAlignment="1" applyProtection="1">
      <alignment horizontal="center" vertical="center"/>
      <protection hidden="1"/>
    </xf>
    <xf numFmtId="0" fontId="6" fillId="27" borderId="11" xfId="0" quotePrefix="1" applyFont="1" applyFill="1" applyBorder="1" applyAlignment="1" applyProtection="1">
      <alignment horizontal="center" vertical="center"/>
      <protection hidden="1"/>
    </xf>
    <xf numFmtId="0" fontId="6" fillId="27" borderId="168" xfId="0" applyFont="1" applyFill="1" applyBorder="1" applyAlignment="1" applyProtection="1">
      <alignment horizontal="center" vertical="center"/>
      <protection hidden="1"/>
    </xf>
    <xf numFmtId="217" fontId="23" fillId="27" borderId="173" xfId="0" applyNumberFormat="1" applyFont="1" applyFill="1" applyBorder="1" applyAlignment="1" applyProtection="1">
      <alignment horizontal="center" vertical="center"/>
      <protection locked="0" hidden="1"/>
    </xf>
    <xf numFmtId="0" fontId="48" fillId="0" borderId="0" xfId="29" applyFont="1" applyFill="1" applyAlignment="1" applyProtection="1">
      <alignment horizontal="left"/>
      <protection hidden="1"/>
    </xf>
    <xf numFmtId="0" fontId="45" fillId="38" borderId="0" xfId="0" applyFont="1" applyFill="1" applyAlignment="1" applyProtection="1">
      <alignment horizontal="left" vertical="center"/>
      <protection hidden="1"/>
    </xf>
    <xf numFmtId="181" fontId="28" fillId="27" borderId="165" xfId="0" applyNumberFormat="1" applyFont="1" applyFill="1" applyBorder="1" applyAlignment="1" applyProtection="1">
      <alignment vertical="center" wrapText="1"/>
      <protection hidden="1"/>
    </xf>
    <xf numFmtId="181" fontId="28" fillId="0" borderId="0" xfId="0" applyNumberFormat="1" applyFont="1" applyProtection="1">
      <alignment vertical="center"/>
      <protection hidden="1"/>
    </xf>
    <xf numFmtId="180" fontId="28" fillId="31" borderId="57" xfId="0" applyNumberFormat="1" applyFont="1" applyFill="1" applyBorder="1" applyAlignment="1" applyProtection="1">
      <alignment horizontal="centerContinuous" vertical="top"/>
      <protection hidden="1"/>
    </xf>
    <xf numFmtId="181" fontId="28" fillId="31" borderId="27" xfId="0" applyNumberFormat="1" applyFont="1" applyFill="1" applyBorder="1" applyAlignment="1" applyProtection="1">
      <alignment horizontal="centerContinuous" vertical="top"/>
      <protection hidden="1"/>
    </xf>
    <xf numFmtId="0" fontId="28" fillId="0" borderId="0" xfId="0" applyFont="1" applyAlignment="1" applyProtection="1">
      <protection hidden="1"/>
    </xf>
    <xf numFmtId="181" fontId="26" fillId="38" borderId="0" xfId="0" applyNumberFormat="1" applyFont="1" applyFill="1" applyAlignment="1" applyProtection="1">
      <protection hidden="1"/>
    </xf>
    <xf numFmtId="181" fontId="28" fillId="38" borderId="0" xfId="0" applyNumberFormat="1" applyFont="1" applyFill="1" applyAlignment="1" applyProtection="1">
      <protection hidden="1"/>
    </xf>
    <xf numFmtId="181" fontId="28" fillId="38" borderId="0" xfId="0" applyNumberFormat="1" applyFont="1" applyFill="1" applyProtection="1">
      <alignment vertical="center"/>
      <protection hidden="1"/>
    </xf>
    <xf numFmtId="181" fontId="28" fillId="27" borderId="55" xfId="0" applyNumberFormat="1" applyFont="1" applyFill="1" applyBorder="1" applyAlignment="1" applyProtection="1">
      <alignment horizontal="centerContinuous" vertical="center"/>
      <protection hidden="1"/>
    </xf>
    <xf numFmtId="181" fontId="28" fillId="27" borderId="26" xfId="0" applyNumberFormat="1" applyFont="1" applyFill="1" applyBorder="1" applyAlignment="1" applyProtection="1">
      <alignment horizontal="centerContinuous" vertical="top" wrapText="1"/>
      <protection hidden="1"/>
    </xf>
    <xf numFmtId="193" fontId="28" fillId="27" borderId="27" xfId="0" applyNumberFormat="1" applyFont="1" applyFill="1" applyBorder="1" applyAlignment="1" applyProtection="1">
      <alignment horizontal="centerContinuous" vertical="center"/>
      <protection hidden="1"/>
    </xf>
    <xf numFmtId="193" fontId="28" fillId="27" borderId="26" xfId="0" applyNumberFormat="1" applyFont="1" applyFill="1" applyBorder="1" applyAlignment="1" applyProtection="1">
      <alignment horizontal="center" vertical="center"/>
      <protection hidden="1"/>
    </xf>
    <xf numFmtId="193" fontId="28" fillId="27" borderId="27" xfId="0" applyNumberFormat="1" applyFont="1" applyFill="1" applyBorder="1" applyAlignment="1" applyProtection="1">
      <alignment horizontal="center" vertical="center"/>
      <protection hidden="1"/>
    </xf>
    <xf numFmtId="0" fontId="28" fillId="27" borderId="51" xfId="0" applyFont="1" applyFill="1" applyBorder="1" applyAlignment="1" applyProtection="1">
      <alignment horizontal="centerContinuous" vertical="center"/>
      <protection hidden="1"/>
    </xf>
    <xf numFmtId="201" fontId="26" fillId="27" borderId="26" xfId="0" applyNumberFormat="1" applyFont="1" applyFill="1" applyBorder="1" applyAlignment="1" applyProtection="1">
      <alignment horizontal="centerContinuous" vertical="center"/>
      <protection hidden="1"/>
    </xf>
    <xf numFmtId="194" fontId="26" fillId="27" borderId="27" xfId="0" applyNumberFormat="1" applyFont="1" applyFill="1" applyBorder="1" applyAlignment="1" applyProtection="1">
      <alignment horizontal="centerContinuous" vertical="center"/>
      <protection hidden="1"/>
    </xf>
    <xf numFmtId="194" fontId="26" fillId="27" borderId="172" xfId="0" applyNumberFormat="1" applyFont="1" applyFill="1" applyBorder="1" applyAlignment="1" applyProtection="1">
      <alignment horizontal="center" vertical="center"/>
      <protection locked="0" hidden="1"/>
    </xf>
    <xf numFmtId="0" fontId="28" fillId="27" borderId="165" xfId="0" applyFont="1" applyFill="1" applyBorder="1" applyAlignment="1" applyProtection="1">
      <alignment horizontal="left" vertical="center" wrapText="1"/>
      <protection hidden="1"/>
    </xf>
    <xf numFmtId="0" fontId="28" fillId="27" borderId="166" xfId="0" applyFont="1" applyFill="1" applyBorder="1" applyAlignment="1" applyProtection="1">
      <alignment horizontal="left" vertical="center" wrapText="1"/>
      <protection hidden="1"/>
    </xf>
    <xf numFmtId="194" fontId="26" fillId="27" borderId="173" xfId="0" applyNumberFormat="1" applyFont="1" applyFill="1" applyBorder="1" applyAlignment="1" applyProtection="1">
      <alignment horizontal="center" vertical="center"/>
      <protection locked="0" hidden="1"/>
    </xf>
    <xf numFmtId="0" fontId="26" fillId="27" borderId="115" xfId="0" applyFont="1" applyFill="1" applyBorder="1" applyAlignment="1" applyProtection="1">
      <alignment horizontal="center" vertical="center"/>
      <protection locked="0" hidden="1"/>
    </xf>
    <xf numFmtId="0" fontId="28" fillId="38" borderId="0" xfId="0" applyFont="1" applyFill="1" applyAlignment="1" applyProtection="1">
      <alignment horizontal="center" vertical="center"/>
      <protection hidden="1"/>
    </xf>
    <xf numFmtId="0" fontId="37" fillId="38" borderId="0" xfId="0" applyFont="1" applyFill="1" applyAlignment="1" applyProtection="1">
      <alignment horizontal="left" vertical="top" wrapText="1"/>
      <protection hidden="1"/>
    </xf>
    <xf numFmtId="181" fontId="28" fillId="27" borderId="10" xfId="0" applyNumberFormat="1" applyFont="1" applyFill="1" applyBorder="1" applyAlignment="1" applyProtection="1">
      <alignment horizontal="centerContinuous" vertical="center"/>
      <protection hidden="1"/>
    </xf>
    <xf numFmtId="193" fontId="28" fillId="27" borderId="50" xfId="0" applyNumberFormat="1" applyFont="1" applyFill="1" applyBorder="1" applyAlignment="1" applyProtection="1">
      <alignment horizontal="center" vertical="center"/>
      <protection hidden="1"/>
    </xf>
    <xf numFmtId="194" fontId="26" fillId="27" borderId="174" xfId="0" applyNumberFormat="1" applyFont="1" applyFill="1" applyBorder="1" applyAlignment="1" applyProtection="1">
      <alignment horizontal="center" vertical="center"/>
      <protection locked="0" hidden="1"/>
    </xf>
    <xf numFmtId="181" fontId="28" fillId="27" borderId="10" xfId="0" applyNumberFormat="1" applyFont="1" applyFill="1" applyBorder="1" applyAlignment="1" applyProtection="1">
      <alignment horizontal="centerContinuous" vertical="top"/>
      <protection hidden="1"/>
    </xf>
    <xf numFmtId="181" fontId="28" fillId="27" borderId="27" xfId="0" applyNumberFormat="1" applyFont="1" applyFill="1" applyBorder="1" applyAlignment="1" applyProtection="1">
      <alignment horizontal="centerContinuous" vertical="top" wrapText="1"/>
      <protection hidden="1"/>
    </xf>
    <xf numFmtId="0" fontId="28" fillId="27" borderId="51" xfId="0" applyFont="1" applyFill="1" applyBorder="1" applyAlignment="1" applyProtection="1">
      <alignment horizontal="centerContinuous" vertical="top"/>
      <protection hidden="1"/>
    </xf>
    <xf numFmtId="201" fontId="26" fillId="27" borderId="26" xfId="0" applyNumberFormat="1" applyFont="1" applyFill="1" applyBorder="1" applyAlignment="1" applyProtection="1">
      <alignment horizontal="centerContinuous" vertical="top"/>
      <protection hidden="1"/>
    </xf>
    <xf numFmtId="194" fontId="26" fillId="27" borderId="27" xfId="0" applyNumberFormat="1" applyFont="1" applyFill="1" applyBorder="1" applyAlignment="1" applyProtection="1">
      <alignment horizontal="centerContinuous" vertical="top"/>
      <protection hidden="1"/>
    </xf>
    <xf numFmtId="0" fontId="28" fillId="27" borderId="184" xfId="0" applyFont="1" applyFill="1" applyBorder="1" applyAlignment="1" applyProtection="1">
      <alignment horizontal="left" vertical="center"/>
      <protection hidden="1"/>
    </xf>
    <xf numFmtId="0" fontId="37" fillId="38" borderId="0" xfId="0" applyFont="1" applyFill="1" applyAlignment="1" applyProtection="1">
      <alignment vertical="top" wrapText="1"/>
      <protection hidden="1"/>
    </xf>
    <xf numFmtId="181" fontId="28" fillId="31" borderId="50" xfId="0" applyNumberFormat="1" applyFont="1" applyFill="1" applyBorder="1" applyAlignment="1" applyProtection="1">
      <alignment horizontal="centerContinuous" vertical="top"/>
      <protection hidden="1"/>
    </xf>
    <xf numFmtId="181" fontId="28" fillId="27" borderId="165" xfId="0" applyNumberFormat="1" applyFont="1" applyFill="1" applyBorder="1" applyAlignment="1" applyProtection="1">
      <alignment horizontal="left" vertical="top"/>
      <protection hidden="1"/>
    </xf>
    <xf numFmtId="181" fontId="28" fillId="27" borderId="13" xfId="0" applyNumberFormat="1" applyFont="1" applyFill="1" applyBorder="1" applyAlignment="1" applyProtection="1">
      <alignment horizontal="left" vertical="top"/>
      <protection hidden="1"/>
    </xf>
    <xf numFmtId="181" fontId="28" fillId="27" borderId="171" xfId="0" applyNumberFormat="1" applyFont="1" applyFill="1" applyBorder="1" applyAlignment="1" applyProtection="1">
      <alignment horizontal="left" vertical="top"/>
      <protection hidden="1"/>
    </xf>
    <xf numFmtId="200" fontId="26" fillId="31" borderId="92" xfId="0" applyNumberFormat="1" applyFont="1" applyFill="1" applyBorder="1" applyAlignment="1" applyProtection="1">
      <alignment horizontal="center" vertical="center"/>
      <protection hidden="1"/>
    </xf>
    <xf numFmtId="181" fontId="28" fillId="31" borderId="57" xfId="0" applyNumberFormat="1" applyFont="1" applyFill="1" applyBorder="1" applyAlignment="1" applyProtection="1">
      <alignment horizontal="centerContinuous" vertical="top"/>
      <protection hidden="1"/>
    </xf>
    <xf numFmtId="0" fontId="28" fillId="27" borderId="165" xfId="0" applyFont="1" applyFill="1" applyBorder="1">
      <alignment vertical="center"/>
    </xf>
    <xf numFmtId="0" fontId="28" fillId="27" borderId="166" xfId="0" applyFont="1" applyFill="1" applyBorder="1">
      <alignment vertical="center"/>
    </xf>
    <xf numFmtId="0" fontId="28" fillId="27" borderId="14" xfId="0" applyFont="1" applyFill="1" applyBorder="1">
      <alignment vertical="center"/>
    </xf>
    <xf numFmtId="0" fontId="6" fillId="38" borderId="0" xfId="0" applyFont="1" applyFill="1" applyAlignment="1" applyProtection="1">
      <alignment vertical="top" wrapText="1"/>
      <protection hidden="1"/>
    </xf>
    <xf numFmtId="181" fontId="28" fillId="27" borderId="166" xfId="0" applyNumberFormat="1" applyFont="1" applyFill="1" applyBorder="1" applyAlignment="1" applyProtection="1">
      <alignment horizontal="left" vertical="top"/>
      <protection hidden="1"/>
    </xf>
    <xf numFmtId="181" fontId="28" fillId="27" borderId="14" xfId="0" applyNumberFormat="1" applyFont="1" applyFill="1" applyBorder="1" applyAlignment="1" applyProtection="1">
      <alignment horizontal="left" vertical="top"/>
      <protection hidden="1"/>
    </xf>
    <xf numFmtId="181" fontId="28" fillId="27" borderId="170" xfId="0" applyNumberFormat="1" applyFont="1" applyFill="1" applyBorder="1" applyAlignment="1" applyProtection="1">
      <alignment horizontal="left" vertical="top"/>
      <protection hidden="1"/>
    </xf>
    <xf numFmtId="0" fontId="37" fillId="38" borderId="0" xfId="0" applyFont="1" applyFill="1" applyAlignment="1" applyProtection="1">
      <alignment horizontal="right" vertical="center"/>
      <protection hidden="1"/>
    </xf>
    <xf numFmtId="0" fontId="37" fillId="38" borderId="57" xfId="0" applyFont="1" applyFill="1" applyBorder="1" applyAlignment="1" applyProtection="1">
      <alignment horizontal="left" vertical="center"/>
      <protection hidden="1"/>
    </xf>
    <xf numFmtId="0" fontId="37" fillId="38" borderId="53" xfId="0" applyFont="1" applyFill="1" applyBorder="1" applyAlignment="1" applyProtection="1">
      <alignment horizontal="left" vertical="center"/>
      <protection hidden="1"/>
    </xf>
    <xf numFmtId="0" fontId="37" fillId="38" borderId="0" xfId="0" applyFont="1" applyFill="1" applyAlignment="1" applyProtection="1">
      <alignment horizontal="left" vertical="center"/>
      <protection hidden="1"/>
    </xf>
    <xf numFmtId="0" fontId="37" fillId="38" borderId="0" xfId="0" applyFont="1" applyFill="1" applyAlignment="1" applyProtection="1">
      <alignment horizontal="centerContinuous" vertical="center"/>
      <protection hidden="1"/>
    </xf>
    <xf numFmtId="181" fontId="37" fillId="38" borderId="0" xfId="0" applyNumberFormat="1" applyFont="1" applyFill="1" applyAlignment="1" applyProtection="1">
      <alignment vertical="top" wrapText="1"/>
      <protection hidden="1"/>
    </xf>
    <xf numFmtId="0" fontId="28" fillId="0" borderId="0" xfId="0" applyFont="1" applyAlignment="1" applyProtection="1">
      <alignment horizontal="left" vertical="top"/>
      <protection hidden="1"/>
    </xf>
    <xf numFmtId="0" fontId="72" fillId="0" borderId="0" xfId="0" applyFont="1" applyAlignment="1" applyProtection="1">
      <alignment horizontal="left" vertical="center"/>
      <protection hidden="1"/>
    </xf>
    <xf numFmtId="0" fontId="150" fillId="0" borderId="0" xfId="0" applyFont="1" applyProtection="1">
      <alignment vertical="center"/>
      <protection hidden="1"/>
    </xf>
    <xf numFmtId="0" fontId="151" fillId="0" borderId="0" xfId="0" applyFont="1" applyAlignment="1" applyProtection="1">
      <alignment horizontal="left" vertical="top"/>
      <protection hidden="1"/>
    </xf>
    <xf numFmtId="2" fontId="28" fillId="31" borderId="27" xfId="0" applyNumberFormat="1" applyFont="1" applyFill="1" applyBorder="1" applyAlignment="1" applyProtection="1">
      <alignment horizontal="center" vertical="center"/>
      <protection hidden="1"/>
    </xf>
    <xf numFmtId="199" fontId="26" fillId="31" borderId="144" xfId="0" applyNumberFormat="1" applyFont="1" applyFill="1" applyBorder="1" applyAlignment="1" applyProtection="1">
      <alignment horizontal="center" vertical="center"/>
      <protection hidden="1"/>
    </xf>
    <xf numFmtId="181" fontId="28" fillId="31" borderId="58" xfId="0" applyNumberFormat="1" applyFont="1" applyFill="1" applyBorder="1" applyAlignment="1" applyProtection="1">
      <alignment horizontal="center" vertical="center"/>
      <protection hidden="1"/>
    </xf>
    <xf numFmtId="0" fontId="126" fillId="0" borderId="0" xfId="0" applyFont="1" applyProtection="1">
      <alignment vertical="center"/>
      <protection hidden="1"/>
    </xf>
    <xf numFmtId="0" fontId="28" fillId="27" borderId="51" xfId="0" applyFont="1" applyFill="1" applyBorder="1" applyAlignment="1" applyProtection="1">
      <alignment horizontal="center" vertical="center" wrapText="1"/>
      <protection hidden="1"/>
    </xf>
    <xf numFmtId="0" fontId="28" fillId="27" borderId="27" xfId="0" applyFont="1" applyFill="1" applyBorder="1" applyAlignment="1" applyProtection="1">
      <alignment horizontal="center" vertical="center"/>
      <protection hidden="1"/>
    </xf>
    <xf numFmtId="206" fontId="23" fillId="31" borderId="92" xfId="0" applyNumberFormat="1" applyFont="1" applyFill="1" applyBorder="1" applyAlignment="1" applyProtection="1">
      <alignment horizontal="center" vertical="center"/>
      <protection locked="0" hidden="1"/>
    </xf>
    <xf numFmtId="0" fontId="6" fillId="27" borderId="16" xfId="0" quotePrefix="1" applyFont="1" applyFill="1" applyBorder="1" applyAlignment="1" applyProtection="1">
      <alignment horizontal="center" vertical="center" wrapText="1"/>
      <protection hidden="1"/>
    </xf>
    <xf numFmtId="0" fontId="28" fillId="27" borderId="13" xfId="0" applyFont="1" applyFill="1" applyBorder="1" applyAlignment="1" applyProtection="1">
      <alignment horizontal="left" vertical="center" wrapText="1"/>
      <protection hidden="1"/>
    </xf>
    <xf numFmtId="0" fontId="28" fillId="27" borderId="14" xfId="0" applyFont="1" applyFill="1" applyBorder="1" applyAlignment="1" applyProtection="1">
      <alignment horizontal="left" vertical="center" wrapText="1"/>
      <protection hidden="1"/>
    </xf>
    <xf numFmtId="0" fontId="6" fillId="27" borderId="14" xfId="0" quotePrefix="1" applyFont="1" applyFill="1" applyBorder="1" applyAlignment="1" applyProtection="1">
      <alignment horizontal="center" vertical="center" wrapText="1"/>
      <protection hidden="1"/>
    </xf>
    <xf numFmtId="0" fontId="28" fillId="27" borderId="176" xfId="0" applyFont="1" applyFill="1" applyBorder="1" applyAlignment="1" applyProtection="1">
      <alignment horizontal="left" vertical="center" wrapText="1"/>
      <protection hidden="1"/>
    </xf>
    <xf numFmtId="0" fontId="28" fillId="27" borderId="181" xfId="0" applyFont="1" applyFill="1" applyBorder="1" applyAlignment="1" applyProtection="1">
      <alignment horizontal="left" vertical="center" wrapText="1"/>
      <protection hidden="1"/>
    </xf>
    <xf numFmtId="0" fontId="28" fillId="27" borderId="182" xfId="0" applyFont="1" applyFill="1" applyBorder="1" applyAlignment="1" applyProtection="1">
      <alignment horizontal="left" vertical="center" wrapText="1"/>
      <protection hidden="1"/>
    </xf>
    <xf numFmtId="0" fontId="28" fillId="27" borderId="0" xfId="0" applyFont="1" applyFill="1" applyAlignment="1" applyProtection="1">
      <alignment horizontal="left" vertical="center" wrapText="1"/>
      <protection hidden="1"/>
    </xf>
    <xf numFmtId="0" fontId="28" fillId="27" borderId="17" xfId="0" applyFont="1" applyFill="1" applyBorder="1" applyAlignment="1" applyProtection="1">
      <alignment horizontal="left" vertical="center" wrapText="1"/>
      <protection hidden="1"/>
    </xf>
    <xf numFmtId="206" fontId="23" fillId="31" borderId="173" xfId="0" applyNumberFormat="1" applyFont="1" applyFill="1" applyBorder="1" applyAlignment="1" applyProtection="1">
      <alignment horizontal="center" vertical="center"/>
      <protection locked="0" hidden="1"/>
    </xf>
    <xf numFmtId="206" fontId="23" fillId="31" borderId="174" xfId="0" applyNumberFormat="1" applyFont="1" applyFill="1" applyBorder="1" applyAlignment="1" applyProtection="1">
      <alignment horizontal="center" vertical="center"/>
      <protection locked="0" hidden="1"/>
    </xf>
    <xf numFmtId="0" fontId="28" fillId="27" borderId="171" xfId="0" applyFont="1" applyFill="1" applyBorder="1" applyAlignment="1" applyProtection="1">
      <alignment horizontal="left" vertical="center" wrapText="1"/>
      <protection hidden="1"/>
    </xf>
    <xf numFmtId="0" fontId="28" fillId="27" borderId="170" xfId="0" applyFont="1" applyFill="1" applyBorder="1" applyAlignment="1" applyProtection="1">
      <alignment horizontal="left" vertical="center" wrapText="1"/>
      <protection hidden="1"/>
    </xf>
    <xf numFmtId="0" fontId="28" fillId="0" borderId="62" xfId="0" applyFont="1" applyBorder="1" applyAlignment="1">
      <alignment horizontal="center" vertical="center"/>
    </xf>
    <xf numFmtId="207" fontId="23" fillId="27" borderId="172" xfId="0" applyNumberFormat="1" applyFont="1" applyFill="1" applyBorder="1" applyAlignment="1" applyProtection="1">
      <alignment horizontal="center" vertical="center"/>
      <protection locked="0" hidden="1"/>
    </xf>
    <xf numFmtId="207" fontId="23" fillId="27" borderId="173" xfId="0" applyNumberFormat="1" applyFont="1" applyFill="1" applyBorder="1" applyAlignment="1" applyProtection="1">
      <alignment horizontal="center" vertical="center"/>
      <protection locked="0" hidden="1"/>
    </xf>
    <xf numFmtId="0" fontId="6" fillId="27" borderId="14" xfId="0" applyFont="1" applyFill="1" applyBorder="1" applyAlignment="1" applyProtection="1">
      <alignment horizontal="center" vertical="center" wrapText="1"/>
      <protection hidden="1"/>
    </xf>
    <xf numFmtId="0" fontId="28" fillId="27" borderId="176" xfId="0" applyFont="1" applyFill="1" applyBorder="1" applyAlignment="1" applyProtection="1">
      <alignment horizontal="left" vertical="center"/>
      <protection hidden="1"/>
    </xf>
    <xf numFmtId="0" fontId="6" fillId="27" borderId="177" xfId="0" applyFont="1" applyFill="1" applyBorder="1" applyAlignment="1" applyProtection="1">
      <alignment horizontal="center" vertical="center" wrapText="1"/>
      <protection hidden="1"/>
    </xf>
    <xf numFmtId="0" fontId="152" fillId="0" borderId="0" xfId="0" applyFont="1" applyAlignment="1" applyProtection="1">
      <alignment horizontal="left" vertical="top"/>
      <protection hidden="1"/>
    </xf>
    <xf numFmtId="199" fontId="26" fillId="31" borderId="92" xfId="0" applyNumberFormat="1" applyFont="1" applyFill="1" applyBorder="1" applyAlignment="1" applyProtection="1">
      <alignment horizontal="center" vertical="center"/>
      <protection hidden="1"/>
    </xf>
    <xf numFmtId="207" fontId="23" fillId="31" borderId="172" xfId="0" applyNumberFormat="1" applyFont="1" applyFill="1" applyBorder="1" applyAlignment="1" applyProtection="1">
      <alignment horizontal="center" vertical="center"/>
      <protection locked="0" hidden="1"/>
    </xf>
    <xf numFmtId="0" fontId="6" fillId="27" borderId="16" xfId="0" applyFont="1" applyFill="1" applyBorder="1" applyAlignment="1" applyProtection="1">
      <alignment horizontal="center" vertical="center" wrapText="1"/>
      <protection hidden="1"/>
    </xf>
    <xf numFmtId="207" fontId="23" fillId="31" borderId="173" xfId="0" applyNumberFormat="1" applyFont="1" applyFill="1" applyBorder="1" applyAlignment="1" applyProtection="1">
      <alignment horizontal="center" vertical="center"/>
      <protection locked="0" hidden="1"/>
    </xf>
    <xf numFmtId="207" fontId="23" fillId="31" borderId="188" xfId="0" applyNumberFormat="1" applyFont="1" applyFill="1" applyBorder="1" applyAlignment="1" applyProtection="1">
      <alignment horizontal="center" vertical="center"/>
      <protection locked="0" hidden="1"/>
    </xf>
    <xf numFmtId="0" fontId="6" fillId="27" borderId="15" xfId="0" applyFont="1" applyFill="1" applyBorder="1" applyAlignment="1" applyProtection="1">
      <alignment horizontal="center" vertical="center" wrapText="1"/>
      <protection hidden="1"/>
    </xf>
    <xf numFmtId="0" fontId="6" fillId="27" borderId="167" xfId="0" applyFont="1" applyFill="1" applyBorder="1" applyAlignment="1" applyProtection="1">
      <alignment horizontal="center" vertical="center" wrapText="1"/>
      <protection hidden="1"/>
    </xf>
    <xf numFmtId="176" fontId="6" fillId="27" borderId="15" xfId="0" applyNumberFormat="1" applyFont="1" applyFill="1" applyBorder="1" applyAlignment="1" applyProtection="1">
      <alignment horizontal="center" vertical="center" wrapText="1"/>
      <protection hidden="1"/>
    </xf>
    <xf numFmtId="0" fontId="6" fillId="27" borderId="167" xfId="0" applyFont="1" applyFill="1" applyBorder="1" applyAlignment="1" applyProtection="1">
      <alignment horizontal="center" vertical="center"/>
      <protection hidden="1"/>
    </xf>
    <xf numFmtId="0" fontId="6" fillId="27" borderId="11" xfId="0" applyFont="1" applyFill="1" applyBorder="1" applyAlignment="1">
      <alignment horizontal="center" vertical="center" wrapText="1"/>
    </xf>
    <xf numFmtId="207" fontId="23" fillId="31" borderId="174" xfId="0" applyNumberFormat="1" applyFont="1" applyFill="1" applyBorder="1" applyAlignment="1" applyProtection="1">
      <alignment horizontal="center" vertical="center"/>
      <protection locked="0" hidden="1"/>
    </xf>
    <xf numFmtId="0" fontId="6" fillId="27" borderId="168" xfId="0" applyFont="1" applyFill="1" applyBorder="1" applyAlignment="1">
      <alignment horizontal="center" vertical="center" wrapText="1"/>
    </xf>
    <xf numFmtId="0" fontId="28" fillId="31" borderId="50" xfId="0" applyFont="1" applyFill="1" applyBorder="1" applyAlignment="1">
      <alignment horizontal="centerContinuous" vertical="center"/>
    </xf>
    <xf numFmtId="0" fontId="28" fillId="31" borderId="55" xfId="0" applyFont="1" applyFill="1" applyBorder="1">
      <alignment vertical="center"/>
    </xf>
    <xf numFmtId="181" fontId="28" fillId="31" borderId="50" xfId="0" applyNumberFormat="1" applyFont="1" applyFill="1" applyBorder="1" applyAlignment="1" applyProtection="1">
      <alignment horizontal="left" vertical="center"/>
      <protection hidden="1"/>
    </xf>
    <xf numFmtId="181" fontId="28" fillId="31" borderId="56" xfId="0" applyNumberFormat="1" applyFont="1" applyFill="1" applyBorder="1" applyAlignment="1" applyProtection="1">
      <alignment horizontal="left" vertical="center"/>
      <protection hidden="1"/>
    </xf>
    <xf numFmtId="0" fontId="28" fillId="31" borderId="0" xfId="0" applyFont="1" applyFill="1">
      <alignment vertical="center"/>
    </xf>
    <xf numFmtId="181" fontId="26" fillId="27" borderId="175" xfId="0" applyNumberFormat="1" applyFont="1" applyFill="1" applyBorder="1" applyAlignment="1" applyProtection="1">
      <alignment horizontal="centerContinuous" vertical="center"/>
      <protection hidden="1"/>
    </xf>
    <xf numFmtId="181" fontId="26" fillId="27" borderId="12" xfId="0" applyNumberFormat="1" applyFont="1" applyFill="1" applyBorder="1" applyAlignment="1" applyProtection="1">
      <alignment horizontal="centerContinuous" vertical="center"/>
      <protection hidden="1"/>
    </xf>
    <xf numFmtId="181" fontId="26" fillId="27" borderId="56" xfId="0" applyNumberFormat="1" applyFont="1" applyFill="1" applyBorder="1" applyAlignment="1" applyProtection="1">
      <alignment horizontal="centerContinuous" vertical="center"/>
      <protection hidden="1"/>
    </xf>
    <xf numFmtId="0" fontId="28" fillId="27" borderId="52" xfId="0" quotePrefix="1" applyFont="1" applyFill="1" applyBorder="1" applyProtection="1">
      <alignment vertical="center"/>
      <protection hidden="1"/>
    </xf>
    <xf numFmtId="0" fontId="28" fillId="27" borderId="64" xfId="0" quotePrefix="1" applyFont="1" applyFill="1" applyBorder="1" applyProtection="1">
      <alignment vertical="center"/>
      <protection hidden="1"/>
    </xf>
    <xf numFmtId="0" fontId="23" fillId="0" borderId="0" xfId="0" applyFont="1" applyAlignment="1" applyProtection="1">
      <alignment horizontal="left" vertical="center"/>
      <protection hidden="1"/>
    </xf>
    <xf numFmtId="0" fontId="26" fillId="0" borderId="0" xfId="0" applyFont="1" applyAlignment="1" applyProtection="1">
      <alignment horizontal="left" vertical="center"/>
      <protection hidden="1"/>
    </xf>
    <xf numFmtId="0" fontId="28" fillId="27" borderId="50" xfId="0" applyFont="1" applyFill="1" applyBorder="1" applyAlignment="1" applyProtection="1">
      <alignment horizontal="left" vertical="center"/>
      <protection hidden="1"/>
    </xf>
    <xf numFmtId="181" fontId="28" fillId="31" borderId="53" xfId="0" applyNumberFormat="1" applyFont="1" applyFill="1" applyBorder="1" applyAlignment="1" applyProtection="1">
      <alignment horizontal="centerContinuous" vertical="center"/>
      <protection hidden="1"/>
    </xf>
    <xf numFmtId="181" fontId="28" fillId="29" borderId="0" xfId="0" applyNumberFormat="1" applyFont="1" applyFill="1">
      <alignment vertical="center"/>
    </xf>
    <xf numFmtId="0" fontId="28" fillId="0" borderId="0" xfId="0" applyFont="1" applyAlignment="1" applyProtection="1">
      <alignment horizontal="right" vertical="center"/>
      <protection hidden="1"/>
    </xf>
    <xf numFmtId="0" fontId="23" fillId="0" borderId="0" xfId="0" applyFont="1">
      <alignment vertical="center"/>
    </xf>
    <xf numFmtId="188" fontId="26" fillId="27" borderId="144" xfId="35" applyNumberFormat="1" applyFont="1" applyFill="1" applyBorder="1" applyAlignment="1" applyProtection="1">
      <alignment horizontal="center" vertical="center"/>
      <protection locked="0"/>
    </xf>
    <xf numFmtId="0" fontId="28" fillId="27" borderId="26" xfId="0" applyFont="1" applyFill="1" applyBorder="1" applyAlignment="1" applyProtection="1">
      <alignment horizontal="left" vertical="center"/>
      <protection hidden="1"/>
    </xf>
    <xf numFmtId="0" fontId="28" fillId="27" borderId="50" xfId="0" applyFont="1" applyFill="1" applyBorder="1" applyAlignment="1" applyProtection="1">
      <alignment horizontal="center"/>
      <protection hidden="1"/>
    </xf>
    <xf numFmtId="0" fontId="28" fillId="27" borderId="27" xfId="0" applyFont="1" applyFill="1" applyBorder="1" applyAlignment="1" applyProtection="1">
      <alignment horizontal="center"/>
      <protection hidden="1"/>
    </xf>
    <xf numFmtId="0" fontId="28" fillId="27" borderId="16" xfId="0" applyFont="1" applyFill="1" applyBorder="1" applyAlignment="1" applyProtection="1">
      <alignment horizontal="center" vertical="center"/>
      <protection hidden="1"/>
    </xf>
    <xf numFmtId="0" fontId="28" fillId="27" borderId="11" xfId="0" applyFont="1" applyFill="1" applyBorder="1" applyAlignment="1" applyProtection="1">
      <alignment horizontal="center" vertical="center"/>
      <protection hidden="1"/>
    </xf>
    <xf numFmtId="0" fontId="28" fillId="27" borderId="55" xfId="0" applyFont="1" applyFill="1" applyBorder="1" applyAlignment="1" applyProtection="1">
      <alignment horizontal="center" vertical="center"/>
      <protection hidden="1"/>
    </xf>
    <xf numFmtId="194" fontId="26" fillId="27" borderId="174" xfId="0" applyNumberFormat="1" applyFont="1" applyFill="1" applyBorder="1" applyAlignment="1" applyProtection="1">
      <alignment horizontal="center" vertical="center"/>
      <protection locked="0"/>
    </xf>
    <xf numFmtId="0" fontId="28" fillId="27" borderId="56" xfId="0" applyFont="1" applyFill="1" applyBorder="1" applyAlignment="1" applyProtection="1">
      <alignment horizontal="left" vertical="center"/>
      <protection hidden="1"/>
    </xf>
    <xf numFmtId="0" fontId="48" fillId="0" borderId="0" xfId="0" applyFont="1" applyAlignment="1">
      <alignment horizontal="right" vertical="center"/>
    </xf>
    <xf numFmtId="199" fontId="26" fillId="31" borderId="10" xfId="0" applyNumberFormat="1" applyFont="1" applyFill="1" applyBorder="1" applyAlignment="1" applyProtection="1">
      <alignment horizontal="centerContinuous" vertical="center"/>
      <protection hidden="1"/>
    </xf>
    <xf numFmtId="181" fontId="26" fillId="27" borderId="55" xfId="0" applyNumberFormat="1" applyFont="1" applyFill="1" applyBorder="1" applyAlignment="1" applyProtection="1">
      <alignment horizontal="center" vertical="center"/>
      <protection hidden="1"/>
    </xf>
    <xf numFmtId="177" fontId="28" fillId="27" borderId="87" xfId="0" applyNumberFormat="1" applyFont="1" applyFill="1" applyBorder="1" applyAlignment="1" applyProtection="1">
      <alignment horizontal="left" vertical="center"/>
      <protection hidden="1"/>
    </xf>
    <xf numFmtId="181" fontId="26" fillId="27" borderId="167" xfId="0" applyNumberFormat="1" applyFont="1" applyFill="1" applyBorder="1" applyAlignment="1" applyProtection="1">
      <alignment horizontal="centerContinuous" vertical="center"/>
      <protection hidden="1"/>
    </xf>
    <xf numFmtId="0" fontId="28" fillId="27" borderId="0" xfId="0" quotePrefix="1" applyFont="1" applyFill="1" applyProtection="1">
      <alignment vertical="center"/>
      <protection hidden="1"/>
    </xf>
    <xf numFmtId="181" fontId="26" fillId="27" borderId="11" xfId="0" applyNumberFormat="1" applyFont="1" applyFill="1" applyBorder="1" applyAlignment="1" applyProtection="1">
      <alignment horizontal="centerContinuous" vertical="center"/>
      <protection hidden="1"/>
    </xf>
    <xf numFmtId="181" fontId="26" fillId="27" borderId="55" xfId="0" applyNumberFormat="1" applyFont="1" applyFill="1" applyBorder="1" applyAlignment="1" applyProtection="1">
      <alignment horizontal="centerContinuous" vertical="center"/>
      <protection hidden="1"/>
    </xf>
    <xf numFmtId="0" fontId="28" fillId="31" borderId="53" xfId="0" applyFont="1" applyFill="1" applyBorder="1" applyAlignment="1" applyProtection="1">
      <alignment horizontal="centerContinuous" vertical="center"/>
      <protection hidden="1"/>
    </xf>
    <xf numFmtId="0" fontId="28" fillId="27" borderId="26" xfId="0" applyFont="1" applyFill="1" applyBorder="1" applyAlignment="1">
      <alignment horizontal="center" vertical="center"/>
    </xf>
    <xf numFmtId="0" fontId="28" fillId="27" borderId="50" xfId="0" applyFont="1" applyFill="1" applyBorder="1" applyAlignment="1">
      <alignment horizontal="center" vertical="center"/>
    </xf>
    <xf numFmtId="0" fontId="28" fillId="27" borderId="27" xfId="0" applyFont="1" applyFill="1" applyBorder="1" applyAlignment="1">
      <alignment horizontal="center" vertical="center"/>
    </xf>
    <xf numFmtId="0" fontId="28" fillId="27" borderId="26" xfId="0" applyFont="1" applyFill="1" applyBorder="1" applyAlignment="1">
      <alignment horizontal="centerContinuous" vertical="center"/>
    </xf>
    <xf numFmtId="0" fontId="28" fillId="27" borderId="27" xfId="0" applyFont="1" applyFill="1" applyBorder="1" applyAlignment="1">
      <alignment horizontal="centerContinuous" vertical="center"/>
    </xf>
    <xf numFmtId="0" fontId="28" fillId="27" borderId="10" xfId="0" applyFont="1" applyFill="1" applyBorder="1" applyAlignment="1">
      <alignment horizontal="center" vertical="center" wrapText="1"/>
    </xf>
    <xf numFmtId="0" fontId="28" fillId="27" borderId="26" xfId="0" applyFont="1" applyFill="1" applyBorder="1" applyAlignment="1">
      <alignment horizontal="left" vertical="center"/>
    </xf>
    <xf numFmtId="0" fontId="28" fillId="27" borderId="50" xfId="0" applyFont="1" applyFill="1" applyBorder="1" applyAlignment="1">
      <alignment horizontal="left" vertical="center"/>
    </xf>
    <xf numFmtId="0" fontId="28" fillId="27" borderId="27" xfId="0" applyFont="1" applyFill="1" applyBorder="1" applyAlignment="1">
      <alignment horizontal="left" vertical="center"/>
    </xf>
    <xf numFmtId="0" fontId="28" fillId="27" borderId="55" xfId="0" applyFont="1" applyFill="1" applyBorder="1" applyProtection="1">
      <alignment vertical="center"/>
      <protection hidden="1"/>
    </xf>
    <xf numFmtId="177" fontId="28" fillId="27" borderId="57" xfId="0" applyNumberFormat="1" applyFont="1" applyFill="1" applyBorder="1" applyAlignment="1" applyProtection="1">
      <alignment horizontal="left" vertical="center"/>
      <protection hidden="1"/>
    </xf>
    <xf numFmtId="0" fontId="6" fillId="0" borderId="57" xfId="0" applyFont="1" applyBorder="1" applyAlignment="1">
      <alignment horizontal="center" vertical="center"/>
    </xf>
    <xf numFmtId="0" fontId="6" fillId="0" borderId="57" xfId="0" applyFont="1" applyBorder="1">
      <alignment vertical="center"/>
    </xf>
    <xf numFmtId="0" fontId="33" fillId="27" borderId="10" xfId="0" applyFont="1" applyFill="1" applyBorder="1" applyAlignment="1">
      <alignment vertical="center" shrinkToFit="1"/>
    </xf>
    <xf numFmtId="0" fontId="126" fillId="0" borderId="0" xfId="0" applyFont="1" applyAlignment="1" applyProtection="1">
      <alignment horizontal="left" vertical="center"/>
      <protection hidden="1"/>
    </xf>
    <xf numFmtId="0" fontId="33" fillId="27" borderId="26" xfId="0" applyFont="1" applyFill="1" applyBorder="1" applyAlignment="1" applyProtection="1">
      <alignment horizontal="left" vertical="center"/>
      <protection hidden="1"/>
    </xf>
    <xf numFmtId="0" fontId="33" fillId="27" borderId="10" xfId="0" applyFont="1" applyFill="1" applyBorder="1" applyAlignment="1">
      <alignment horizontal="left" vertical="center" shrinkToFit="1"/>
    </xf>
    <xf numFmtId="38" fontId="6" fillId="0" borderId="0" xfId="35">
      <alignment vertical="center"/>
    </xf>
    <xf numFmtId="0" fontId="28" fillId="27" borderId="64" xfId="0" applyFont="1" applyFill="1" applyBorder="1">
      <alignment vertical="center"/>
    </xf>
    <xf numFmtId="0" fontId="33" fillId="0" borderId="57" xfId="0" applyFont="1" applyBorder="1" applyAlignment="1">
      <alignment horizontal="center" vertical="top"/>
    </xf>
    <xf numFmtId="0" fontId="28" fillId="0" borderId="57" xfId="0" applyFont="1" applyBorder="1">
      <alignment vertical="center"/>
    </xf>
    <xf numFmtId="0" fontId="28" fillId="0" borderId="0" xfId="0" applyFont="1" applyAlignment="1">
      <alignment vertical="top"/>
    </xf>
    <xf numFmtId="0" fontId="72" fillId="0" borderId="0" xfId="0" applyFont="1" applyAlignment="1">
      <alignment horizontal="left" vertical="center"/>
    </xf>
    <xf numFmtId="0" fontId="28" fillId="0" borderId="0" xfId="0" applyFont="1" applyAlignment="1" applyProtection="1">
      <alignment vertical="top"/>
      <protection hidden="1"/>
    </xf>
    <xf numFmtId="0" fontId="152" fillId="0" borderId="0" xfId="0" applyFont="1" applyAlignment="1" applyProtection="1">
      <alignment vertical="top"/>
      <protection hidden="1"/>
    </xf>
    <xf numFmtId="181" fontId="37" fillId="27" borderId="166" xfId="0" applyNumberFormat="1" applyFont="1" applyFill="1" applyBorder="1" applyAlignment="1" applyProtection="1">
      <alignment vertical="top"/>
      <protection hidden="1"/>
    </xf>
    <xf numFmtId="181" fontId="37" fillId="27" borderId="17" xfId="0" applyNumberFormat="1" applyFont="1" applyFill="1" applyBorder="1" applyAlignment="1" applyProtection="1">
      <alignment vertical="top"/>
      <protection hidden="1"/>
    </xf>
    <xf numFmtId="181" fontId="37" fillId="27" borderId="182" xfId="0" applyNumberFormat="1" applyFont="1" applyFill="1" applyBorder="1" applyAlignment="1" applyProtection="1">
      <alignment vertical="top"/>
      <protection hidden="1"/>
    </xf>
    <xf numFmtId="181" fontId="37" fillId="27" borderId="170" xfId="0" applyNumberFormat="1" applyFont="1" applyFill="1" applyBorder="1" applyAlignment="1" applyProtection="1">
      <alignment vertical="top"/>
      <protection hidden="1"/>
    </xf>
    <xf numFmtId="0" fontId="37" fillId="0" borderId="0" xfId="0" applyFont="1" applyAlignment="1" applyProtection="1">
      <alignment horizontal="right" vertical="center"/>
      <protection hidden="1"/>
    </xf>
    <xf numFmtId="0" fontId="37" fillId="0" borderId="0" xfId="0" applyFont="1" applyAlignment="1" applyProtection="1">
      <alignment horizontal="left" vertical="center"/>
      <protection hidden="1"/>
    </xf>
    <xf numFmtId="0" fontId="153" fillId="0" borderId="0" xfId="0" applyFont="1" applyAlignment="1" applyProtection="1">
      <alignment vertical="top"/>
      <protection hidden="1"/>
    </xf>
    <xf numFmtId="181" fontId="28" fillId="31" borderId="82" xfId="0" applyNumberFormat="1" applyFont="1" applyFill="1" applyBorder="1" applyAlignment="1" applyProtection="1">
      <alignment horizontal="centerContinuous" vertical="center"/>
      <protection hidden="1"/>
    </xf>
    <xf numFmtId="0" fontId="37" fillId="0" borderId="57" xfId="0" applyFont="1" applyBorder="1" applyAlignment="1" applyProtection="1">
      <alignment horizontal="centerContinuous" vertical="center"/>
      <protection hidden="1"/>
    </xf>
    <xf numFmtId="0" fontId="45" fillId="0" borderId="0" xfId="0" applyFont="1" applyAlignment="1" applyProtection="1">
      <alignment horizontal="left" vertical="top"/>
      <protection hidden="1"/>
    </xf>
    <xf numFmtId="0" fontId="37" fillId="0" borderId="0" xfId="0" applyFont="1" applyAlignment="1" applyProtection="1">
      <alignment horizontal="left" vertical="top"/>
      <protection hidden="1"/>
    </xf>
    <xf numFmtId="181" fontId="28" fillId="44" borderId="27" xfId="0" applyNumberFormat="1" applyFont="1" applyFill="1" applyBorder="1" applyAlignment="1" applyProtection="1">
      <alignment horizontal="centerContinuous" vertical="center"/>
      <protection hidden="1"/>
    </xf>
    <xf numFmtId="181" fontId="28" fillId="42" borderId="164" xfId="0" applyNumberFormat="1" applyFont="1" applyFill="1" applyBorder="1" applyAlignment="1" applyProtection="1">
      <alignment horizontal="left" vertical="center"/>
      <protection hidden="1"/>
    </xf>
    <xf numFmtId="0" fontId="28" fillId="42" borderId="166" xfId="0" applyFont="1" applyFill="1" applyBorder="1" applyAlignment="1" applyProtection="1">
      <alignment horizontal="left" vertical="center" wrapText="1"/>
      <protection hidden="1"/>
    </xf>
    <xf numFmtId="181" fontId="28" fillId="42" borderId="12" xfId="0" applyNumberFormat="1" applyFont="1" applyFill="1" applyBorder="1" applyAlignment="1" applyProtection="1">
      <alignment horizontal="left" vertical="center"/>
      <protection hidden="1"/>
    </xf>
    <xf numFmtId="0" fontId="28" fillId="42" borderId="14" xfId="0" applyFont="1" applyFill="1" applyBorder="1" applyAlignment="1" applyProtection="1">
      <alignment horizontal="left" vertical="center" wrapText="1"/>
      <protection hidden="1"/>
    </xf>
    <xf numFmtId="0" fontId="28" fillId="27" borderId="52" xfId="0" applyFont="1" applyFill="1" applyBorder="1" applyAlignment="1" applyProtection="1">
      <alignment horizontal="center" vertical="center"/>
      <protection hidden="1"/>
    </xf>
    <xf numFmtId="0" fontId="28" fillId="27" borderId="53" xfId="0" applyFont="1" applyFill="1" applyBorder="1" applyAlignment="1" applyProtection="1">
      <alignment horizontal="center" vertical="top"/>
      <protection hidden="1"/>
    </xf>
    <xf numFmtId="0" fontId="28" fillId="27" borderId="53" xfId="0" applyFont="1" applyFill="1" applyBorder="1" applyAlignment="1" applyProtection="1">
      <alignment horizontal="center" vertical="center"/>
      <protection hidden="1"/>
    </xf>
    <xf numFmtId="0" fontId="28" fillId="27" borderId="165" xfId="0" applyFont="1" applyFill="1" applyBorder="1" applyAlignment="1" applyProtection="1">
      <alignment horizontal="left" vertical="top" wrapText="1"/>
      <protection hidden="1"/>
    </xf>
    <xf numFmtId="0" fontId="28" fillId="27" borderId="13" xfId="0" applyFont="1" applyFill="1" applyBorder="1" applyAlignment="1" applyProtection="1">
      <alignment horizontal="left" vertical="top" wrapText="1"/>
      <protection hidden="1"/>
    </xf>
    <xf numFmtId="0" fontId="28" fillId="27" borderId="189" xfId="0" applyFont="1" applyFill="1" applyBorder="1" applyAlignment="1" applyProtection="1">
      <alignment horizontal="left" vertical="center" wrapText="1"/>
      <protection hidden="1"/>
    </xf>
    <xf numFmtId="0" fontId="28" fillId="27" borderId="76" xfId="0" applyFont="1" applyFill="1" applyBorder="1" applyAlignment="1" applyProtection="1">
      <alignment horizontal="left" vertical="center"/>
      <protection hidden="1"/>
    </xf>
    <xf numFmtId="0" fontId="28" fillId="27" borderId="76" xfId="0" applyFont="1" applyFill="1" applyBorder="1" applyAlignment="1" applyProtection="1">
      <alignment horizontal="left" vertical="center" wrapText="1"/>
      <protection hidden="1"/>
    </xf>
    <xf numFmtId="0" fontId="28" fillId="27" borderId="181" xfId="0" applyFont="1" applyFill="1" applyBorder="1" applyAlignment="1" applyProtection="1">
      <alignment horizontal="left" vertical="top" wrapText="1"/>
      <protection hidden="1"/>
    </xf>
    <xf numFmtId="196" fontId="26" fillId="27" borderId="50" xfId="0" applyNumberFormat="1" applyFont="1" applyFill="1" applyBorder="1" applyAlignment="1" applyProtection="1">
      <alignment horizontal="center" vertical="top" wrapText="1"/>
      <protection hidden="1"/>
    </xf>
    <xf numFmtId="0" fontId="158" fillId="0" borderId="0" xfId="0" applyFont="1" applyProtection="1">
      <alignment vertical="center"/>
      <protection hidden="1"/>
    </xf>
    <xf numFmtId="0" fontId="37" fillId="0" borderId="0" xfId="0" applyFont="1" applyAlignment="1" applyProtection="1">
      <alignment horizontal="justify"/>
      <protection hidden="1"/>
    </xf>
    <xf numFmtId="0" fontId="37" fillId="0" borderId="0" xfId="0" applyFont="1" applyAlignment="1" applyProtection="1">
      <alignment horizontal="left"/>
      <protection hidden="1"/>
    </xf>
    <xf numFmtId="0" fontId="28" fillId="27" borderId="190" xfId="0" applyFont="1" applyFill="1" applyBorder="1" applyAlignment="1" applyProtection="1">
      <alignment horizontal="centerContinuous" vertical="center"/>
      <protection hidden="1"/>
    </xf>
    <xf numFmtId="0" fontId="28" fillId="27" borderId="191" xfId="0" applyFont="1" applyFill="1" applyBorder="1" applyAlignment="1">
      <alignment horizontal="centerContinuous" vertical="center"/>
    </xf>
    <xf numFmtId="0" fontId="28" fillId="27" borderId="192" xfId="0" applyFont="1" applyFill="1" applyBorder="1" applyAlignment="1">
      <alignment horizontal="centerContinuous" vertical="top"/>
    </xf>
    <xf numFmtId="0" fontId="28" fillId="27" borderId="193" xfId="0" applyFont="1" applyFill="1" applyBorder="1" applyProtection="1">
      <alignment vertical="center"/>
      <protection hidden="1"/>
    </xf>
    <xf numFmtId="0" fontId="28" fillId="27" borderId="194" xfId="0" applyFont="1" applyFill="1" applyBorder="1">
      <alignment vertical="center"/>
    </xf>
    <xf numFmtId="0" fontId="28" fillId="27" borderId="194" xfId="0" applyFont="1" applyFill="1" applyBorder="1" applyAlignment="1">
      <alignment vertical="top"/>
    </xf>
    <xf numFmtId="0" fontId="28" fillId="27" borderId="195" xfId="0" applyFont="1" applyFill="1" applyBorder="1" applyAlignment="1">
      <alignment vertical="top"/>
    </xf>
    <xf numFmtId="0" fontId="29" fillId="27" borderId="12" xfId="0" applyFont="1" applyFill="1" applyBorder="1" applyProtection="1">
      <alignment vertical="center"/>
      <protection hidden="1"/>
    </xf>
    <xf numFmtId="0" fontId="28" fillId="27" borderId="13" xfId="0" applyFont="1" applyFill="1" applyBorder="1" applyAlignment="1">
      <alignment vertical="top"/>
    </xf>
    <xf numFmtId="0" fontId="28" fillId="27" borderId="14" xfId="0" applyFont="1" applyFill="1" applyBorder="1" applyAlignment="1">
      <alignment vertical="top"/>
    </xf>
    <xf numFmtId="0" fontId="29" fillId="27" borderId="175" xfId="0" applyFont="1" applyFill="1" applyBorder="1" applyProtection="1">
      <alignment vertical="center"/>
      <protection hidden="1"/>
    </xf>
    <xf numFmtId="0" fontId="28" fillId="27" borderId="87" xfId="0" applyFont="1" applyFill="1" applyBorder="1">
      <alignment vertical="center"/>
    </xf>
    <xf numFmtId="0" fontId="28" fillId="27" borderId="87" xfId="0" applyFont="1" applyFill="1" applyBorder="1" applyAlignment="1">
      <alignment vertical="top"/>
    </xf>
    <xf numFmtId="0" fontId="28" fillId="27" borderId="175" xfId="0" applyFont="1" applyFill="1" applyBorder="1" applyProtection="1">
      <alignment vertical="center"/>
      <protection hidden="1"/>
    </xf>
    <xf numFmtId="0" fontId="28" fillId="27" borderId="169" xfId="0" applyFont="1" applyFill="1" applyBorder="1" applyProtection="1">
      <alignment vertical="center"/>
      <protection hidden="1"/>
    </xf>
    <xf numFmtId="0" fontId="28" fillId="27" borderId="171" xfId="0" applyFont="1" applyFill="1" applyBorder="1">
      <alignment vertical="center"/>
    </xf>
    <xf numFmtId="0" fontId="28" fillId="27" borderId="171" xfId="0" applyFont="1" applyFill="1" applyBorder="1" applyAlignment="1">
      <alignment vertical="top"/>
    </xf>
    <xf numFmtId="0" fontId="28" fillId="27" borderId="170" xfId="0" applyFont="1" applyFill="1" applyBorder="1" applyAlignment="1">
      <alignment vertical="top"/>
    </xf>
    <xf numFmtId="0" fontId="37" fillId="0" borderId="0" xfId="0" applyFont="1">
      <alignment vertical="center"/>
    </xf>
    <xf numFmtId="0" fontId="48" fillId="0" borderId="0" xfId="0" applyFont="1" applyAlignment="1" applyProtection="1">
      <alignment horizontal="left" vertical="top"/>
      <protection hidden="1"/>
    </xf>
    <xf numFmtId="181" fontId="28" fillId="27" borderId="190" xfId="0" applyNumberFormat="1" applyFont="1" applyFill="1" applyBorder="1" applyAlignment="1" applyProtection="1">
      <alignment horizontal="left" vertical="center"/>
      <protection hidden="1"/>
    </xf>
    <xf numFmtId="181" fontId="28" fillId="27" borderId="191" xfId="0" applyNumberFormat="1" applyFont="1" applyFill="1" applyBorder="1" applyAlignment="1" applyProtection="1">
      <alignment horizontal="left" vertical="center"/>
      <protection hidden="1"/>
    </xf>
    <xf numFmtId="181" fontId="28" fillId="27" borderId="192" xfId="0" applyNumberFormat="1" applyFont="1" applyFill="1" applyBorder="1" applyAlignment="1" applyProtection="1">
      <alignment horizontal="left" vertical="center"/>
      <protection hidden="1"/>
    </xf>
    <xf numFmtId="181" fontId="28" fillId="27" borderId="196" xfId="0" applyNumberFormat="1" applyFont="1" applyFill="1" applyBorder="1" applyAlignment="1" applyProtection="1">
      <alignment horizontal="left" vertical="center"/>
      <protection hidden="1"/>
    </xf>
    <xf numFmtId="0" fontId="159" fillId="0" borderId="0" xfId="0" applyFont="1" applyAlignment="1" applyProtection="1">
      <alignment horizontal="left" vertical="center"/>
      <protection hidden="1"/>
    </xf>
    <xf numFmtId="181" fontId="37" fillId="0" borderId="0" xfId="0" applyNumberFormat="1" applyFont="1" applyAlignment="1" applyProtection="1">
      <alignment horizontal="left" vertical="top"/>
      <protection hidden="1"/>
    </xf>
    <xf numFmtId="0" fontId="28" fillId="0" borderId="0" xfId="0" applyFont="1" applyAlignment="1" applyProtection="1">
      <alignment horizontal="right"/>
      <protection hidden="1"/>
    </xf>
    <xf numFmtId="0" fontId="26" fillId="0" borderId="144" xfId="0" applyFont="1" applyBorder="1" applyAlignment="1" applyProtection="1">
      <alignment horizontal="center" vertical="center"/>
      <protection hidden="1"/>
    </xf>
    <xf numFmtId="0" fontId="28" fillId="27" borderId="27" xfId="0" applyFont="1" applyFill="1" applyBorder="1">
      <alignment vertical="center"/>
    </xf>
    <xf numFmtId="0" fontId="28" fillId="0" borderId="17" xfId="0" applyFont="1" applyBorder="1" applyAlignment="1" applyProtection="1">
      <protection hidden="1"/>
    </xf>
    <xf numFmtId="0" fontId="28" fillId="27" borderId="54" xfId="0" applyFont="1" applyFill="1" applyBorder="1" applyAlignment="1" applyProtection="1">
      <alignment horizontal="center" vertical="center"/>
      <protection hidden="1"/>
    </xf>
    <xf numFmtId="0" fontId="28" fillId="27" borderId="0" xfId="0" applyFont="1" applyFill="1" applyAlignment="1" applyProtection="1">
      <alignment horizontal="center" vertical="center"/>
      <protection hidden="1"/>
    </xf>
    <xf numFmtId="0" fontId="28" fillId="27" borderId="54" xfId="0" applyFont="1" applyFill="1" applyBorder="1" applyAlignment="1" applyProtection="1">
      <alignment horizontal="center" vertical="top"/>
      <protection hidden="1"/>
    </xf>
    <xf numFmtId="0" fontId="37" fillId="0" borderId="17" xfId="0" applyFont="1" applyBorder="1" applyProtection="1">
      <alignment vertical="center"/>
      <protection hidden="1"/>
    </xf>
    <xf numFmtId="0" fontId="28" fillId="27" borderId="58" xfId="0" applyFont="1" applyFill="1" applyBorder="1" applyAlignment="1" applyProtection="1">
      <alignment horizontal="center" vertical="center"/>
      <protection hidden="1"/>
    </xf>
    <xf numFmtId="0" fontId="28" fillId="27" borderId="56" xfId="0" applyFont="1" applyFill="1" applyBorder="1" applyAlignment="1" applyProtection="1">
      <alignment horizontal="center" vertical="center"/>
      <protection hidden="1"/>
    </xf>
    <xf numFmtId="0" fontId="28" fillId="27" borderId="57" xfId="0" applyFont="1" applyFill="1" applyBorder="1" applyAlignment="1" applyProtection="1">
      <alignment horizontal="center" vertical="center"/>
      <protection hidden="1"/>
    </xf>
    <xf numFmtId="0" fontId="28" fillId="27" borderId="58" xfId="0" applyFont="1" applyFill="1" applyBorder="1" applyAlignment="1" applyProtection="1">
      <alignment horizontal="center" vertical="top"/>
      <protection hidden="1"/>
    </xf>
    <xf numFmtId="0" fontId="28" fillId="0" borderId="17" xfId="0" applyFont="1" applyBorder="1" applyProtection="1">
      <alignment vertical="center"/>
      <protection hidden="1"/>
    </xf>
    <xf numFmtId="0" fontId="28" fillId="27" borderId="16" xfId="0" applyFont="1" applyFill="1" applyBorder="1" applyAlignment="1" applyProtection="1">
      <alignment horizontal="center" vertical="center"/>
      <protection locked="0" hidden="1"/>
    </xf>
    <xf numFmtId="0" fontId="37" fillId="27" borderId="164" xfId="0" applyFont="1" applyFill="1" applyBorder="1" applyAlignment="1" applyProtection="1">
      <alignment horizontal="left" vertical="center"/>
      <protection hidden="1"/>
    </xf>
    <xf numFmtId="0" fontId="37" fillId="27" borderId="166" xfId="0" applyFont="1" applyFill="1" applyBorder="1" applyAlignment="1" applyProtection="1">
      <alignment horizontal="left" vertical="center"/>
      <protection hidden="1"/>
    </xf>
    <xf numFmtId="0" fontId="37" fillId="27" borderId="165" xfId="0" applyFont="1" applyFill="1" applyBorder="1" applyAlignment="1" applyProtection="1">
      <alignment horizontal="left" vertical="center"/>
      <protection hidden="1"/>
    </xf>
    <xf numFmtId="0" fontId="37" fillId="27" borderId="166" xfId="0" applyFont="1" applyFill="1" applyBorder="1" applyAlignment="1" applyProtection="1">
      <alignment horizontal="left" vertical="top"/>
      <protection hidden="1"/>
    </xf>
    <xf numFmtId="0" fontId="28" fillId="0" borderId="17" xfId="0" applyFont="1" applyBorder="1" applyAlignment="1" applyProtection="1">
      <alignment horizontal="left" vertical="center"/>
      <protection hidden="1"/>
    </xf>
    <xf numFmtId="0" fontId="28" fillId="27" borderId="11" xfId="0" applyFont="1" applyFill="1" applyBorder="1" applyAlignment="1" applyProtection="1">
      <alignment horizontal="center" vertical="center"/>
      <protection locked="0" hidden="1"/>
    </xf>
    <xf numFmtId="0" fontId="37" fillId="27" borderId="12" xfId="0" applyFont="1" applyFill="1" applyBorder="1" applyAlignment="1" applyProtection="1">
      <alignment horizontal="left" vertical="center"/>
      <protection hidden="1"/>
    </xf>
    <xf numFmtId="0" fontId="37" fillId="27" borderId="14" xfId="0" applyFont="1" applyFill="1" applyBorder="1" applyAlignment="1" applyProtection="1">
      <alignment horizontal="left" vertical="top"/>
      <protection hidden="1"/>
    </xf>
    <xf numFmtId="0" fontId="37" fillId="27" borderId="12" xfId="0" applyFont="1" applyFill="1" applyBorder="1" applyAlignment="1" applyProtection="1">
      <alignment horizontal="left" vertical="top"/>
      <protection hidden="1"/>
    </xf>
    <xf numFmtId="0" fontId="37" fillId="27" borderId="13" xfId="0" applyFont="1" applyFill="1" applyBorder="1" applyAlignment="1" applyProtection="1">
      <alignment horizontal="left" vertical="top"/>
      <protection hidden="1"/>
    </xf>
    <xf numFmtId="0" fontId="26" fillId="0" borderId="17" xfId="0" applyFont="1" applyBorder="1" applyAlignment="1" applyProtection="1">
      <alignment horizontal="center" vertical="top"/>
      <protection hidden="1"/>
    </xf>
    <xf numFmtId="0" fontId="26" fillId="0" borderId="0" xfId="0" applyFont="1" applyAlignment="1" applyProtection="1">
      <alignment horizontal="center" vertical="top"/>
      <protection hidden="1"/>
    </xf>
    <xf numFmtId="0" fontId="28" fillId="27" borderId="168" xfId="0" applyFont="1" applyFill="1" applyBorder="1" applyAlignment="1" applyProtection="1">
      <alignment horizontal="center" vertical="center"/>
      <protection locked="0" hidden="1"/>
    </xf>
    <xf numFmtId="0" fontId="37" fillId="27" borderId="169" xfId="0" applyFont="1" applyFill="1" applyBorder="1" applyAlignment="1" applyProtection="1">
      <alignment horizontal="left" vertical="center"/>
      <protection hidden="1"/>
    </xf>
    <xf numFmtId="0" fontId="37" fillId="27" borderId="170" xfId="0" applyFont="1" applyFill="1" applyBorder="1" applyAlignment="1" applyProtection="1">
      <alignment horizontal="left" vertical="center"/>
      <protection hidden="1"/>
    </xf>
    <xf numFmtId="0" fontId="37" fillId="27" borderId="171" xfId="0" applyFont="1" applyFill="1" applyBorder="1" applyAlignment="1" applyProtection="1">
      <alignment horizontal="left" vertical="center"/>
      <protection hidden="1"/>
    </xf>
    <xf numFmtId="0" fontId="37" fillId="27" borderId="170" xfId="0" applyFont="1" applyFill="1" applyBorder="1" applyAlignment="1" applyProtection="1">
      <alignment horizontal="left" vertical="top"/>
      <protection hidden="1"/>
    </xf>
    <xf numFmtId="0" fontId="37" fillId="27" borderId="13" xfId="0" applyFont="1" applyFill="1" applyBorder="1" applyAlignment="1" applyProtection="1">
      <alignment horizontal="left" vertical="center"/>
      <protection hidden="1"/>
    </xf>
    <xf numFmtId="0" fontId="28" fillId="0" borderId="17" xfId="0" applyFont="1" applyBorder="1" applyAlignment="1" applyProtection="1">
      <alignment horizontal="left"/>
      <protection hidden="1"/>
    </xf>
    <xf numFmtId="0" fontId="37" fillId="27" borderId="175" xfId="0" applyFont="1" applyFill="1" applyBorder="1" applyAlignment="1" applyProtection="1">
      <alignment horizontal="left" vertical="center"/>
      <protection hidden="1"/>
    </xf>
    <xf numFmtId="0" fontId="37" fillId="27" borderId="196" xfId="0" applyFont="1" applyFill="1" applyBorder="1" applyAlignment="1" applyProtection="1">
      <alignment horizontal="left" vertical="center"/>
      <protection hidden="1"/>
    </xf>
    <xf numFmtId="0" fontId="37" fillId="27" borderId="87" xfId="0" applyFont="1" applyFill="1" applyBorder="1" applyAlignment="1" applyProtection="1">
      <alignment horizontal="left" vertical="center"/>
      <protection hidden="1"/>
    </xf>
    <xf numFmtId="0" fontId="37" fillId="27" borderId="181" xfId="0" applyFont="1" applyFill="1" applyBorder="1" applyAlignment="1" applyProtection="1">
      <alignment horizontal="left" vertical="center"/>
      <protection hidden="1"/>
    </xf>
    <xf numFmtId="0" fontId="37" fillId="27" borderId="182" xfId="0" applyFont="1" applyFill="1" applyBorder="1" applyAlignment="1" applyProtection="1">
      <alignment horizontal="left" vertical="center"/>
      <protection hidden="1"/>
    </xf>
    <xf numFmtId="0" fontId="28" fillId="27" borderId="55" xfId="0" applyFont="1" applyFill="1" applyBorder="1" applyAlignment="1" applyProtection="1">
      <alignment horizontal="center" vertical="center"/>
      <protection locked="0" hidden="1"/>
    </xf>
    <xf numFmtId="0" fontId="37" fillId="27" borderId="56" xfId="0" applyFont="1" applyFill="1" applyBorder="1" applyAlignment="1" applyProtection="1">
      <alignment horizontal="left" vertical="center"/>
      <protection hidden="1"/>
    </xf>
    <xf numFmtId="0" fontId="37" fillId="27" borderId="58" xfId="0" applyFont="1" applyFill="1" applyBorder="1" applyAlignment="1" applyProtection="1">
      <alignment horizontal="left" vertical="center"/>
      <protection hidden="1"/>
    </xf>
    <xf numFmtId="0" fontId="28" fillId="0" borderId="53" xfId="0" applyFont="1" applyBorder="1">
      <alignment vertical="center"/>
    </xf>
    <xf numFmtId="0" fontId="28" fillId="0" borderId="53" xfId="0" applyFont="1" applyBorder="1" applyAlignment="1">
      <alignment vertical="top"/>
    </xf>
    <xf numFmtId="181" fontId="28" fillId="31" borderId="80" xfId="0" applyNumberFormat="1" applyFont="1" applyFill="1" applyBorder="1" applyAlignment="1" applyProtection="1">
      <alignment horizontal="centerContinuous" vertical="top"/>
      <protection hidden="1"/>
    </xf>
    <xf numFmtId="0" fontId="0" fillId="43" borderId="10" xfId="0" applyFill="1" applyBorder="1">
      <alignment vertical="center"/>
    </xf>
    <xf numFmtId="0" fontId="26" fillId="0" borderId="57" xfId="0" applyFont="1" applyBorder="1" applyAlignment="1" applyProtection="1">
      <alignment horizontal="left" vertical="center"/>
      <protection hidden="1"/>
    </xf>
    <xf numFmtId="0" fontId="28" fillId="0" borderId="57" xfId="0" applyFont="1" applyBorder="1" applyAlignment="1" applyProtection="1">
      <alignment horizontal="left" vertical="center"/>
      <protection hidden="1"/>
    </xf>
    <xf numFmtId="0" fontId="28" fillId="0" borderId="57" xfId="0" applyFont="1" applyBorder="1" applyAlignment="1" applyProtection="1">
      <alignment horizontal="left" vertical="top"/>
      <protection hidden="1"/>
    </xf>
    <xf numFmtId="0" fontId="28" fillId="27" borderId="26" xfId="0" applyFont="1" applyFill="1" applyBorder="1" applyAlignment="1" applyProtection="1">
      <alignment horizontal="left"/>
      <protection hidden="1"/>
    </xf>
    <xf numFmtId="0" fontId="28" fillId="27" borderId="50" xfId="0" applyFont="1" applyFill="1" applyBorder="1" applyAlignment="1" applyProtection="1">
      <alignment horizontal="left"/>
      <protection hidden="1"/>
    </xf>
    <xf numFmtId="0" fontId="28" fillId="27" borderId="27" xfId="0" applyFont="1" applyFill="1" applyBorder="1" applyAlignment="1" applyProtection="1">
      <alignment horizontal="left"/>
      <protection hidden="1"/>
    </xf>
    <xf numFmtId="0" fontId="28" fillId="27" borderId="26" xfId="0" applyFont="1" applyFill="1" applyBorder="1" applyAlignment="1" applyProtection="1">
      <protection hidden="1"/>
    </xf>
    <xf numFmtId="0" fontId="28" fillId="27" borderId="50" xfId="0" applyFont="1" applyFill="1" applyBorder="1" applyAlignment="1" applyProtection="1">
      <protection hidden="1"/>
    </xf>
    <xf numFmtId="0" fontId="28" fillId="27" borderId="50" xfId="0" applyFont="1" applyFill="1" applyBorder="1" applyAlignment="1" applyProtection="1">
      <alignment vertical="top"/>
      <protection hidden="1"/>
    </xf>
    <xf numFmtId="0" fontId="28" fillId="27" borderId="27" xfId="0" applyFont="1" applyFill="1" applyBorder="1" applyAlignment="1" applyProtection="1">
      <protection hidden="1"/>
    </xf>
    <xf numFmtId="0" fontId="37" fillId="27" borderId="26" xfId="0" applyFont="1" applyFill="1" applyBorder="1" applyAlignment="1" applyProtection="1">
      <alignment horizontal="left"/>
      <protection hidden="1"/>
    </xf>
    <xf numFmtId="0" fontId="37" fillId="27" borderId="50" xfId="0" applyFont="1" applyFill="1" applyBorder="1" applyAlignment="1" applyProtection="1">
      <alignment horizontal="left"/>
      <protection hidden="1"/>
    </xf>
    <xf numFmtId="0" fontId="37" fillId="27" borderId="50" xfId="0" applyFont="1" applyFill="1" applyBorder="1" applyAlignment="1" applyProtection="1">
      <alignment horizontal="left" vertical="top"/>
      <protection hidden="1"/>
    </xf>
    <xf numFmtId="0" fontId="37" fillId="27" borderId="27" xfId="0" applyFont="1" applyFill="1" applyBorder="1" applyAlignment="1" applyProtection="1">
      <alignment horizontal="left"/>
      <protection hidden="1"/>
    </xf>
    <xf numFmtId="0" fontId="28" fillId="27" borderId="15" xfId="0" applyFont="1" applyFill="1" applyBorder="1" applyProtection="1">
      <alignment vertical="center"/>
      <protection hidden="1"/>
    </xf>
    <xf numFmtId="0" fontId="28" fillId="27" borderId="50" xfId="0" applyFont="1" applyFill="1" applyBorder="1" applyAlignment="1" applyProtection="1">
      <alignment horizontal="left" vertical="top"/>
      <protection hidden="1"/>
    </xf>
    <xf numFmtId="0" fontId="28" fillId="27" borderId="10" xfId="0" applyFont="1" applyFill="1" applyBorder="1" applyAlignment="1" applyProtection="1">
      <protection hidden="1"/>
    </xf>
    <xf numFmtId="181" fontId="26" fillId="0" borderId="0" xfId="0" applyNumberFormat="1" applyFont="1" applyAlignment="1" applyProtection="1">
      <alignment horizontal="left" vertical="center"/>
      <protection hidden="1"/>
    </xf>
    <xf numFmtId="181" fontId="28" fillId="0" borderId="0" xfId="0" applyNumberFormat="1" applyFont="1" applyAlignment="1" applyProtection="1">
      <alignment vertical="top"/>
      <protection hidden="1"/>
    </xf>
    <xf numFmtId="181" fontId="28" fillId="27" borderId="26" xfId="0" applyNumberFormat="1" applyFont="1" applyFill="1" applyBorder="1" applyAlignment="1" applyProtection="1">
      <alignment horizontal="left" vertical="center"/>
      <protection hidden="1"/>
    </xf>
    <xf numFmtId="181" fontId="28" fillId="27" borderId="50" xfId="0" applyNumberFormat="1" applyFont="1" applyFill="1" applyBorder="1" applyAlignment="1" applyProtection="1">
      <alignment horizontal="left" vertical="center"/>
      <protection hidden="1"/>
    </xf>
    <xf numFmtId="181" fontId="28" fillId="27" borderId="27" xfId="0" applyNumberFormat="1" applyFont="1" applyFill="1" applyBorder="1" applyAlignment="1" applyProtection="1">
      <alignment horizontal="left" vertical="center"/>
      <protection hidden="1"/>
    </xf>
    <xf numFmtId="181" fontId="28" fillId="27" borderId="26" xfId="0" applyNumberFormat="1" applyFont="1" applyFill="1" applyBorder="1" applyProtection="1">
      <alignment vertical="center"/>
      <protection hidden="1"/>
    </xf>
    <xf numFmtId="181" fontId="28" fillId="27" borderId="26" xfId="0" applyNumberFormat="1" applyFont="1" applyFill="1" applyBorder="1" applyAlignment="1" applyProtection="1">
      <alignment horizontal="center" vertical="center"/>
      <protection hidden="1"/>
    </xf>
    <xf numFmtId="181" fontId="28" fillId="27" borderId="27" xfId="0" applyNumberFormat="1" applyFont="1" applyFill="1" applyBorder="1" applyAlignment="1" applyProtection="1">
      <alignment horizontal="center" vertical="center"/>
      <protection hidden="1"/>
    </xf>
    <xf numFmtId="181" fontId="28" fillId="27" borderId="10" xfId="0" applyNumberFormat="1" applyFont="1" applyFill="1" applyBorder="1" applyAlignment="1" applyProtection="1">
      <alignment vertical="top"/>
      <protection hidden="1"/>
    </xf>
    <xf numFmtId="181" fontId="28" fillId="27" borderId="10" xfId="0" applyNumberFormat="1" applyFont="1" applyFill="1" applyBorder="1" applyProtection="1">
      <alignment vertical="center"/>
      <protection hidden="1"/>
    </xf>
    <xf numFmtId="181" fontId="28" fillId="27" borderId="52" xfId="0" applyNumberFormat="1" applyFont="1" applyFill="1" applyBorder="1" applyAlignment="1" applyProtection="1">
      <alignment horizontal="left" vertical="center"/>
      <protection hidden="1"/>
    </xf>
    <xf numFmtId="181" fontId="28" fillId="27" borderId="53" xfId="0" applyNumberFormat="1" applyFont="1" applyFill="1" applyBorder="1" applyAlignment="1" applyProtection="1">
      <alignment horizontal="left" vertical="center"/>
      <protection hidden="1"/>
    </xf>
    <xf numFmtId="181" fontId="28" fillId="27" borderId="54" xfId="0" applyNumberFormat="1" applyFont="1" applyFill="1" applyBorder="1" applyAlignment="1" applyProtection="1">
      <alignment horizontal="left" vertical="center"/>
      <protection hidden="1"/>
    </xf>
    <xf numFmtId="0" fontId="28" fillId="27" borderId="10" xfId="0" applyFont="1" applyFill="1" applyBorder="1" applyAlignment="1" applyProtection="1">
      <alignment vertical="top"/>
      <protection hidden="1"/>
    </xf>
    <xf numFmtId="3" fontId="28" fillId="27" borderId="27" xfId="0" applyNumberFormat="1" applyFont="1" applyFill="1" applyBorder="1" applyAlignment="1" applyProtection="1">
      <alignment horizontal="right" vertical="top"/>
      <protection hidden="1"/>
    </xf>
    <xf numFmtId="181" fontId="28" fillId="27" borderId="56" xfId="0" applyNumberFormat="1" applyFont="1" applyFill="1" applyBorder="1" applyAlignment="1" applyProtection="1">
      <alignment horizontal="left" vertical="center"/>
      <protection hidden="1"/>
    </xf>
    <xf numFmtId="181" fontId="28" fillId="27" borderId="57" xfId="0" applyNumberFormat="1" applyFont="1" applyFill="1" applyBorder="1" applyAlignment="1" applyProtection="1">
      <alignment horizontal="left" vertical="center"/>
      <protection hidden="1"/>
    </xf>
    <xf numFmtId="181" fontId="28" fillId="27" borderId="58" xfId="0" applyNumberFormat="1" applyFont="1" applyFill="1" applyBorder="1" applyAlignment="1" applyProtection="1">
      <alignment horizontal="left" vertical="center"/>
      <protection hidden="1"/>
    </xf>
    <xf numFmtId="181" fontId="28" fillId="27" borderId="52" xfId="0" applyNumberFormat="1" applyFont="1" applyFill="1" applyBorder="1" applyAlignment="1" applyProtection="1">
      <alignment horizontal="left" vertical="top"/>
      <protection hidden="1"/>
    </xf>
    <xf numFmtId="181" fontId="28" fillId="27" borderId="53" xfId="0" applyNumberFormat="1" applyFont="1" applyFill="1" applyBorder="1" applyAlignment="1" applyProtection="1">
      <alignment horizontal="left" vertical="top"/>
      <protection hidden="1"/>
    </xf>
    <xf numFmtId="181" fontId="28" fillId="27" borderId="54" xfId="0" applyNumberFormat="1" applyFont="1" applyFill="1" applyBorder="1" applyAlignment="1" applyProtection="1">
      <alignment horizontal="left" vertical="top"/>
      <protection hidden="1"/>
    </xf>
    <xf numFmtId="3" fontId="28" fillId="27" borderId="27" xfId="0" applyNumberFormat="1" applyFont="1" applyFill="1" applyBorder="1" applyProtection="1">
      <alignment vertical="center"/>
      <protection hidden="1"/>
    </xf>
    <xf numFmtId="181" fontId="28" fillId="27" borderId="64" xfId="0" applyNumberFormat="1" applyFont="1" applyFill="1" applyBorder="1" applyAlignment="1" applyProtection="1">
      <alignment horizontal="left" vertical="top"/>
      <protection hidden="1"/>
    </xf>
    <xf numFmtId="181" fontId="28" fillId="27" borderId="0" xfId="0" applyNumberFormat="1" applyFont="1" applyFill="1" applyAlignment="1" applyProtection="1">
      <alignment horizontal="left" vertical="top"/>
      <protection hidden="1"/>
    </xf>
    <xf numFmtId="181" fontId="28" fillId="27" borderId="17" xfId="0" applyNumberFormat="1" applyFont="1" applyFill="1" applyBorder="1" applyAlignment="1" applyProtection="1">
      <alignment horizontal="left" vertical="top"/>
      <protection hidden="1"/>
    </xf>
    <xf numFmtId="181" fontId="28" fillId="27" borderId="56" xfId="0" applyNumberFormat="1" applyFont="1" applyFill="1" applyBorder="1" applyAlignment="1" applyProtection="1">
      <alignment horizontal="left" vertical="top"/>
      <protection hidden="1"/>
    </xf>
    <xf numFmtId="181" fontId="28" fillId="27" borderId="57" xfId="0" applyNumberFormat="1" applyFont="1" applyFill="1" applyBorder="1" applyAlignment="1" applyProtection="1">
      <alignment horizontal="left" vertical="top"/>
      <protection hidden="1"/>
    </xf>
    <xf numFmtId="181" fontId="28" fillId="27" borderId="58" xfId="0" applyNumberFormat="1" applyFont="1" applyFill="1" applyBorder="1" applyAlignment="1" applyProtection="1">
      <alignment horizontal="left" vertical="top"/>
      <protection hidden="1"/>
    </xf>
    <xf numFmtId="181" fontId="28" fillId="27" borderId="64" xfId="0" applyNumberFormat="1" applyFont="1" applyFill="1" applyBorder="1" applyAlignment="1" applyProtection="1">
      <alignment horizontal="left" vertical="center"/>
      <protection hidden="1"/>
    </xf>
    <xf numFmtId="181" fontId="28" fillId="27" borderId="0" xfId="0" applyNumberFormat="1" applyFont="1" applyFill="1" applyAlignment="1" applyProtection="1">
      <alignment horizontal="left" vertical="center"/>
      <protection hidden="1"/>
    </xf>
    <xf numFmtId="181" fontId="28" fillId="27" borderId="17" xfId="0" applyNumberFormat="1" applyFont="1" applyFill="1" applyBorder="1" applyAlignment="1" applyProtection="1">
      <alignment horizontal="left" vertical="center"/>
      <protection hidden="1"/>
    </xf>
    <xf numFmtId="181" fontId="26" fillId="0" borderId="0" xfId="0" applyNumberFormat="1" applyFont="1">
      <alignment vertical="center"/>
    </xf>
    <xf numFmtId="181" fontId="28" fillId="0" borderId="0" xfId="0" applyNumberFormat="1" applyFont="1">
      <alignment vertical="center"/>
    </xf>
    <xf numFmtId="181" fontId="37" fillId="0" borderId="0" xfId="0" applyNumberFormat="1" applyFont="1" applyAlignment="1">
      <alignment horizontal="left" vertical="top"/>
    </xf>
    <xf numFmtId="0" fontId="28" fillId="27" borderId="52" xfId="0" applyFont="1" applyFill="1" applyBorder="1">
      <alignment vertical="center"/>
    </xf>
    <xf numFmtId="0" fontId="28" fillId="27" borderId="10" xfId="0" applyFont="1" applyFill="1" applyBorder="1" applyAlignment="1">
      <alignment horizontal="center" vertical="center"/>
    </xf>
    <xf numFmtId="38" fontId="28" fillId="27" borderId="51" xfId="35" applyFont="1" applyFill="1" applyBorder="1">
      <alignment vertical="center"/>
    </xf>
    <xf numFmtId="0" fontId="28" fillId="27" borderId="54" xfId="0" applyFont="1" applyFill="1" applyBorder="1">
      <alignment vertical="center"/>
    </xf>
    <xf numFmtId="38" fontId="28" fillId="27" borderId="15" xfId="35" applyFont="1" applyFill="1" applyBorder="1">
      <alignment vertical="center"/>
    </xf>
    <xf numFmtId="0" fontId="28" fillId="27" borderId="17" xfId="0" applyFont="1" applyFill="1" applyBorder="1">
      <alignment vertical="center"/>
    </xf>
    <xf numFmtId="0" fontId="28" fillId="27" borderId="56" xfId="0" applyFont="1" applyFill="1" applyBorder="1">
      <alignment vertical="center"/>
    </xf>
    <xf numFmtId="0" fontId="28" fillId="27" borderId="55" xfId="0" applyFont="1" applyFill="1" applyBorder="1">
      <alignment vertical="center"/>
    </xf>
    <xf numFmtId="38" fontId="28" fillId="27" borderId="55" xfId="35" applyFont="1" applyFill="1" applyBorder="1">
      <alignment vertical="center"/>
    </xf>
    <xf numFmtId="0" fontId="28" fillId="27" borderId="58" xfId="0" applyFont="1" applyFill="1" applyBorder="1">
      <alignment vertical="center"/>
    </xf>
    <xf numFmtId="0" fontId="33" fillId="0" borderId="57" xfId="0" applyFont="1" applyBorder="1" applyAlignment="1">
      <alignment horizontal="right" vertical="center"/>
    </xf>
    <xf numFmtId="176" fontId="28" fillId="27" borderId="12" xfId="0" applyNumberFormat="1" applyFont="1" applyFill="1" applyBorder="1" applyAlignment="1" applyProtection="1">
      <alignment horizontal="left" vertical="center"/>
      <protection hidden="1"/>
    </xf>
    <xf numFmtId="176" fontId="28" fillId="27" borderId="169" xfId="0" applyNumberFormat="1" applyFont="1" applyFill="1" applyBorder="1" applyAlignment="1" applyProtection="1">
      <alignment horizontal="left" vertical="center"/>
      <protection hidden="1"/>
    </xf>
    <xf numFmtId="0" fontId="126" fillId="0" borderId="0" xfId="0" applyFont="1">
      <alignment vertical="center"/>
    </xf>
    <xf numFmtId="0" fontId="28" fillId="31" borderId="10" xfId="0" applyFont="1" applyFill="1" applyBorder="1" applyAlignment="1">
      <alignment horizontal="center" vertical="center"/>
    </xf>
    <xf numFmtId="0" fontId="33" fillId="31" borderId="26" xfId="44" applyFont="1" applyFill="1" applyBorder="1" applyAlignment="1" applyProtection="1">
      <alignment horizontal="center" vertical="center"/>
      <protection hidden="1"/>
    </xf>
    <xf numFmtId="0" fontId="37" fillId="31" borderId="10" xfId="44" applyFont="1" applyFill="1" applyBorder="1" applyAlignment="1" applyProtection="1">
      <alignment horizontal="center" vertical="center"/>
      <protection hidden="1"/>
    </xf>
    <xf numFmtId="0" fontId="33" fillId="31" borderId="10" xfId="44" applyFont="1" applyFill="1" applyBorder="1" applyAlignment="1" applyProtection="1">
      <alignment horizontal="center" vertical="center"/>
      <protection hidden="1"/>
    </xf>
    <xf numFmtId="0" fontId="26" fillId="0" borderId="0" xfId="0" applyFont="1" applyAlignment="1">
      <alignment horizontal="right" vertical="center"/>
    </xf>
    <xf numFmtId="0" fontId="28" fillId="31" borderId="10" xfId="0" applyFont="1" applyFill="1" applyBorder="1">
      <alignment vertical="center"/>
    </xf>
    <xf numFmtId="178" fontId="28" fillId="27" borderId="10" xfId="0" applyNumberFormat="1" applyFont="1" applyFill="1" applyBorder="1">
      <alignment vertical="center"/>
    </xf>
    <xf numFmtId="178" fontId="28" fillId="27" borderId="26" xfId="0" applyNumberFormat="1" applyFont="1" applyFill="1" applyBorder="1">
      <alignment vertical="center"/>
    </xf>
    <xf numFmtId="9" fontId="28" fillId="27" borderId="10" xfId="0" applyNumberFormat="1" applyFont="1" applyFill="1" applyBorder="1">
      <alignment vertical="center"/>
    </xf>
    <xf numFmtId="177" fontId="126" fillId="27" borderId="144" xfId="0" applyNumberFormat="1" applyFont="1" applyFill="1" applyBorder="1">
      <alignment vertical="center"/>
    </xf>
    <xf numFmtId="9" fontId="26" fillId="27" borderId="10" xfId="28" applyFont="1" applyFill="1" applyBorder="1" applyAlignment="1" applyProtection="1">
      <alignment vertical="center"/>
    </xf>
    <xf numFmtId="0" fontId="45" fillId="0" borderId="0" xfId="0" applyFont="1" applyAlignment="1">
      <alignment horizontal="left" vertical="center"/>
    </xf>
    <xf numFmtId="0" fontId="67" fillId="0" borderId="53" xfId="0" applyFont="1" applyBorder="1" applyAlignment="1">
      <alignment vertical="top" wrapText="1"/>
    </xf>
    <xf numFmtId="0" fontId="67" fillId="0" borderId="0" xfId="0" applyFont="1" applyAlignment="1">
      <alignment vertical="top" wrapText="1"/>
    </xf>
    <xf numFmtId="176" fontId="28" fillId="0" borderId="0" xfId="0" applyNumberFormat="1" applyFont="1" applyAlignment="1" applyProtection="1">
      <alignment horizontal="center" vertical="center"/>
      <protection hidden="1"/>
    </xf>
    <xf numFmtId="0" fontId="28" fillId="0" borderId="0" xfId="0" applyFont="1" applyAlignment="1" applyProtection="1">
      <alignment horizontal="center" vertical="center"/>
      <protection hidden="1"/>
    </xf>
    <xf numFmtId="176" fontId="37" fillId="0" borderId="0" xfId="0" applyNumberFormat="1" applyFont="1" applyAlignment="1" applyProtection="1">
      <alignment horizontal="left" vertical="top"/>
      <protection hidden="1"/>
    </xf>
    <xf numFmtId="0" fontId="6" fillId="43" borderId="0" xfId="0" applyFont="1" applyFill="1">
      <alignment vertical="center"/>
    </xf>
    <xf numFmtId="0" fontId="27" fillId="0" borderId="0" xfId="0" applyFont="1" applyProtection="1">
      <alignment vertical="center"/>
      <protection hidden="1"/>
    </xf>
    <xf numFmtId="0" fontId="28" fillId="27" borderId="171" xfId="0" applyFont="1" applyFill="1" applyBorder="1" applyAlignment="1" applyProtection="1">
      <alignment horizontal="left" vertical="top" wrapText="1"/>
      <protection hidden="1"/>
    </xf>
    <xf numFmtId="181" fontId="26" fillId="27" borderId="51" xfId="0" applyNumberFormat="1" applyFont="1" applyFill="1" applyBorder="1" applyAlignment="1" applyProtection="1">
      <alignment horizontal="center" vertical="center"/>
      <protection hidden="1"/>
    </xf>
    <xf numFmtId="0" fontId="45" fillId="27" borderId="55" xfId="0" applyFont="1" applyFill="1" applyBorder="1" applyProtection="1">
      <alignment vertical="center"/>
      <protection hidden="1"/>
    </xf>
    <xf numFmtId="0" fontId="28" fillId="27" borderId="175" xfId="0" applyFont="1" applyFill="1" applyBorder="1" applyAlignment="1" applyProtection="1">
      <alignment horizontal="center" vertical="center"/>
      <protection hidden="1"/>
    </xf>
    <xf numFmtId="0" fontId="28" fillId="27" borderId="197" xfId="0" applyFont="1" applyFill="1" applyBorder="1" applyAlignment="1" applyProtection="1">
      <alignment horizontal="center" vertical="center"/>
      <protection hidden="1"/>
    </xf>
    <xf numFmtId="0" fontId="28" fillId="27" borderId="196" xfId="0" applyFont="1" applyFill="1" applyBorder="1" applyAlignment="1" applyProtection="1">
      <alignment horizontal="center" vertical="center"/>
      <protection hidden="1"/>
    </xf>
    <xf numFmtId="0" fontId="28" fillId="27" borderId="164" xfId="0" applyFont="1" applyFill="1" applyBorder="1" applyAlignment="1" applyProtection="1">
      <alignment horizontal="center" vertical="center" wrapText="1"/>
      <protection hidden="1"/>
    </xf>
    <xf numFmtId="0" fontId="28" fillId="27" borderId="198" xfId="0" applyFont="1" applyFill="1" applyBorder="1" applyAlignment="1" applyProtection="1">
      <alignment horizontal="center" vertical="center" wrapText="1"/>
      <protection hidden="1"/>
    </xf>
    <xf numFmtId="0" fontId="28" fillId="27" borderId="166" xfId="0" applyFont="1" applyFill="1" applyBorder="1" applyAlignment="1" applyProtection="1">
      <alignment horizontal="center" vertical="center" wrapText="1"/>
      <protection hidden="1"/>
    </xf>
    <xf numFmtId="0" fontId="28" fillId="27" borderId="12" xfId="0" applyFont="1" applyFill="1" applyBorder="1" applyAlignment="1" applyProtection="1">
      <alignment horizontal="center" vertical="center"/>
      <protection hidden="1"/>
    </xf>
    <xf numFmtId="0" fontId="28" fillId="27" borderId="14" xfId="0" applyFont="1" applyFill="1" applyBorder="1" applyAlignment="1" applyProtection="1">
      <alignment horizontal="center" vertical="center"/>
      <protection hidden="1"/>
    </xf>
    <xf numFmtId="0" fontId="28" fillId="27" borderId="169" xfId="0" applyFont="1" applyFill="1" applyBorder="1" applyAlignment="1" applyProtection="1">
      <alignment horizontal="center" vertical="center"/>
      <protection hidden="1"/>
    </xf>
    <xf numFmtId="0" fontId="28" fillId="27" borderId="199" xfId="0" applyFont="1" applyFill="1" applyBorder="1" applyAlignment="1" applyProtection="1">
      <alignment horizontal="center" vertical="center"/>
      <protection hidden="1"/>
    </xf>
    <xf numFmtId="0" fontId="28" fillId="27" borderId="170" xfId="0" applyFont="1" applyFill="1" applyBorder="1" applyAlignment="1" applyProtection="1">
      <alignment horizontal="center" vertical="center"/>
      <protection hidden="1"/>
    </xf>
    <xf numFmtId="0" fontId="45" fillId="27" borderId="51" xfId="0" applyFont="1" applyFill="1" applyBorder="1" applyProtection="1">
      <alignment vertical="center"/>
      <protection hidden="1"/>
    </xf>
    <xf numFmtId="0" fontId="28" fillId="27" borderId="166" xfId="0" applyFont="1" applyFill="1" applyBorder="1" applyAlignment="1" applyProtection="1">
      <alignment horizontal="center" vertical="center"/>
      <protection hidden="1"/>
    </xf>
    <xf numFmtId="0" fontId="28" fillId="0" borderId="53" xfId="0" applyFont="1" applyBorder="1" applyAlignment="1">
      <alignment vertical="center" wrapText="1"/>
    </xf>
    <xf numFmtId="0" fontId="28" fillId="0" borderId="0" xfId="0" applyFont="1" applyAlignment="1">
      <alignment horizontal="left" vertical="center" wrapText="1"/>
    </xf>
    <xf numFmtId="202" fontId="28" fillId="0" borderId="0" xfId="35" applyNumberFormat="1" applyFont="1" applyFill="1" applyBorder="1" applyAlignment="1" applyProtection="1">
      <alignment horizontal="center" vertical="center"/>
      <protection hidden="1"/>
    </xf>
    <xf numFmtId="0" fontId="28" fillId="0" borderId="0" xfId="0" applyFont="1" applyAlignment="1">
      <alignment horizontal="left" vertical="top" wrapText="1"/>
    </xf>
    <xf numFmtId="176" fontId="28" fillId="27" borderId="13" xfId="0" applyNumberFormat="1" applyFont="1" applyFill="1" applyBorder="1" applyAlignment="1" applyProtection="1">
      <alignment horizontal="left" vertical="center"/>
      <protection hidden="1"/>
    </xf>
    <xf numFmtId="176" fontId="28" fillId="27" borderId="171" xfId="0" applyNumberFormat="1" applyFont="1" applyFill="1" applyBorder="1" applyAlignment="1" applyProtection="1">
      <alignment horizontal="left" vertical="center"/>
      <protection hidden="1"/>
    </xf>
    <xf numFmtId="0" fontId="45" fillId="0" borderId="0" xfId="44" applyFont="1"/>
    <xf numFmtId="0" fontId="23" fillId="0" borderId="0" xfId="44" applyFont="1" applyAlignment="1">
      <alignment vertical="center"/>
    </xf>
    <xf numFmtId="0" fontId="126" fillId="0" borderId="0" xfId="44" applyFont="1" applyAlignment="1">
      <alignment vertical="center"/>
    </xf>
    <xf numFmtId="0" fontId="33" fillId="0" borderId="0" xfId="44" applyFont="1"/>
    <xf numFmtId="0" fontId="33" fillId="41" borderId="26" xfId="44" applyFont="1" applyFill="1" applyBorder="1" applyAlignment="1">
      <alignment horizontal="left"/>
    </xf>
    <xf numFmtId="0" fontId="33" fillId="41" borderId="50" xfId="44" applyFont="1" applyFill="1" applyBorder="1" applyAlignment="1">
      <alignment horizontal="center"/>
    </xf>
    <xf numFmtId="0" fontId="33" fillId="41" borderId="50" xfId="44" applyFont="1" applyFill="1" applyBorder="1" applyAlignment="1">
      <alignment horizontal="left"/>
    </xf>
    <xf numFmtId="0" fontId="33" fillId="41" borderId="27" xfId="44" applyFont="1" applyFill="1" applyBorder="1"/>
    <xf numFmtId="0" fontId="33" fillId="0" borderId="0" xfId="44" applyFont="1" applyAlignment="1">
      <alignment horizontal="left"/>
    </xf>
    <xf numFmtId="0" fontId="33" fillId="0" borderId="0" xfId="44" applyFont="1" applyAlignment="1">
      <alignment vertical="center"/>
    </xf>
    <xf numFmtId="0" fontId="33" fillId="41" borderId="26" xfId="44" applyFont="1" applyFill="1" applyBorder="1" applyAlignment="1" applyProtection="1">
      <alignment horizontal="left" vertical="center"/>
      <protection hidden="1"/>
    </xf>
    <xf numFmtId="0" fontId="33" fillId="41" borderId="27" xfId="44" applyFont="1" applyFill="1" applyBorder="1" applyAlignment="1">
      <alignment horizontal="left"/>
    </xf>
    <xf numFmtId="0" fontId="33" fillId="27" borderId="26" xfId="44" applyFont="1" applyFill="1" applyBorder="1"/>
    <xf numFmtId="0" fontId="33" fillId="27" borderId="50" xfId="44" applyFont="1" applyFill="1" applyBorder="1" applyAlignment="1">
      <alignment horizontal="left"/>
    </xf>
    <xf numFmtId="0" fontId="33" fillId="27" borderId="50" xfId="44" applyFont="1" applyFill="1" applyBorder="1"/>
    <xf numFmtId="0" fontId="33" fillId="27" borderId="27" xfId="44" applyFont="1" applyFill="1" applyBorder="1"/>
    <xf numFmtId="0" fontId="33" fillId="31" borderId="10" xfId="44" applyFont="1" applyFill="1" applyBorder="1" applyAlignment="1">
      <alignment horizontal="center"/>
    </xf>
    <xf numFmtId="0" fontId="33" fillId="41" borderId="10" xfId="44" applyFont="1" applyFill="1" applyBorder="1" applyAlignment="1">
      <alignment horizontal="center"/>
    </xf>
    <xf numFmtId="0" fontId="33" fillId="31" borderId="0" xfId="44" applyFont="1" applyFill="1" applyAlignment="1">
      <alignment horizontal="left"/>
    </xf>
    <xf numFmtId="0" fontId="33" fillId="31" borderId="0" xfId="44" applyFont="1" applyFill="1" applyAlignment="1">
      <alignment vertical="center"/>
    </xf>
    <xf numFmtId="0" fontId="33" fillId="31" borderId="26" xfId="44" applyFont="1" applyFill="1" applyBorder="1" applyAlignment="1">
      <alignment horizontal="center"/>
    </xf>
    <xf numFmtId="0" fontId="33" fillId="27" borderId="52" xfId="44" applyFont="1" applyFill="1" applyBorder="1"/>
    <xf numFmtId="0" fontId="33" fillId="27" borderId="53" xfId="44" applyFont="1" applyFill="1" applyBorder="1" applyAlignment="1">
      <alignment horizontal="left"/>
    </xf>
    <xf numFmtId="178" fontId="161" fillId="0" borderId="10" xfId="44" applyNumberFormat="1" applyFont="1" applyBorder="1"/>
    <xf numFmtId="0" fontId="33" fillId="27" borderId="64" xfId="44" applyFont="1" applyFill="1" applyBorder="1"/>
    <xf numFmtId="9" fontId="33" fillId="27" borderId="27" xfId="44" applyNumberFormat="1" applyFont="1" applyFill="1" applyBorder="1"/>
    <xf numFmtId="178" fontId="33" fillId="0" borderId="10" xfId="44" applyNumberFormat="1" applyFont="1" applyBorder="1"/>
    <xf numFmtId="0" fontId="33" fillId="31" borderId="52" xfId="44" applyFont="1" applyFill="1" applyBorder="1" applyAlignment="1">
      <alignment horizontal="center"/>
    </xf>
    <xf numFmtId="0" fontId="33" fillId="31" borderId="64" xfId="44" applyFont="1" applyFill="1" applyBorder="1"/>
    <xf numFmtId="0" fontId="33" fillId="31" borderId="17" xfId="44" applyFont="1" applyFill="1" applyBorder="1" applyAlignment="1">
      <alignment horizontal="left"/>
    </xf>
    <xf numFmtId="0" fontId="33" fillId="31" borderId="26" xfId="0" applyFont="1" applyFill="1" applyBorder="1">
      <alignment vertical="center"/>
    </xf>
    <xf numFmtId="9" fontId="33" fillId="31" borderId="27" xfId="44" applyNumberFormat="1" applyFont="1" applyFill="1" applyBorder="1"/>
    <xf numFmtId="0" fontId="33" fillId="31" borderId="15" xfId="44" applyFont="1" applyFill="1" applyBorder="1" applyAlignment="1">
      <alignment horizontal="center"/>
    </xf>
    <xf numFmtId="0" fontId="33" fillId="31" borderId="55" xfId="44" applyFont="1" applyFill="1" applyBorder="1" applyAlignment="1">
      <alignment horizontal="center"/>
    </xf>
    <xf numFmtId="0" fontId="33" fillId="31" borderId="56" xfId="44" applyFont="1" applyFill="1" applyBorder="1"/>
    <xf numFmtId="0" fontId="33" fillId="31" borderId="57" xfId="44" applyFont="1" applyFill="1" applyBorder="1" applyAlignment="1">
      <alignment horizontal="left"/>
    </xf>
    <xf numFmtId="0" fontId="33" fillId="31" borderId="0" xfId="44" applyFont="1" applyFill="1" applyAlignment="1">
      <alignment horizontal="center"/>
    </xf>
    <xf numFmtId="0" fontId="33" fillId="0" borderId="53" xfId="44" applyFont="1" applyBorder="1"/>
    <xf numFmtId="0" fontId="33" fillId="27" borderId="10" xfId="44" applyFont="1" applyFill="1" applyBorder="1" applyAlignment="1">
      <alignment horizontal="center"/>
    </xf>
    <xf numFmtId="0" fontId="33" fillId="27" borderId="53" xfId="44" applyFont="1" applyFill="1" applyBorder="1"/>
    <xf numFmtId="192" fontId="33" fillId="27" borderId="54" xfId="44" applyNumberFormat="1" applyFont="1" applyFill="1" applyBorder="1" applyAlignment="1">
      <alignment horizontal="left"/>
    </xf>
    <xf numFmtId="0" fontId="33" fillId="27" borderId="0" xfId="44" applyFont="1" applyFill="1" applyAlignment="1">
      <alignment horizontal="center"/>
    </xf>
    <xf numFmtId="40" fontId="33" fillId="0" borderId="10" xfId="35" applyNumberFormat="1" applyFont="1" applyFill="1" applyBorder="1" applyAlignment="1"/>
    <xf numFmtId="9" fontId="33" fillId="31" borderId="50" xfId="0" applyNumberFormat="1" applyFont="1" applyFill="1" applyBorder="1">
      <alignment vertical="center"/>
    </xf>
    <xf numFmtId="9" fontId="33" fillId="31" borderId="15" xfId="44" applyNumberFormat="1" applyFont="1" applyFill="1" applyBorder="1" applyAlignment="1">
      <alignment horizontal="center"/>
    </xf>
    <xf numFmtId="0" fontId="33" fillId="27" borderId="56" xfId="44" applyFont="1" applyFill="1" applyBorder="1"/>
    <xf numFmtId="40" fontId="33" fillId="0" borderId="51" xfId="35" applyNumberFormat="1" applyFont="1" applyFill="1" applyBorder="1" applyAlignment="1"/>
    <xf numFmtId="0" fontId="33" fillId="27" borderId="50" xfId="44" applyFont="1" applyFill="1" applyBorder="1" applyAlignment="1">
      <alignment horizontal="center"/>
    </xf>
    <xf numFmtId="9" fontId="33" fillId="31" borderId="53" xfId="0" applyNumberFormat="1" applyFont="1" applyFill="1" applyBorder="1">
      <alignment vertical="center"/>
    </xf>
    <xf numFmtId="40" fontId="33" fillId="25" borderId="51" xfId="35" applyNumberFormat="1" applyFont="1" applyFill="1" applyBorder="1" applyAlignment="1"/>
    <xf numFmtId="0" fontId="33" fillId="0" borderId="53" xfId="44" applyFont="1" applyBorder="1" applyAlignment="1">
      <alignment horizontal="left"/>
    </xf>
    <xf numFmtId="0" fontId="33" fillId="0" borderId="52" xfId="44" applyFont="1" applyBorder="1"/>
    <xf numFmtId="0" fontId="33" fillId="0" borderId="54" xfId="44" applyFont="1" applyBorder="1"/>
    <xf numFmtId="0" fontId="28" fillId="0" borderId="0" xfId="44" applyFont="1"/>
    <xf numFmtId="0" fontId="33" fillId="0" borderId="17" xfId="44" applyFont="1" applyBorder="1"/>
    <xf numFmtId="0" fontId="33" fillId="0" borderId="64" xfId="44" applyFont="1" applyBorder="1"/>
    <xf numFmtId="0" fontId="28" fillId="0" borderId="56" xfId="44" applyFont="1" applyBorder="1"/>
    <xf numFmtId="0" fontId="33" fillId="0" borderId="57" xfId="44" applyFont="1" applyBorder="1"/>
    <xf numFmtId="0" fontId="33" fillId="0" borderId="58" xfId="44" applyFont="1" applyBorder="1"/>
    <xf numFmtId="213" fontId="33" fillId="0" borderId="0" xfId="44" applyNumberFormat="1" applyFont="1"/>
    <xf numFmtId="0" fontId="33" fillId="0" borderId="10" xfId="44" applyFont="1" applyBorder="1"/>
    <xf numFmtId="192" fontId="33" fillId="27" borderId="27" xfId="44" applyNumberFormat="1" applyFont="1" applyFill="1" applyBorder="1" applyAlignment="1">
      <alignment horizontal="left"/>
    </xf>
    <xf numFmtId="9" fontId="33" fillId="0" borderId="10" xfId="28" applyFont="1" applyFill="1" applyBorder="1" applyAlignment="1"/>
    <xf numFmtId="0" fontId="23" fillId="0" borderId="0" xfId="44" applyFont="1"/>
    <xf numFmtId="0" fontId="33" fillId="0" borderId="0" xfId="44" applyFont="1" applyAlignment="1" applyProtection="1">
      <alignment horizontal="left" vertical="center"/>
      <protection hidden="1"/>
    </xf>
    <xf numFmtId="38" fontId="33" fillId="0" borderId="10" xfId="35" applyFont="1" applyBorder="1" applyAlignment="1"/>
    <xf numFmtId="38" fontId="33" fillId="0" borderId="0" xfId="35" applyFont="1" applyBorder="1" applyAlignment="1"/>
    <xf numFmtId="191" fontId="33" fillId="0" borderId="10" xfId="44" applyNumberFormat="1" applyFont="1" applyBorder="1"/>
    <xf numFmtId="0" fontId="45" fillId="0" borderId="57" xfId="0" applyFont="1" applyBorder="1">
      <alignment vertical="center"/>
    </xf>
    <xf numFmtId="0" fontId="0" fillId="0" borderId="57" xfId="0" applyBorder="1">
      <alignment vertical="center"/>
    </xf>
    <xf numFmtId="0" fontId="33" fillId="27" borderId="10" xfId="0" applyFont="1" applyFill="1" applyBorder="1" applyAlignment="1">
      <alignment horizontal="center" vertical="center" wrapText="1"/>
    </xf>
    <xf numFmtId="0" fontId="33" fillId="27" borderId="10" xfId="0" applyFont="1" applyFill="1" applyBorder="1" applyAlignment="1">
      <alignment horizontal="center" vertical="center"/>
    </xf>
    <xf numFmtId="0" fontId="33" fillId="27" borderId="51" xfId="0" applyFont="1" applyFill="1" applyBorder="1" applyAlignment="1">
      <alignment horizontal="center" vertical="center" wrapText="1"/>
    </xf>
    <xf numFmtId="193" fontId="33" fillId="27" borderId="10" xfId="0" applyNumberFormat="1" applyFont="1" applyFill="1" applyBorder="1" applyAlignment="1">
      <alignment horizontal="center" vertical="center"/>
    </xf>
    <xf numFmtId="0" fontId="33" fillId="27" borderId="55" xfId="0" applyFont="1" applyFill="1" applyBorder="1" applyAlignment="1">
      <alignment horizontal="center" vertical="center"/>
    </xf>
    <xf numFmtId="0" fontId="33" fillId="27" borderId="27" xfId="0" applyFont="1" applyFill="1" applyBorder="1" applyAlignment="1">
      <alignment horizontal="center" vertical="center" wrapText="1"/>
    </xf>
    <xf numFmtId="211" fontId="33" fillId="27" borderId="10" xfId="0" applyNumberFormat="1" applyFont="1" applyFill="1" applyBorder="1" applyAlignment="1">
      <alignment horizontal="center" vertical="center"/>
    </xf>
    <xf numFmtId="0" fontId="33" fillId="27" borderId="10" xfId="0" applyFont="1" applyFill="1" applyBorder="1" applyAlignment="1">
      <alignment vertical="center" wrapText="1"/>
    </xf>
    <xf numFmtId="0" fontId="33" fillId="27" borderId="15" xfId="0" applyFont="1" applyFill="1" applyBorder="1" applyAlignment="1">
      <alignment horizontal="center" vertical="center" wrapText="1"/>
    </xf>
    <xf numFmtId="179" fontId="33" fillId="27" borderId="10" xfId="0" applyNumberFormat="1" applyFont="1" applyFill="1" applyBorder="1" applyAlignment="1">
      <alignment horizontal="center" vertical="center"/>
    </xf>
    <xf numFmtId="0" fontId="33" fillId="27" borderId="10" xfId="0" applyFont="1" applyFill="1" applyBorder="1" applyAlignment="1">
      <alignment horizontal="left" vertical="center" wrapText="1"/>
    </xf>
    <xf numFmtId="0" fontId="33" fillId="27" borderId="10" xfId="0" applyFont="1" applyFill="1" applyBorder="1" applyAlignment="1">
      <alignment horizontal="left" vertical="center" wrapText="1" shrinkToFit="1"/>
    </xf>
    <xf numFmtId="0" fontId="33" fillId="27" borderId="10" xfId="0" applyFont="1" applyFill="1" applyBorder="1" applyAlignment="1">
      <alignment horizontal="center" vertical="center" wrapText="1" shrinkToFit="1"/>
    </xf>
    <xf numFmtId="0" fontId="33" fillId="27" borderId="51" xfId="0" applyFont="1" applyFill="1" applyBorder="1" applyAlignment="1">
      <alignment horizontal="left" vertical="center" wrapText="1"/>
    </xf>
    <xf numFmtId="0" fontId="33" fillId="27" borderId="51" xfId="0" applyFont="1" applyFill="1" applyBorder="1" applyAlignment="1">
      <alignment horizontal="center" vertical="center" wrapText="1" shrinkToFit="1"/>
    </xf>
    <xf numFmtId="0" fontId="33" fillId="27" borderId="51" xfId="0" applyFont="1" applyFill="1" applyBorder="1" applyAlignment="1">
      <alignment vertical="center" wrapText="1"/>
    </xf>
    <xf numFmtId="0" fontId="33" fillId="27" borderId="64" xfId="0" applyFont="1" applyFill="1" applyBorder="1" applyAlignment="1">
      <alignment horizontal="center" vertical="center" wrapText="1"/>
    </xf>
    <xf numFmtId="0" fontId="33" fillId="27" borderId="26" xfId="0" applyFont="1" applyFill="1" applyBorder="1" applyAlignment="1">
      <alignment horizontal="left" vertical="center"/>
    </xf>
    <xf numFmtId="0" fontId="33" fillId="27" borderId="50" xfId="0" applyFont="1" applyFill="1" applyBorder="1" applyAlignment="1">
      <alignment horizontal="left" vertical="center" wrapText="1"/>
    </xf>
    <xf numFmtId="0" fontId="33" fillId="27" borderId="50" xfId="0" applyFont="1" applyFill="1" applyBorder="1" applyAlignment="1">
      <alignment horizontal="left" vertical="center" wrapText="1" shrinkToFit="1"/>
    </xf>
    <xf numFmtId="0" fontId="33" fillId="27" borderId="27" xfId="0" applyFont="1" applyFill="1" applyBorder="1" applyAlignment="1">
      <alignment vertical="center" wrapText="1"/>
    </xf>
    <xf numFmtId="0" fontId="33" fillId="27" borderId="167" xfId="0" applyFont="1" applyFill="1" applyBorder="1" applyAlignment="1">
      <alignment horizontal="center" vertical="center" wrapText="1"/>
    </xf>
    <xf numFmtId="40" fontId="33" fillId="27" borderId="167" xfId="0" applyNumberFormat="1" applyFont="1" applyFill="1" applyBorder="1" applyAlignment="1">
      <alignment horizontal="center" vertical="center" wrapText="1"/>
    </xf>
    <xf numFmtId="178" fontId="33" fillId="27" borderId="167" xfId="0" applyNumberFormat="1" applyFont="1" applyFill="1" applyBorder="1" applyAlignment="1">
      <alignment horizontal="center" vertical="center" wrapText="1" shrinkToFit="1"/>
    </xf>
    <xf numFmtId="0" fontId="33" fillId="27" borderId="16" xfId="0" applyFont="1" applyFill="1" applyBorder="1" applyAlignment="1">
      <alignment vertical="center" wrapText="1"/>
    </xf>
    <xf numFmtId="0" fontId="33" fillId="27" borderId="11" xfId="0" applyFont="1" applyFill="1" applyBorder="1" applyAlignment="1">
      <alignment horizontal="center" vertical="center" wrapText="1"/>
    </xf>
    <xf numFmtId="40" fontId="33" fillId="27" borderId="11" xfId="0" applyNumberFormat="1" applyFont="1" applyFill="1" applyBorder="1" applyAlignment="1">
      <alignment horizontal="center" vertical="center" wrapText="1"/>
    </xf>
    <xf numFmtId="178" fontId="33" fillId="27" borderId="11" xfId="0" applyNumberFormat="1" applyFont="1" applyFill="1" applyBorder="1" applyAlignment="1">
      <alignment horizontal="center" vertical="center" wrapText="1" shrinkToFit="1"/>
    </xf>
    <xf numFmtId="0" fontId="33" fillId="27" borderId="167" xfId="0" applyFont="1" applyFill="1" applyBorder="1" applyAlignment="1">
      <alignment vertical="center" wrapText="1"/>
    </xf>
    <xf numFmtId="0" fontId="33" fillId="27" borderId="11" xfId="0" applyFont="1" applyFill="1" applyBorder="1" applyAlignment="1">
      <alignment vertical="center" wrapText="1"/>
    </xf>
    <xf numFmtId="0" fontId="33" fillId="27" borderId="177" xfId="0" applyFont="1" applyFill="1" applyBorder="1" applyAlignment="1">
      <alignment horizontal="center" vertical="center" wrapText="1"/>
    </xf>
    <xf numFmtId="0" fontId="33" fillId="27" borderId="177" xfId="0" applyFont="1" applyFill="1" applyBorder="1" applyAlignment="1">
      <alignment horizontal="center" vertical="center" wrapText="1" shrinkToFit="1"/>
    </xf>
    <xf numFmtId="0" fontId="33" fillId="27" borderId="177" xfId="0" applyFont="1" applyFill="1" applyBorder="1" applyAlignment="1">
      <alignment vertical="center" wrapText="1"/>
    </xf>
    <xf numFmtId="0" fontId="33" fillId="27" borderId="53" xfId="0" applyFont="1" applyFill="1" applyBorder="1" applyAlignment="1">
      <alignment horizontal="left" vertical="center" wrapText="1" shrinkToFit="1"/>
    </xf>
    <xf numFmtId="0" fontId="33" fillId="27" borderId="54" xfId="0" applyFont="1" applyFill="1" applyBorder="1">
      <alignment vertical="center"/>
    </xf>
    <xf numFmtId="9" fontId="33" fillId="27" borderId="175" xfId="0" applyNumberFormat="1" applyFont="1" applyFill="1" applyBorder="1" applyAlignment="1">
      <alignment horizontal="center" vertical="center" wrapText="1"/>
    </xf>
    <xf numFmtId="9" fontId="33" fillId="41" borderId="200" xfId="0" applyNumberFormat="1" applyFont="1" applyFill="1" applyBorder="1" applyAlignment="1" applyProtection="1">
      <alignment horizontal="center" vertical="center" wrapText="1"/>
      <protection locked="0"/>
    </xf>
    <xf numFmtId="0" fontId="33" fillId="41" borderId="201" xfId="0" applyFont="1" applyFill="1" applyBorder="1" applyProtection="1">
      <alignment vertical="center"/>
      <protection locked="0"/>
    </xf>
    <xf numFmtId="9" fontId="33" fillId="41" borderId="116" xfId="0" applyNumberFormat="1" applyFont="1" applyFill="1" applyBorder="1" applyAlignment="1" applyProtection="1">
      <alignment horizontal="center" vertical="center" wrapText="1"/>
      <protection locked="0"/>
    </xf>
    <xf numFmtId="0" fontId="33" fillId="41" borderId="117" xfId="0" applyFont="1" applyFill="1" applyBorder="1" applyProtection="1">
      <alignment vertical="center"/>
      <protection locked="0"/>
    </xf>
    <xf numFmtId="0" fontId="33" fillId="27" borderId="168" xfId="0" applyFont="1" applyFill="1" applyBorder="1" applyAlignment="1">
      <alignment horizontal="center" vertical="center" wrapText="1"/>
    </xf>
    <xf numFmtId="9" fontId="33" fillId="27" borderId="169" xfId="0" applyNumberFormat="1" applyFont="1" applyFill="1" applyBorder="1" applyAlignment="1">
      <alignment horizontal="center" vertical="center" wrapText="1" shrinkToFit="1"/>
    </xf>
    <xf numFmtId="0" fontId="33" fillId="27" borderId="15" xfId="0" applyFont="1" applyFill="1" applyBorder="1" applyAlignment="1">
      <alignment vertical="center" wrapText="1"/>
    </xf>
    <xf numFmtId="0" fontId="33" fillId="27" borderId="54" xfId="0" applyFont="1" applyFill="1" applyBorder="1" applyAlignment="1">
      <alignment horizontal="center" vertical="center" wrapText="1"/>
    </xf>
    <xf numFmtId="179" fontId="33" fillId="27" borderId="51" xfId="0" applyNumberFormat="1" applyFont="1" applyFill="1" applyBorder="1" applyAlignment="1">
      <alignment horizontal="center" vertical="center"/>
    </xf>
    <xf numFmtId="179" fontId="33" fillId="27" borderId="15" xfId="0" applyNumberFormat="1" applyFont="1" applyFill="1" applyBorder="1" applyAlignment="1">
      <alignment horizontal="center" vertical="center"/>
    </xf>
    <xf numFmtId="0" fontId="33" fillId="27" borderId="26" xfId="0" applyFont="1" applyFill="1" applyBorder="1" applyAlignment="1">
      <alignment horizontal="center" vertical="center" wrapText="1"/>
    </xf>
    <xf numFmtId="0" fontId="33" fillId="27" borderId="50" xfId="0" applyFont="1" applyFill="1" applyBorder="1" applyAlignment="1">
      <alignment horizontal="center" vertical="center"/>
    </xf>
    <xf numFmtId="0" fontId="33" fillId="27" borderId="58" xfId="0" applyFont="1" applyFill="1" applyBorder="1" applyAlignment="1">
      <alignment horizontal="center" vertical="center" wrapText="1"/>
    </xf>
    <xf numFmtId="211" fontId="33" fillId="27" borderId="11" xfId="0" applyNumberFormat="1" applyFont="1" applyFill="1" applyBorder="1" applyAlignment="1">
      <alignment horizontal="center" vertical="center"/>
    </xf>
    <xf numFmtId="0" fontId="33" fillId="27" borderId="15" xfId="0" applyFont="1" applyFill="1" applyBorder="1">
      <alignment vertical="center"/>
    </xf>
    <xf numFmtId="9" fontId="33" fillId="27" borderId="11" xfId="0" applyNumberFormat="1" applyFont="1" applyFill="1" applyBorder="1" applyAlignment="1">
      <alignment horizontal="center" vertical="center"/>
    </xf>
    <xf numFmtId="0" fontId="33" fillId="27" borderId="11" xfId="0" applyFont="1" applyFill="1" applyBorder="1">
      <alignment vertical="center"/>
    </xf>
    <xf numFmtId="0" fontId="33" fillId="27" borderId="55" xfId="0" applyFont="1" applyFill="1" applyBorder="1">
      <alignment vertical="center"/>
    </xf>
    <xf numFmtId="0" fontId="33" fillId="27" borderId="55" xfId="0" applyFont="1" applyFill="1" applyBorder="1" applyAlignment="1">
      <alignment horizontal="center" vertical="center" wrapText="1"/>
    </xf>
    <xf numFmtId="0" fontId="33" fillId="27" borderId="50" xfId="0" applyFont="1" applyFill="1" applyBorder="1" applyAlignment="1">
      <alignment horizontal="center" vertical="center" wrapText="1"/>
    </xf>
    <xf numFmtId="0" fontId="33" fillId="27" borderId="27" xfId="0" applyFont="1" applyFill="1" applyBorder="1">
      <alignment vertical="center"/>
    </xf>
    <xf numFmtId="179" fontId="33" fillId="27" borderId="167" xfId="0" quotePrefix="1" applyNumberFormat="1" applyFont="1" applyFill="1" applyBorder="1" applyAlignment="1">
      <alignment horizontal="center" vertical="center"/>
    </xf>
    <xf numFmtId="178" fontId="33" fillId="27" borderId="167" xfId="0" applyNumberFormat="1" applyFont="1" applyFill="1" applyBorder="1" applyAlignment="1">
      <alignment horizontal="center" vertical="center"/>
    </xf>
    <xf numFmtId="179" fontId="33" fillId="27" borderId="11" xfId="0" applyNumberFormat="1" applyFont="1" applyFill="1" applyBorder="1" applyAlignment="1">
      <alignment horizontal="center" vertical="center" wrapText="1"/>
    </xf>
    <xf numFmtId="179" fontId="33" fillId="27" borderId="11" xfId="0" applyNumberFormat="1" applyFont="1" applyFill="1" applyBorder="1" applyAlignment="1">
      <alignment horizontal="center" vertical="center"/>
    </xf>
    <xf numFmtId="0" fontId="33" fillId="27" borderId="11" xfId="0" applyFont="1" applyFill="1" applyBorder="1" applyAlignment="1" applyProtection="1">
      <alignment vertical="center" wrapText="1"/>
      <protection locked="0"/>
    </xf>
    <xf numFmtId="179" fontId="33" fillId="27" borderId="15" xfId="0" applyNumberFormat="1" applyFont="1" applyFill="1" applyBorder="1" applyAlignment="1">
      <alignment horizontal="right" vertical="center" wrapText="1"/>
    </xf>
    <xf numFmtId="179" fontId="33" fillId="27" borderId="167" xfId="0" applyNumberFormat="1" applyFont="1" applyFill="1" applyBorder="1" applyAlignment="1">
      <alignment horizontal="right" vertical="center" wrapText="1"/>
    </xf>
    <xf numFmtId="179" fontId="33" fillId="27" borderId="167" xfId="0" applyNumberFormat="1" applyFont="1" applyFill="1" applyBorder="1" applyAlignment="1">
      <alignment horizontal="center" vertical="center"/>
    </xf>
    <xf numFmtId="0" fontId="33" fillId="27" borderId="167" xfId="0" applyFont="1" applyFill="1" applyBorder="1" applyAlignment="1" applyProtection="1">
      <alignment vertical="center" wrapText="1"/>
      <protection locked="0"/>
    </xf>
    <xf numFmtId="179" fontId="33" fillId="27" borderId="55" xfId="0" applyNumberFormat="1" applyFont="1" applyFill="1" applyBorder="1" applyAlignment="1">
      <alignment horizontal="center" vertical="center"/>
    </xf>
    <xf numFmtId="179" fontId="33" fillId="27" borderId="55" xfId="0" quotePrefix="1" applyNumberFormat="1" applyFont="1" applyFill="1" applyBorder="1" applyAlignment="1">
      <alignment horizontal="center" vertical="center"/>
    </xf>
    <xf numFmtId="0" fontId="33" fillId="27" borderId="55" xfId="0" applyFont="1" applyFill="1" applyBorder="1" applyAlignment="1">
      <alignment vertical="center" wrapText="1"/>
    </xf>
    <xf numFmtId="0" fontId="33" fillId="27" borderId="16" xfId="0" applyFont="1" applyFill="1" applyBorder="1" applyAlignment="1">
      <alignment horizontal="center" vertical="center" wrapText="1"/>
    </xf>
    <xf numFmtId="179" fontId="33" fillId="27" borderId="15" xfId="0" quotePrefix="1" applyNumberFormat="1" applyFont="1" applyFill="1" applyBorder="1" applyAlignment="1">
      <alignment horizontal="center" vertical="center"/>
    </xf>
    <xf numFmtId="0" fontId="33" fillId="27" borderId="11" xfId="0" applyFont="1" applyFill="1" applyBorder="1" applyAlignment="1">
      <alignment horizontal="left" vertical="center" wrapText="1"/>
    </xf>
    <xf numFmtId="179" fontId="33" fillId="27" borderId="11" xfId="0" quotePrefix="1" applyNumberFormat="1" applyFont="1" applyFill="1" applyBorder="1" applyAlignment="1">
      <alignment horizontal="center" vertical="center"/>
    </xf>
    <xf numFmtId="179" fontId="33" fillId="27" borderId="55" xfId="0" applyNumberFormat="1" applyFont="1" applyFill="1" applyBorder="1" applyAlignment="1">
      <alignment horizontal="left" vertical="center" wrapText="1"/>
    </xf>
    <xf numFmtId="38" fontId="33" fillId="27" borderId="51" xfId="35" applyFont="1" applyFill="1" applyBorder="1" applyAlignment="1">
      <alignment horizontal="center" vertical="center" wrapText="1"/>
    </xf>
    <xf numFmtId="0" fontId="33" fillId="27" borderId="51" xfId="0" applyFont="1" applyFill="1" applyBorder="1">
      <alignment vertical="center"/>
    </xf>
    <xf numFmtId="0" fontId="33" fillId="27" borderId="196" xfId="0" applyFont="1" applyFill="1" applyBorder="1" applyAlignment="1">
      <alignment horizontal="center" vertical="center" shrinkToFit="1"/>
    </xf>
    <xf numFmtId="213" fontId="33" fillId="27" borderId="167" xfId="0" applyNumberFormat="1" applyFont="1" applyFill="1" applyBorder="1" applyAlignment="1">
      <alignment horizontal="center" vertical="center"/>
    </xf>
    <xf numFmtId="0" fontId="33" fillId="27" borderId="167" xfId="0" applyFont="1" applyFill="1" applyBorder="1" applyAlignment="1">
      <alignment horizontal="center" vertical="center"/>
    </xf>
    <xf numFmtId="0" fontId="33" fillId="27" borderId="14" xfId="0" applyFont="1" applyFill="1" applyBorder="1" applyAlignment="1">
      <alignment horizontal="center" vertical="center"/>
    </xf>
    <xf numFmtId="0" fontId="33" fillId="27" borderId="11" xfId="0" applyFont="1" applyFill="1" applyBorder="1" applyAlignment="1">
      <alignment horizontal="center" vertical="center"/>
    </xf>
    <xf numFmtId="0" fontId="33" fillId="27" borderId="170" xfId="0" applyFont="1" applyFill="1" applyBorder="1" applyAlignment="1">
      <alignment horizontal="center" vertical="center" wrapText="1"/>
    </xf>
    <xf numFmtId="0" fontId="33" fillId="27" borderId="168" xfId="0" applyFont="1" applyFill="1" applyBorder="1" applyAlignment="1">
      <alignment horizontal="center" vertical="center"/>
    </xf>
    <xf numFmtId="0" fontId="33" fillId="27" borderId="168" xfId="0" applyFont="1" applyFill="1" applyBorder="1" applyAlignment="1" applyProtection="1">
      <alignment vertical="center" wrapText="1"/>
      <protection locked="0"/>
    </xf>
    <xf numFmtId="0" fontId="33" fillId="27" borderId="0" xfId="0" applyFont="1" applyFill="1" applyAlignment="1">
      <alignment horizontal="center" vertical="center" wrapText="1"/>
    </xf>
    <xf numFmtId="0" fontId="33" fillId="41" borderId="55" xfId="0" applyFont="1" applyFill="1" applyBorder="1" applyAlignment="1" applyProtection="1">
      <alignment horizontal="center" vertical="center"/>
      <protection locked="0"/>
    </xf>
    <xf numFmtId="0" fontId="33" fillId="41" borderId="55" xfId="0" applyFont="1" applyFill="1" applyBorder="1" applyProtection="1">
      <alignment vertical="center"/>
      <protection locked="0"/>
    </xf>
    <xf numFmtId="0" fontId="33" fillId="41" borderId="10" xfId="0" applyFont="1" applyFill="1" applyBorder="1" applyAlignment="1" applyProtection="1">
      <alignment horizontal="center" vertical="center"/>
      <protection locked="0"/>
    </xf>
    <xf numFmtId="0" fontId="33" fillId="41" borderId="10" xfId="0" applyFont="1" applyFill="1" applyBorder="1" applyProtection="1">
      <alignment vertical="center"/>
      <protection locked="0"/>
    </xf>
    <xf numFmtId="211" fontId="33" fillId="41" borderId="10" xfId="0" applyNumberFormat="1" applyFont="1" applyFill="1" applyBorder="1" applyAlignment="1" applyProtection="1">
      <alignment horizontal="center" vertical="center"/>
      <protection locked="0"/>
    </xf>
    <xf numFmtId="0" fontId="33" fillId="41" borderId="10" xfId="0" applyFont="1" applyFill="1" applyBorder="1" applyAlignment="1" applyProtection="1">
      <alignment vertical="center" wrapText="1"/>
      <protection locked="0"/>
    </xf>
    <xf numFmtId="179" fontId="33" fillId="41" borderId="10" xfId="0" applyNumberFormat="1" applyFont="1" applyFill="1" applyBorder="1" applyAlignment="1" applyProtection="1">
      <alignment horizontal="center" vertical="center"/>
      <protection locked="0"/>
    </xf>
    <xf numFmtId="0" fontId="33" fillId="41" borderId="10" xfId="0" applyFont="1" applyFill="1" applyBorder="1" applyAlignment="1" applyProtection="1">
      <alignment horizontal="left" vertical="center" wrapText="1"/>
      <protection locked="0"/>
    </xf>
    <xf numFmtId="0" fontId="33" fillId="41" borderId="10" xfId="0" applyFont="1" applyFill="1" applyBorder="1" applyAlignment="1" applyProtection="1">
      <alignment horizontal="left" vertical="center" wrapText="1" shrinkToFit="1"/>
      <protection locked="0"/>
    </xf>
    <xf numFmtId="0" fontId="33" fillId="41" borderId="10" xfId="0" applyFont="1" applyFill="1" applyBorder="1" applyAlignment="1" applyProtection="1">
      <alignment horizontal="center" vertical="center" wrapText="1" shrinkToFit="1"/>
      <protection locked="0"/>
    </xf>
    <xf numFmtId="0" fontId="33" fillId="41" borderId="16" xfId="0" applyFont="1" applyFill="1" applyBorder="1" applyAlignment="1" applyProtection="1">
      <alignment horizontal="center" vertical="center" wrapText="1"/>
      <protection locked="0"/>
    </xf>
    <xf numFmtId="0" fontId="33" fillId="41" borderId="16" xfId="0" applyFont="1" applyFill="1" applyBorder="1" applyAlignment="1" applyProtection="1">
      <alignment horizontal="center" vertical="center" wrapText="1" shrinkToFit="1"/>
      <protection locked="0"/>
    </xf>
    <xf numFmtId="0" fontId="33" fillId="41" borderId="16" xfId="0" applyFont="1" applyFill="1" applyBorder="1" applyAlignment="1" applyProtection="1">
      <alignment vertical="center" wrapText="1"/>
      <protection locked="0"/>
    </xf>
    <xf numFmtId="0" fontId="33" fillId="27" borderId="11" xfId="0" applyFont="1" applyFill="1" applyBorder="1" applyAlignment="1">
      <alignment horizontal="center" vertical="center" shrinkToFit="1"/>
    </xf>
    <xf numFmtId="0" fontId="33" fillId="41" borderId="11" xfId="0" applyFont="1" applyFill="1" applyBorder="1" applyAlignment="1" applyProtection="1">
      <alignment horizontal="center" vertical="center" wrapText="1"/>
      <protection locked="0"/>
    </xf>
    <xf numFmtId="0" fontId="33" fillId="41" borderId="11" xfId="0" applyFont="1" applyFill="1" applyBorder="1" applyAlignment="1" applyProtection="1">
      <alignment horizontal="center" vertical="center" wrapText="1" shrinkToFit="1"/>
      <protection locked="0"/>
    </xf>
    <xf numFmtId="0" fontId="33" fillId="41" borderId="167" xfId="0" applyFont="1" applyFill="1" applyBorder="1" applyAlignment="1" applyProtection="1">
      <alignment vertical="center" wrapText="1"/>
      <protection locked="0"/>
    </xf>
    <xf numFmtId="0" fontId="33" fillId="41" borderId="11" xfId="0" applyFont="1" applyFill="1" applyBorder="1" applyAlignment="1" applyProtection="1">
      <alignment vertical="center" wrapText="1"/>
      <protection locked="0"/>
    </xf>
    <xf numFmtId="0" fontId="33" fillId="41" borderId="177" xfId="0" applyFont="1" applyFill="1" applyBorder="1" applyAlignment="1" applyProtection="1">
      <alignment horizontal="center" vertical="center" wrapText="1"/>
      <protection locked="0"/>
    </xf>
    <xf numFmtId="0" fontId="33" fillId="41" borderId="177" xfId="0" applyFont="1" applyFill="1" applyBorder="1" applyAlignment="1" applyProtection="1">
      <alignment horizontal="center" vertical="center" wrapText="1" shrinkToFit="1"/>
      <protection locked="0"/>
    </xf>
    <xf numFmtId="0" fontId="33" fillId="41" borderId="177" xfId="0" applyFont="1" applyFill="1" applyBorder="1" applyAlignment="1" applyProtection="1">
      <alignment vertical="center" wrapText="1"/>
      <protection locked="0"/>
    </xf>
    <xf numFmtId="0" fontId="33" fillId="41" borderId="167" xfId="0" applyFont="1" applyFill="1" applyBorder="1" applyAlignment="1" applyProtection="1">
      <alignment horizontal="center" vertical="center" wrapText="1"/>
      <protection locked="0"/>
    </xf>
    <xf numFmtId="0" fontId="33" fillId="41" borderId="167" xfId="0" applyFont="1" applyFill="1" applyBorder="1" applyAlignment="1" applyProtection="1">
      <alignment horizontal="center" vertical="center" wrapText="1" shrinkToFit="1"/>
      <protection locked="0"/>
    </xf>
    <xf numFmtId="0" fontId="33" fillId="27" borderId="11" xfId="0" applyFont="1" applyFill="1" applyBorder="1" applyAlignment="1" applyProtection="1">
      <alignment horizontal="center" vertical="center" wrapText="1"/>
      <protection locked="0"/>
    </xf>
    <xf numFmtId="9" fontId="33" fillId="41" borderId="167" xfId="0" applyNumberFormat="1" applyFont="1" applyFill="1" applyBorder="1" applyAlignment="1" applyProtection="1">
      <alignment horizontal="center" vertical="center" wrapText="1"/>
      <protection locked="0"/>
    </xf>
    <xf numFmtId="0" fontId="33" fillId="41" borderId="167" xfId="0" applyFont="1" applyFill="1" applyBorder="1" applyProtection="1">
      <alignment vertical="center"/>
      <protection locked="0"/>
    </xf>
    <xf numFmtId="0" fontId="33" fillId="41" borderId="11" xfId="0" applyFont="1" applyFill="1" applyBorder="1" applyProtection="1">
      <alignment vertical="center"/>
      <protection locked="0"/>
    </xf>
    <xf numFmtId="9" fontId="33" fillId="41" borderId="168" xfId="0" applyNumberFormat="1" applyFont="1" applyFill="1" applyBorder="1" applyAlignment="1" applyProtection="1">
      <alignment horizontal="center" vertical="center" wrapText="1" shrinkToFit="1"/>
      <protection locked="0"/>
    </xf>
    <xf numFmtId="0" fontId="33" fillId="41" borderId="168" xfId="0" applyFont="1" applyFill="1" applyBorder="1" applyProtection="1">
      <alignment vertical="center"/>
      <protection locked="0"/>
    </xf>
    <xf numFmtId="179" fontId="33" fillId="41" borderId="51" xfId="0" applyNumberFormat="1" applyFont="1" applyFill="1" applyBorder="1" applyAlignment="1" applyProtection="1">
      <alignment horizontal="center" vertical="center"/>
      <protection locked="0"/>
    </xf>
    <xf numFmtId="0" fontId="33" fillId="41" borderId="10" xfId="0" applyFont="1" applyFill="1" applyBorder="1" applyAlignment="1" applyProtection="1">
      <alignment horizontal="center" vertical="center" wrapText="1"/>
      <protection locked="0"/>
    </xf>
    <xf numFmtId="178" fontId="33" fillId="41" borderId="167" xfId="0" applyNumberFormat="1" applyFont="1" applyFill="1" applyBorder="1" applyAlignment="1" applyProtection="1">
      <alignment horizontal="center" vertical="center"/>
      <protection locked="0"/>
    </xf>
    <xf numFmtId="0" fontId="33" fillId="27" borderId="17" xfId="0" applyFont="1" applyFill="1" applyBorder="1" applyAlignment="1">
      <alignment horizontal="center" vertical="center" wrapText="1"/>
    </xf>
    <xf numFmtId="178" fontId="33" fillId="41" borderId="11" xfId="0" applyNumberFormat="1" applyFont="1" applyFill="1" applyBorder="1" applyAlignment="1" applyProtection="1">
      <alignment horizontal="center" vertical="center"/>
      <protection locked="0"/>
    </xf>
    <xf numFmtId="178" fontId="33" fillId="41" borderId="15" xfId="0" applyNumberFormat="1" applyFont="1" applyFill="1" applyBorder="1" applyAlignment="1" applyProtection="1">
      <alignment horizontal="center" vertical="center"/>
      <protection locked="0"/>
    </xf>
    <xf numFmtId="179" fontId="33" fillId="41" borderId="55" xfId="0" applyNumberFormat="1" applyFont="1" applyFill="1" applyBorder="1" applyAlignment="1" applyProtection="1">
      <alignment horizontal="center" vertical="center"/>
      <protection locked="0"/>
    </xf>
    <xf numFmtId="0" fontId="33" fillId="41" borderId="168" xfId="0" applyFont="1" applyFill="1" applyBorder="1" applyAlignment="1" applyProtection="1">
      <alignment vertical="center" wrapText="1"/>
      <protection locked="0"/>
    </xf>
    <xf numFmtId="38" fontId="33" fillId="41" borderId="51" xfId="35" applyFont="1" applyFill="1" applyBorder="1" applyAlignment="1" applyProtection="1">
      <alignment horizontal="center" vertical="center" wrapText="1"/>
      <protection locked="0"/>
    </xf>
    <xf numFmtId="0" fontId="33" fillId="41" borderId="51" xfId="0" applyFont="1" applyFill="1" applyBorder="1" applyProtection="1">
      <alignment vertical="center"/>
      <protection locked="0"/>
    </xf>
    <xf numFmtId="0" fontId="33" fillId="41" borderId="167" xfId="0" applyFont="1" applyFill="1" applyBorder="1" applyAlignment="1" applyProtection="1">
      <alignment horizontal="center" vertical="center"/>
      <protection locked="0"/>
    </xf>
    <xf numFmtId="0" fontId="33" fillId="41" borderId="11" xfId="0" applyFont="1" applyFill="1" applyBorder="1" applyAlignment="1" applyProtection="1">
      <alignment horizontal="center" vertical="center"/>
      <protection locked="0"/>
    </xf>
    <xf numFmtId="0" fontId="33" fillId="41" borderId="170" xfId="0" applyFont="1" applyFill="1" applyBorder="1" applyAlignment="1" applyProtection="1">
      <alignment horizontal="center" vertical="center" wrapText="1"/>
      <protection locked="0"/>
    </xf>
    <xf numFmtId="0" fontId="33" fillId="41" borderId="168" xfId="0" applyFont="1" applyFill="1" applyBorder="1" applyAlignment="1" applyProtection="1">
      <alignment horizontal="center" vertical="center"/>
      <protection locked="0"/>
    </xf>
    <xf numFmtId="38" fontId="33" fillId="27" borderId="11" xfId="35" applyFont="1" applyFill="1" applyBorder="1" applyAlignment="1">
      <alignment horizontal="center" vertical="center" wrapText="1" shrinkToFit="1"/>
    </xf>
    <xf numFmtId="0" fontId="33" fillId="27" borderId="177" xfId="0" applyFont="1" applyFill="1" applyBorder="1" applyAlignment="1" applyProtection="1">
      <alignment vertical="center" wrapText="1"/>
      <protection locked="0"/>
    </xf>
    <xf numFmtId="190" fontId="33" fillId="27" borderId="11" xfId="0" applyNumberFormat="1" applyFont="1" applyFill="1" applyBorder="1" applyAlignment="1">
      <alignment horizontal="center" vertical="center" wrapText="1" shrinkToFit="1"/>
    </xf>
    <xf numFmtId="0" fontId="33" fillId="27" borderId="167" xfId="0" applyFont="1" applyFill="1" applyBorder="1" applyAlignment="1">
      <alignment horizontal="left" vertical="center"/>
    </xf>
    <xf numFmtId="38" fontId="33" fillId="27" borderId="167" xfId="35" applyFont="1" applyFill="1" applyBorder="1" applyAlignment="1">
      <alignment horizontal="center" vertical="center" wrapText="1" shrinkToFit="1"/>
    </xf>
    <xf numFmtId="40" fontId="33" fillId="27" borderId="177" xfId="0" applyNumberFormat="1" applyFont="1" applyFill="1" applyBorder="1" applyAlignment="1">
      <alignment horizontal="center" vertical="center" wrapText="1"/>
    </xf>
    <xf numFmtId="38" fontId="33" fillId="27" borderId="177" xfId="35" applyFont="1" applyFill="1" applyBorder="1" applyAlignment="1">
      <alignment horizontal="center" vertical="center" wrapText="1" shrinkToFit="1"/>
    </xf>
    <xf numFmtId="40" fontId="33" fillId="27" borderId="168" xfId="0" applyNumberFormat="1" applyFont="1" applyFill="1" applyBorder="1" applyAlignment="1">
      <alignment horizontal="center" vertical="center" wrapText="1"/>
    </xf>
    <xf numFmtId="178" fontId="33" fillId="27" borderId="168" xfId="0" applyNumberFormat="1" applyFont="1" applyFill="1" applyBorder="1" applyAlignment="1">
      <alignment horizontal="center" vertical="center" wrapText="1" shrinkToFit="1"/>
    </xf>
    <xf numFmtId="0" fontId="33" fillId="0" borderId="0" xfId="0" applyFont="1" applyAlignment="1">
      <alignment horizontal="left"/>
    </xf>
    <xf numFmtId="0" fontId="33" fillId="0" borderId="0" xfId="0" applyFont="1" applyAlignment="1">
      <alignment shrinkToFit="1"/>
    </xf>
    <xf numFmtId="190" fontId="33" fillId="0" borderId="0" xfId="35" applyNumberFormat="1" applyFont="1" applyFill="1" applyBorder="1" applyAlignment="1"/>
    <xf numFmtId="178" fontId="33" fillId="0" borderId="0" xfId="35" applyNumberFormat="1" applyFont="1" applyFill="1" applyBorder="1" applyAlignment="1"/>
    <xf numFmtId="49" fontId="33" fillId="0" borderId="0" xfId="35" applyNumberFormat="1" applyFont="1" applyFill="1" applyBorder="1" applyAlignment="1">
      <alignment horizontal="center"/>
    </xf>
    <xf numFmtId="2" fontId="33" fillId="0" borderId="0" xfId="0" applyNumberFormat="1" applyFont="1" applyAlignment="1">
      <alignment horizontal="left" shrinkToFit="1"/>
    </xf>
    <xf numFmtId="2" fontId="33" fillId="0" borderId="0" xfId="0" applyNumberFormat="1" applyFont="1" applyAlignment="1">
      <alignment horizontal="center"/>
    </xf>
    <xf numFmtId="0" fontId="6" fillId="0" borderId="0" xfId="0" applyFont="1" applyAlignment="1">
      <alignment horizontal="left" vertical="center" shrinkToFit="1"/>
    </xf>
    <xf numFmtId="178" fontId="150" fillId="0" borderId="0" xfId="35" applyNumberFormat="1" applyFont="1" applyFill="1" applyBorder="1" applyAlignment="1" applyProtection="1">
      <protection hidden="1"/>
    </xf>
    <xf numFmtId="0" fontId="33" fillId="0" borderId="0" xfId="0" applyFont="1" applyAlignment="1" applyProtection="1">
      <alignment shrinkToFit="1"/>
      <protection hidden="1"/>
    </xf>
    <xf numFmtId="0" fontId="151" fillId="0" borderId="0" xfId="0" applyFont="1" applyAlignment="1" applyProtection="1">
      <alignment horizontal="left" vertical="center"/>
      <protection hidden="1"/>
    </xf>
    <xf numFmtId="178" fontId="151" fillId="0" borderId="0" xfId="35" applyNumberFormat="1" applyFont="1" applyFill="1" applyBorder="1" applyAlignment="1" applyProtection="1">
      <protection hidden="1"/>
    </xf>
    <xf numFmtId="178" fontId="33" fillId="0" borderId="0" xfId="35" applyNumberFormat="1" applyFont="1" applyFill="1" applyBorder="1" applyAlignment="1" applyProtection="1">
      <protection hidden="1"/>
    </xf>
    <xf numFmtId="2" fontId="150" fillId="0" borderId="0" xfId="0" applyNumberFormat="1" applyFont="1" applyAlignment="1" applyProtection="1">
      <alignment horizontal="left"/>
      <protection hidden="1"/>
    </xf>
    <xf numFmtId="49" fontId="150" fillId="0" borderId="0" xfId="0" applyNumberFormat="1" applyFont="1" applyProtection="1">
      <alignment vertical="center"/>
      <protection hidden="1"/>
    </xf>
    <xf numFmtId="0" fontId="151" fillId="0" borderId="0" xfId="0" applyFont="1" applyAlignment="1">
      <alignment vertical="center" shrinkToFit="1"/>
    </xf>
    <xf numFmtId="0" fontId="151" fillId="0" borderId="0" xfId="0" applyFont="1">
      <alignment vertical="center"/>
    </xf>
    <xf numFmtId="2" fontId="151" fillId="0" borderId="0" xfId="0" applyNumberFormat="1" applyFont="1" applyAlignment="1" applyProtection="1">
      <alignment horizontal="center"/>
      <protection hidden="1"/>
    </xf>
    <xf numFmtId="0" fontId="151" fillId="0" borderId="0" xfId="0" applyFont="1" applyAlignment="1">
      <alignment horizontal="left" vertical="center" shrinkToFit="1"/>
    </xf>
    <xf numFmtId="2" fontId="6" fillId="0" borderId="0" xfId="0" applyNumberFormat="1" applyFont="1" applyAlignment="1" applyProtection="1">
      <alignment horizontal="left" shrinkToFit="1"/>
      <protection hidden="1"/>
    </xf>
    <xf numFmtId="1" fontId="150" fillId="0" borderId="0" xfId="0" applyNumberFormat="1" applyFont="1" applyAlignment="1" applyProtection="1">
      <alignment horizontal="center"/>
      <protection hidden="1"/>
    </xf>
    <xf numFmtId="2" fontId="151" fillId="0" borderId="0" xfId="0" applyNumberFormat="1" applyFont="1" applyAlignment="1" applyProtection="1">
      <alignment horizontal="left" shrinkToFit="1"/>
      <protection hidden="1"/>
    </xf>
    <xf numFmtId="0" fontId="6" fillId="35" borderId="52" xfId="0" applyFont="1" applyFill="1" applyBorder="1" applyAlignment="1" applyProtection="1">
      <alignment horizontal="center" vertical="center"/>
      <protection hidden="1"/>
    </xf>
    <xf numFmtId="0" fontId="6" fillId="35" borderId="54" xfId="0" applyFont="1" applyFill="1" applyBorder="1" applyAlignment="1" applyProtection="1">
      <alignment horizontal="center" vertical="center" shrinkToFit="1"/>
      <protection hidden="1"/>
    </xf>
    <xf numFmtId="0" fontId="6" fillId="35" borderId="26" xfId="0" applyFont="1" applyFill="1" applyBorder="1" applyAlignment="1" applyProtection="1">
      <alignment horizontal="centerContinuous" vertical="center"/>
      <protection hidden="1"/>
    </xf>
    <xf numFmtId="0" fontId="6" fillId="35" borderId="27" xfId="0" applyFont="1" applyFill="1" applyBorder="1" applyAlignment="1" applyProtection="1">
      <alignment horizontal="centerContinuous" vertical="center"/>
      <protection hidden="1"/>
    </xf>
    <xf numFmtId="0" fontId="33" fillId="35" borderId="26" xfId="0" applyFont="1" applyFill="1" applyBorder="1" applyAlignment="1" applyProtection="1">
      <alignment horizontal="centerContinuous" vertical="center"/>
      <protection hidden="1"/>
    </xf>
    <xf numFmtId="0" fontId="33" fillId="35" borderId="27" xfId="0" applyFont="1" applyFill="1" applyBorder="1" applyAlignment="1" applyProtection="1">
      <alignment horizontal="centerContinuous" vertical="center"/>
      <protection hidden="1"/>
    </xf>
    <xf numFmtId="178" fontId="33" fillId="35" borderId="10" xfId="35" applyNumberFormat="1" applyFont="1" applyFill="1" applyBorder="1" applyAlignment="1" applyProtection="1">
      <alignment horizontal="centerContinuous" vertical="center"/>
      <protection hidden="1"/>
    </xf>
    <xf numFmtId="0" fontId="33" fillId="35" borderId="50" xfId="0" applyFont="1" applyFill="1" applyBorder="1" applyAlignment="1" applyProtection="1">
      <alignment horizontal="centerContinuous" vertical="center"/>
      <protection hidden="1"/>
    </xf>
    <xf numFmtId="0" fontId="6" fillId="35" borderId="10" xfId="0" applyFont="1" applyFill="1" applyBorder="1" applyAlignment="1" applyProtection="1">
      <alignment horizontal="center" vertical="center"/>
      <protection hidden="1"/>
    </xf>
    <xf numFmtId="0" fontId="6" fillId="35" borderId="10" xfId="0" applyFont="1" applyFill="1" applyBorder="1" applyAlignment="1" applyProtection="1">
      <alignment horizontal="center" vertical="center" shrinkToFit="1"/>
      <protection hidden="1"/>
    </xf>
    <xf numFmtId="2" fontId="33" fillId="35" borderId="10" xfId="0" applyNumberFormat="1" applyFont="1" applyFill="1" applyBorder="1" applyAlignment="1" applyProtection="1">
      <alignment horizontal="center"/>
      <protection hidden="1"/>
    </xf>
    <xf numFmtId="0" fontId="6" fillId="35" borderId="10" xfId="0" applyFont="1" applyFill="1" applyBorder="1" applyAlignment="1" applyProtection="1">
      <alignment horizontal="left" vertical="center" shrinkToFit="1"/>
      <protection hidden="1"/>
    </xf>
    <xf numFmtId="0" fontId="6" fillId="35" borderId="56" xfId="0" applyFont="1" applyFill="1" applyBorder="1" applyAlignment="1" applyProtection="1">
      <alignment horizontal="center" vertical="center" shrinkToFit="1"/>
      <protection hidden="1"/>
    </xf>
    <xf numFmtId="0" fontId="6" fillId="35" borderId="58" xfId="0" applyFont="1" applyFill="1" applyBorder="1" applyAlignment="1" applyProtection="1">
      <alignment horizontal="center" vertical="center" shrinkToFit="1"/>
      <protection hidden="1"/>
    </xf>
    <xf numFmtId="178" fontId="33" fillId="35" borderId="10" xfId="35" applyNumberFormat="1" applyFont="1" applyFill="1" applyBorder="1" applyAlignment="1" applyProtection="1">
      <alignment horizontal="center" shrinkToFit="1"/>
      <protection hidden="1"/>
    </xf>
    <xf numFmtId="2" fontId="33" fillId="35" borderId="10" xfId="0" applyNumberFormat="1" applyFont="1" applyFill="1" applyBorder="1" applyAlignment="1" applyProtection="1">
      <alignment horizontal="center" vertical="top" shrinkToFit="1"/>
      <protection hidden="1"/>
    </xf>
    <xf numFmtId="2" fontId="33" fillId="35" borderId="26" xfId="0" applyNumberFormat="1" applyFont="1" applyFill="1" applyBorder="1" applyAlignment="1" applyProtection="1">
      <alignment horizontal="center" vertical="top" shrinkToFit="1"/>
      <protection hidden="1"/>
    </xf>
    <xf numFmtId="2" fontId="33" fillId="35" borderId="27" xfId="0" applyNumberFormat="1" applyFont="1" applyFill="1" applyBorder="1" applyAlignment="1" applyProtection="1">
      <alignment horizontal="center" vertical="top" shrinkToFit="1"/>
      <protection hidden="1"/>
    </xf>
    <xf numFmtId="0" fontId="6" fillId="0" borderId="0" xfId="0" applyFont="1" applyAlignment="1">
      <alignment vertical="center" shrinkToFit="1"/>
    </xf>
    <xf numFmtId="0" fontId="6" fillId="35" borderId="56" xfId="0" applyFont="1" applyFill="1" applyBorder="1" applyAlignment="1" applyProtection="1">
      <alignment horizontal="center" vertical="center"/>
      <protection hidden="1"/>
    </xf>
    <xf numFmtId="0" fontId="33" fillId="35" borderId="58" xfId="0" applyFont="1" applyFill="1" applyBorder="1" applyAlignment="1" applyProtection="1">
      <alignment horizontal="center" vertical="center" shrinkToFit="1"/>
      <protection hidden="1"/>
    </xf>
    <xf numFmtId="190" fontId="33" fillId="35" borderId="27" xfId="35" applyNumberFormat="1" applyFont="1" applyFill="1" applyBorder="1" applyAlignment="1" applyProtection="1">
      <protection hidden="1"/>
    </xf>
    <xf numFmtId="178" fontId="33" fillId="35" borderId="10" xfId="35" applyNumberFormat="1" applyFont="1" applyFill="1" applyBorder="1" applyAlignment="1" applyProtection="1">
      <alignment horizontal="center"/>
      <protection hidden="1"/>
    </xf>
    <xf numFmtId="197" fontId="33" fillId="35" borderId="10" xfId="35" applyNumberFormat="1" applyFont="1" applyFill="1" applyBorder="1" applyAlignment="1" applyProtection="1">
      <alignment horizontal="center" vertical="top"/>
      <protection hidden="1"/>
    </xf>
    <xf numFmtId="197" fontId="33" fillId="35" borderId="26" xfId="35" applyNumberFormat="1" applyFont="1" applyFill="1" applyBorder="1" applyAlignment="1" applyProtection="1">
      <alignment horizontal="center" vertical="top"/>
      <protection hidden="1"/>
    </xf>
    <xf numFmtId="40" fontId="33" fillId="35" borderId="10" xfId="35" applyNumberFormat="1" applyFont="1" applyFill="1" applyBorder="1" applyAlignment="1" applyProtection="1">
      <alignment horizontal="center" vertical="top"/>
      <protection hidden="1"/>
    </xf>
    <xf numFmtId="40" fontId="33" fillId="35" borderId="26" xfId="35" applyNumberFormat="1" applyFont="1" applyFill="1" applyBorder="1" applyAlignment="1" applyProtection="1">
      <alignment horizontal="center" vertical="top"/>
      <protection hidden="1"/>
    </xf>
    <xf numFmtId="0" fontId="23" fillId="35" borderId="10" xfId="0" applyFont="1" applyFill="1" applyBorder="1" applyAlignment="1" applyProtection="1">
      <alignment horizontal="center" vertical="center"/>
      <protection hidden="1"/>
    </xf>
    <xf numFmtId="0" fontId="45" fillId="35" borderId="58" xfId="0" applyFont="1" applyFill="1" applyBorder="1" applyAlignment="1" applyProtection="1">
      <alignment horizontal="left" vertical="center" shrinkToFit="1"/>
      <protection hidden="1"/>
    </xf>
    <xf numFmtId="190" fontId="126" fillId="35" borderId="27" xfId="35" applyNumberFormat="1" applyFont="1" applyFill="1" applyBorder="1" applyAlignment="1" applyProtection="1">
      <protection hidden="1"/>
    </xf>
    <xf numFmtId="178" fontId="126" fillId="35" borderId="10" xfId="35" applyNumberFormat="1" applyFont="1" applyFill="1" applyBorder="1" applyAlignment="1" applyProtection="1">
      <alignment horizontal="center"/>
      <protection hidden="1"/>
    </xf>
    <xf numFmtId="197" fontId="33" fillId="35" borderId="27" xfId="0" applyNumberFormat="1" applyFont="1" applyFill="1" applyBorder="1" applyAlignment="1" applyProtection="1">
      <alignment horizontal="center" vertical="top"/>
      <protection hidden="1"/>
    </xf>
    <xf numFmtId="197" fontId="33" fillId="35" borderId="10" xfId="0" applyNumberFormat="1" applyFont="1" applyFill="1" applyBorder="1" applyAlignment="1" applyProtection="1">
      <alignment horizontal="center" vertical="top"/>
      <protection hidden="1"/>
    </xf>
    <xf numFmtId="0" fontId="23" fillId="35" borderId="10" xfId="0" applyFont="1" applyFill="1" applyBorder="1" applyAlignment="1" applyProtection="1">
      <alignment horizontal="left" vertical="center" shrinkToFit="1"/>
      <protection hidden="1"/>
    </xf>
    <xf numFmtId="40" fontId="126" fillId="35" borderId="10" xfId="35" applyNumberFormat="1" applyFont="1" applyFill="1" applyBorder="1" applyAlignment="1" applyProtection="1">
      <alignment horizontal="center" vertical="top"/>
      <protection hidden="1"/>
    </xf>
    <xf numFmtId="40" fontId="126" fillId="35" borderId="26" xfId="35" applyNumberFormat="1" applyFont="1" applyFill="1" applyBorder="1" applyAlignment="1" applyProtection="1">
      <alignment horizontal="center" vertical="top"/>
      <protection hidden="1"/>
    </xf>
    <xf numFmtId="2" fontId="126" fillId="35" borderId="27" xfId="0" applyNumberFormat="1" applyFont="1" applyFill="1" applyBorder="1" applyAlignment="1" applyProtection="1">
      <alignment horizontal="center" vertical="top"/>
      <protection hidden="1"/>
    </xf>
    <xf numFmtId="2" fontId="126" fillId="35" borderId="10" xfId="0" applyNumberFormat="1" applyFont="1" applyFill="1" applyBorder="1" applyAlignment="1" applyProtection="1">
      <alignment horizontal="center" vertical="top"/>
      <protection hidden="1"/>
    </xf>
    <xf numFmtId="0" fontId="126" fillId="31" borderId="10" xfId="0" applyFont="1" applyFill="1" applyBorder="1" applyAlignment="1" applyProtection="1">
      <alignment horizontal="left" vertical="center"/>
      <protection hidden="1"/>
    </xf>
    <xf numFmtId="0" fontId="126" fillId="31" borderId="10" xfId="0" applyFont="1" applyFill="1" applyBorder="1" applyAlignment="1" applyProtection="1">
      <alignment vertical="center" shrinkToFit="1"/>
      <protection hidden="1"/>
    </xf>
    <xf numFmtId="190" fontId="126" fillId="31" borderId="10" xfId="35" applyNumberFormat="1" applyFont="1" applyFill="1" applyBorder="1" applyAlignment="1" applyProtection="1">
      <alignment horizontal="right"/>
      <protection hidden="1"/>
    </xf>
    <xf numFmtId="191" fontId="126" fillId="31" borderId="10" xfId="35" applyNumberFormat="1" applyFont="1" applyFill="1" applyBorder="1" applyAlignment="1" applyProtection="1">
      <protection hidden="1"/>
    </xf>
    <xf numFmtId="0" fontId="126" fillId="31" borderId="10" xfId="0" applyFont="1" applyFill="1" applyBorder="1" applyAlignment="1" applyProtection="1">
      <alignment horizontal="left" vertical="center" shrinkToFit="1"/>
      <protection hidden="1"/>
    </xf>
    <xf numFmtId="197" fontId="126" fillId="31" borderId="10" xfId="35" applyNumberFormat="1" applyFont="1" applyFill="1" applyBorder="1" applyAlignment="1" applyProtection="1">
      <alignment horizontal="center" vertical="center"/>
      <protection hidden="1"/>
    </xf>
    <xf numFmtId="197" fontId="126" fillId="31" borderId="27" xfId="35" applyNumberFormat="1" applyFont="1" applyFill="1" applyBorder="1" applyAlignment="1" applyProtection="1">
      <alignment horizontal="center" vertical="center"/>
      <protection hidden="1"/>
    </xf>
    <xf numFmtId="49" fontId="126" fillId="31" borderId="10" xfId="0" applyNumberFormat="1" applyFont="1" applyFill="1" applyBorder="1" applyAlignment="1" applyProtection="1">
      <alignment horizontal="left" vertical="center"/>
      <protection hidden="1"/>
    </xf>
    <xf numFmtId="2" fontId="126" fillId="31" borderId="10" xfId="35" applyNumberFormat="1" applyFont="1" applyFill="1" applyBorder="1" applyAlignment="1" applyProtection="1">
      <alignment horizontal="center" vertical="center"/>
      <protection hidden="1"/>
    </xf>
    <xf numFmtId="2" fontId="126" fillId="31" borderId="27" xfId="35" applyNumberFormat="1" applyFont="1" applyFill="1" applyBorder="1" applyAlignment="1" applyProtection="1">
      <alignment horizontal="center" vertical="center"/>
      <protection hidden="1"/>
    </xf>
    <xf numFmtId="0" fontId="126" fillId="27" borderId="10" xfId="0" applyFont="1" applyFill="1" applyBorder="1" applyAlignment="1" applyProtection="1">
      <alignment vertical="center" shrinkToFit="1"/>
      <protection hidden="1"/>
    </xf>
    <xf numFmtId="190" fontId="126" fillId="27" borderId="10" xfId="35" applyNumberFormat="1" applyFont="1" applyFill="1" applyBorder="1" applyAlignment="1" applyProtection="1">
      <alignment horizontal="right"/>
      <protection hidden="1"/>
    </xf>
    <xf numFmtId="191" fontId="126" fillId="27" borderId="10" xfId="35" applyNumberFormat="1" applyFont="1" applyFill="1" applyBorder="1" applyAlignment="1" applyProtection="1">
      <protection hidden="1"/>
    </xf>
    <xf numFmtId="190" fontId="33" fillId="27" borderId="10" xfId="0" applyNumberFormat="1" applyFont="1" applyFill="1" applyBorder="1" applyProtection="1">
      <alignment vertical="center"/>
      <protection hidden="1"/>
    </xf>
    <xf numFmtId="0" fontId="126" fillId="27" borderId="10" xfId="0" applyFont="1" applyFill="1" applyBorder="1" applyAlignment="1" applyProtection="1">
      <alignment horizontal="left" vertical="center"/>
      <protection hidden="1"/>
    </xf>
    <xf numFmtId="0" fontId="126" fillId="27" borderId="10" xfId="0" applyFont="1" applyFill="1" applyBorder="1" applyAlignment="1" applyProtection="1">
      <alignment horizontal="left" vertical="center" shrinkToFit="1"/>
      <protection hidden="1"/>
    </xf>
    <xf numFmtId="197" fontId="126" fillId="27" borderId="10" xfId="35" applyNumberFormat="1" applyFont="1" applyFill="1" applyBorder="1" applyAlignment="1" applyProtection="1">
      <alignment horizontal="center"/>
      <protection hidden="1"/>
    </xf>
    <xf numFmtId="197" fontId="126" fillId="27" borderId="26" xfId="35" applyNumberFormat="1" applyFont="1" applyFill="1" applyBorder="1" applyAlignment="1" applyProtection="1">
      <alignment horizontal="center" vertical="center"/>
      <protection hidden="1"/>
    </xf>
    <xf numFmtId="197" fontId="126" fillId="27" borderId="27" xfId="35" applyNumberFormat="1" applyFont="1" applyFill="1" applyBorder="1" applyAlignment="1" applyProtection="1">
      <alignment horizontal="center"/>
      <protection hidden="1"/>
    </xf>
    <xf numFmtId="49" fontId="126" fillId="27" borderId="10" xfId="0" applyNumberFormat="1" applyFont="1" applyFill="1" applyBorder="1" applyAlignment="1" applyProtection="1">
      <alignment horizontal="left" vertical="center"/>
      <protection hidden="1"/>
    </xf>
    <xf numFmtId="2" fontId="126" fillId="27" borderId="10" xfId="35" applyNumberFormat="1" applyFont="1" applyFill="1" applyBorder="1" applyAlignment="1" applyProtection="1">
      <alignment horizontal="center"/>
      <protection hidden="1"/>
    </xf>
    <xf numFmtId="2" fontId="126" fillId="27" borderId="27" xfId="35" applyNumberFormat="1" applyFont="1" applyFill="1" applyBorder="1" applyAlignment="1" applyProtection="1">
      <alignment horizontal="center"/>
      <protection hidden="1"/>
    </xf>
    <xf numFmtId="2" fontId="126" fillId="27" borderId="26" xfId="35" applyNumberFormat="1" applyFont="1" applyFill="1" applyBorder="1" applyAlignment="1" applyProtection="1">
      <alignment horizontal="center" vertical="center"/>
      <protection hidden="1"/>
    </xf>
    <xf numFmtId="0" fontId="33" fillId="27" borderId="10" xfId="0" applyFont="1" applyFill="1" applyBorder="1" applyAlignment="1" applyProtection="1">
      <alignment vertical="center" shrinkToFit="1"/>
      <protection hidden="1"/>
    </xf>
    <xf numFmtId="190" fontId="33" fillId="27" borderId="10" xfId="35" applyNumberFormat="1" applyFont="1" applyFill="1" applyBorder="1" applyAlignment="1" applyProtection="1">
      <alignment horizontal="right"/>
      <protection hidden="1"/>
    </xf>
    <xf numFmtId="191" fontId="33" fillId="27" borderId="10" xfId="35" applyNumberFormat="1" applyFont="1" applyFill="1" applyBorder="1" applyAlignment="1" applyProtection="1">
      <protection hidden="1"/>
    </xf>
    <xf numFmtId="0" fontId="33" fillId="27" borderId="10" xfId="0" applyFont="1" applyFill="1" applyBorder="1" applyAlignment="1" applyProtection="1">
      <alignment horizontal="left" vertical="center"/>
      <protection hidden="1"/>
    </xf>
    <xf numFmtId="0" fontId="33" fillId="27" borderId="10" xfId="0" applyFont="1" applyFill="1" applyBorder="1" applyAlignment="1" applyProtection="1">
      <alignment horizontal="left" vertical="center" shrinkToFit="1"/>
      <protection hidden="1"/>
    </xf>
    <xf numFmtId="197" fontId="33" fillId="27" borderId="10" xfId="35" applyNumberFormat="1" applyFont="1" applyFill="1" applyBorder="1" applyAlignment="1" applyProtection="1">
      <alignment horizontal="center" vertical="center"/>
      <protection hidden="1"/>
    </xf>
    <xf numFmtId="197" fontId="33" fillId="27" borderId="27" xfId="35" applyNumberFormat="1" applyFont="1" applyFill="1" applyBorder="1" applyAlignment="1" applyProtection="1">
      <alignment horizontal="center" vertical="center"/>
      <protection hidden="1"/>
    </xf>
    <xf numFmtId="49" fontId="33" fillId="27" borderId="10" xfId="0" applyNumberFormat="1" applyFont="1" applyFill="1" applyBorder="1" applyAlignment="1" applyProtection="1">
      <alignment horizontal="left" vertical="center"/>
      <protection hidden="1"/>
    </xf>
    <xf numFmtId="197" fontId="33" fillId="45" borderId="10" xfId="35" applyNumberFormat="1" applyFont="1" applyFill="1" applyBorder="1" applyAlignment="1" applyProtection="1">
      <alignment horizontal="center" vertical="center"/>
      <protection hidden="1"/>
    </xf>
    <xf numFmtId="2" fontId="33" fillId="27" borderId="10" xfId="35" applyNumberFormat="1" applyFont="1" applyFill="1" applyBorder="1" applyAlignment="1" applyProtection="1">
      <alignment horizontal="center" vertical="center"/>
      <protection hidden="1"/>
    </xf>
    <xf numFmtId="2" fontId="33" fillId="27" borderId="27" xfId="35" applyNumberFormat="1" applyFont="1" applyFill="1" applyBorder="1" applyAlignment="1" applyProtection="1">
      <alignment horizontal="center" vertical="center"/>
      <protection hidden="1"/>
    </xf>
    <xf numFmtId="178" fontId="33" fillId="27" borderId="26" xfId="0" applyNumberFormat="1" applyFont="1" applyFill="1" applyBorder="1" applyAlignment="1" applyProtection="1">
      <alignment horizontal="center" vertical="center"/>
      <protection hidden="1"/>
    </xf>
    <xf numFmtId="2" fontId="33" fillId="45" borderId="10" xfId="35" applyNumberFormat="1" applyFont="1" applyFill="1" applyBorder="1" applyAlignment="1" applyProtection="1">
      <alignment horizontal="center" vertical="center"/>
      <protection hidden="1"/>
    </xf>
    <xf numFmtId="197" fontId="33" fillId="27" borderId="26" xfId="35" applyNumberFormat="1" applyFont="1" applyFill="1" applyBorder="1" applyAlignment="1" applyProtection="1">
      <alignment horizontal="center" vertical="center"/>
      <protection hidden="1"/>
    </xf>
    <xf numFmtId="197" fontId="33" fillId="42" borderId="10" xfId="35" applyNumberFormat="1" applyFont="1" applyFill="1" applyBorder="1" applyAlignment="1" applyProtection="1">
      <alignment horizontal="center" vertical="center"/>
      <protection hidden="1"/>
    </xf>
    <xf numFmtId="2" fontId="33" fillId="46" borderId="10" xfId="35" applyNumberFormat="1" applyFont="1" applyFill="1" applyBorder="1" applyAlignment="1" applyProtection="1">
      <alignment horizontal="center" vertical="center"/>
      <protection hidden="1"/>
    </xf>
    <xf numFmtId="2" fontId="33" fillId="27" borderId="26" xfId="35" applyNumberFormat="1" applyFont="1" applyFill="1" applyBorder="1" applyAlignment="1" applyProtection="1">
      <alignment horizontal="center" vertical="center"/>
      <protection hidden="1"/>
    </xf>
    <xf numFmtId="197" fontId="126" fillId="27" borderId="26" xfId="0" applyNumberFormat="1" applyFont="1" applyFill="1" applyBorder="1" applyAlignment="1" applyProtection="1">
      <alignment horizontal="center" vertical="center"/>
      <protection hidden="1"/>
    </xf>
    <xf numFmtId="178" fontId="126" fillId="27" borderId="26" xfId="0" applyNumberFormat="1" applyFont="1" applyFill="1" applyBorder="1" applyAlignment="1" applyProtection="1">
      <alignment horizontal="center" vertical="center"/>
      <protection hidden="1"/>
    </xf>
    <xf numFmtId="197" fontId="33" fillId="27" borderId="26" xfId="0" applyNumberFormat="1" applyFont="1" applyFill="1" applyBorder="1" applyAlignment="1" applyProtection="1">
      <alignment horizontal="center" vertical="center"/>
      <protection hidden="1"/>
    </xf>
    <xf numFmtId="197" fontId="33" fillId="27" borderId="10" xfId="0" applyNumberFormat="1" applyFont="1" applyFill="1" applyBorder="1" applyAlignment="1" applyProtection="1">
      <alignment horizontal="center"/>
      <protection hidden="1"/>
    </xf>
    <xf numFmtId="197" fontId="33" fillId="42" borderId="26" xfId="0" applyNumberFormat="1" applyFont="1" applyFill="1" applyBorder="1" applyAlignment="1" applyProtection="1">
      <alignment horizontal="center" vertical="center"/>
      <protection hidden="1"/>
    </xf>
    <xf numFmtId="2" fontId="33" fillId="27" borderId="10" xfId="0" applyNumberFormat="1" applyFont="1" applyFill="1" applyBorder="1" applyAlignment="1" applyProtection="1">
      <alignment horizontal="center"/>
      <protection hidden="1"/>
    </xf>
    <xf numFmtId="2" fontId="33" fillId="25" borderId="10" xfId="35" applyNumberFormat="1" applyFont="1" applyFill="1" applyBorder="1" applyAlignment="1" applyProtection="1">
      <alignment horizontal="center" vertical="center"/>
      <protection hidden="1"/>
    </xf>
    <xf numFmtId="0" fontId="33" fillId="42" borderId="10" xfId="0" applyFont="1" applyFill="1" applyBorder="1" applyAlignment="1" applyProtection="1">
      <alignment vertical="center" shrinkToFit="1"/>
      <protection hidden="1"/>
    </xf>
    <xf numFmtId="190" fontId="33" fillId="42" borderId="10" xfId="0" applyNumberFormat="1" applyFont="1" applyFill="1" applyBorder="1" applyProtection="1">
      <alignment vertical="center"/>
      <protection hidden="1"/>
    </xf>
    <xf numFmtId="191" fontId="33" fillId="42" borderId="10" xfId="35" applyNumberFormat="1" applyFont="1" applyFill="1" applyBorder="1" applyAlignment="1" applyProtection="1">
      <protection hidden="1"/>
    </xf>
    <xf numFmtId="0" fontId="33" fillId="42" borderId="10" xfId="0" applyFont="1" applyFill="1" applyBorder="1" applyAlignment="1" applyProtection="1">
      <alignment horizontal="left" vertical="center"/>
      <protection hidden="1"/>
    </xf>
    <xf numFmtId="0" fontId="33" fillId="42" borderId="10" xfId="0" applyFont="1" applyFill="1" applyBorder="1" applyAlignment="1" applyProtection="1">
      <alignment horizontal="left" vertical="center" shrinkToFit="1"/>
      <protection hidden="1"/>
    </xf>
    <xf numFmtId="197" fontId="33" fillId="42" borderId="26" xfId="35" applyNumberFormat="1" applyFont="1" applyFill="1" applyBorder="1" applyAlignment="1" applyProtection="1">
      <alignment horizontal="center" vertical="center"/>
      <protection hidden="1"/>
    </xf>
    <xf numFmtId="197" fontId="33" fillId="42" borderId="27" xfId="35" applyNumberFormat="1" applyFont="1" applyFill="1" applyBorder="1" applyAlignment="1" applyProtection="1">
      <alignment horizontal="center" vertical="center"/>
      <protection hidden="1"/>
    </xf>
    <xf numFmtId="49" fontId="33" fillId="42" borderId="10" xfId="0" applyNumberFormat="1" applyFont="1" applyFill="1" applyBorder="1" applyAlignment="1" applyProtection="1">
      <alignment horizontal="left" vertical="center"/>
      <protection hidden="1"/>
    </xf>
    <xf numFmtId="2" fontId="33" fillId="42" borderId="10" xfId="35" applyNumberFormat="1" applyFont="1" applyFill="1" applyBorder="1" applyAlignment="1" applyProtection="1">
      <alignment horizontal="center" vertical="center"/>
      <protection hidden="1"/>
    </xf>
    <xf numFmtId="2" fontId="33" fillId="42" borderId="26" xfId="35" applyNumberFormat="1" applyFont="1" applyFill="1" applyBorder="1" applyAlignment="1" applyProtection="1">
      <alignment horizontal="center" vertical="center"/>
      <protection hidden="1"/>
    </xf>
    <xf numFmtId="2" fontId="33" fillId="42" borderId="27" xfId="35" applyNumberFormat="1" applyFont="1" applyFill="1" applyBorder="1" applyAlignment="1" applyProtection="1">
      <alignment horizontal="center" vertical="center"/>
      <protection hidden="1"/>
    </xf>
    <xf numFmtId="178" fontId="33" fillId="42" borderId="10" xfId="35" applyNumberFormat="1" applyFont="1" applyFill="1" applyBorder="1" applyAlignment="1" applyProtection="1">
      <alignment horizontal="center" vertical="center"/>
      <protection hidden="1"/>
    </xf>
    <xf numFmtId="178" fontId="33" fillId="42" borderId="26" xfId="35" applyNumberFormat="1" applyFont="1" applyFill="1" applyBorder="1" applyAlignment="1" applyProtection="1">
      <alignment horizontal="center" vertical="center"/>
      <protection hidden="1"/>
    </xf>
    <xf numFmtId="178" fontId="33" fillId="42" borderId="27" xfId="35" applyNumberFormat="1" applyFont="1" applyFill="1" applyBorder="1" applyAlignment="1" applyProtection="1">
      <alignment horizontal="center" vertical="center"/>
      <protection hidden="1"/>
    </xf>
    <xf numFmtId="178" fontId="126" fillId="27" borderId="10" xfId="35" applyNumberFormat="1" applyFont="1" applyFill="1" applyBorder="1" applyAlignment="1" applyProtection="1">
      <alignment horizontal="center"/>
      <protection hidden="1"/>
    </xf>
    <xf numFmtId="178" fontId="126" fillId="27" borderId="27" xfId="35" applyNumberFormat="1" applyFont="1" applyFill="1" applyBorder="1" applyAlignment="1" applyProtection="1">
      <alignment horizontal="center"/>
      <protection hidden="1"/>
    </xf>
    <xf numFmtId="178" fontId="33" fillId="27" borderId="10" xfId="35" applyNumberFormat="1" applyFont="1" applyFill="1" applyBorder="1" applyAlignment="1" applyProtection="1">
      <alignment horizontal="center" vertical="center"/>
      <protection hidden="1"/>
    </xf>
    <xf numFmtId="178" fontId="33" fillId="27" borderId="26" xfId="35" applyNumberFormat="1" applyFont="1" applyFill="1" applyBorder="1" applyAlignment="1" applyProtection="1">
      <alignment horizontal="center" vertical="center"/>
      <protection hidden="1"/>
    </xf>
    <xf numFmtId="178" fontId="33" fillId="27" borderId="27" xfId="35" applyNumberFormat="1" applyFont="1" applyFill="1" applyBorder="1" applyAlignment="1" applyProtection="1">
      <alignment horizontal="center" vertical="center"/>
      <protection hidden="1"/>
    </xf>
    <xf numFmtId="178" fontId="157" fillId="27" borderId="10" xfId="35" applyNumberFormat="1" applyFont="1" applyFill="1" applyBorder="1" applyAlignment="1" applyProtection="1">
      <alignment horizontal="center" vertical="center"/>
      <protection hidden="1"/>
    </xf>
    <xf numFmtId="178" fontId="157" fillId="42" borderId="10" xfId="35" applyNumberFormat="1" applyFont="1" applyFill="1" applyBorder="1" applyAlignment="1" applyProtection="1">
      <alignment horizontal="center" vertical="center"/>
      <protection hidden="1"/>
    </xf>
    <xf numFmtId="197" fontId="126" fillId="27" borderId="10" xfId="35" applyNumberFormat="1" applyFont="1" applyFill="1" applyBorder="1" applyAlignment="1" applyProtection="1">
      <alignment horizontal="center" vertical="center"/>
      <protection hidden="1"/>
    </xf>
    <xf numFmtId="197" fontId="126" fillId="27" borderId="27" xfId="35" applyNumberFormat="1" applyFont="1" applyFill="1" applyBorder="1" applyAlignment="1" applyProtection="1">
      <alignment horizontal="center" vertical="center"/>
      <protection hidden="1"/>
    </xf>
    <xf numFmtId="2" fontId="126" fillId="27" borderId="10" xfId="35" applyNumberFormat="1" applyFont="1" applyFill="1" applyBorder="1" applyAlignment="1" applyProtection="1">
      <alignment horizontal="center" vertical="center"/>
      <protection hidden="1"/>
    </xf>
    <xf numFmtId="2" fontId="126" fillId="27" borderId="27" xfId="35" applyNumberFormat="1" applyFont="1" applyFill="1" applyBorder="1" applyAlignment="1" applyProtection="1">
      <alignment horizontal="center" vertical="center"/>
      <protection hidden="1"/>
    </xf>
    <xf numFmtId="179" fontId="126" fillId="27" borderId="26" xfId="0" applyNumberFormat="1" applyFont="1" applyFill="1" applyBorder="1" applyAlignment="1" applyProtection="1">
      <alignment horizontal="center" vertical="center"/>
      <protection hidden="1"/>
    </xf>
    <xf numFmtId="0" fontId="6" fillId="26" borderId="0" xfId="0" applyFont="1" applyFill="1">
      <alignment vertical="center"/>
    </xf>
    <xf numFmtId="179" fontId="33" fillId="27" borderId="26" xfId="0" applyNumberFormat="1" applyFont="1" applyFill="1" applyBorder="1" applyAlignment="1" applyProtection="1">
      <alignment horizontal="center" vertical="center"/>
      <protection hidden="1"/>
    </xf>
    <xf numFmtId="197" fontId="126" fillId="27" borderId="26" xfId="35" applyNumberFormat="1" applyFont="1" applyFill="1" applyBorder="1" applyAlignment="1" applyProtection="1">
      <alignment horizontal="center"/>
      <protection hidden="1"/>
    </xf>
    <xf numFmtId="2" fontId="126" fillId="27" borderId="26" xfId="35" applyNumberFormat="1" applyFont="1" applyFill="1" applyBorder="1" applyAlignment="1" applyProtection="1">
      <alignment horizontal="center"/>
      <protection hidden="1"/>
    </xf>
    <xf numFmtId="0" fontId="33" fillId="27" borderId="53" xfId="0" applyFont="1" applyFill="1" applyBorder="1" applyAlignment="1" applyProtection="1">
      <alignment vertical="center" shrinkToFit="1"/>
      <protection hidden="1"/>
    </xf>
    <xf numFmtId="0" fontId="33" fillId="42" borderId="53" xfId="0" applyFont="1" applyFill="1" applyBorder="1" applyAlignment="1" applyProtection="1">
      <alignment horizontal="left" vertical="center"/>
      <protection hidden="1"/>
    </xf>
    <xf numFmtId="191" fontId="126" fillId="27" borderId="10" xfId="0" applyNumberFormat="1" applyFont="1" applyFill="1" applyBorder="1">
      <alignment vertical="center"/>
    </xf>
    <xf numFmtId="2" fontId="33" fillId="27" borderId="10" xfId="0" applyNumberFormat="1" applyFont="1" applyFill="1" applyBorder="1" applyAlignment="1" applyProtection="1">
      <alignment horizontal="left" vertical="center" shrinkToFit="1"/>
      <protection hidden="1"/>
    </xf>
    <xf numFmtId="197" fontId="33" fillId="27" borderId="10" xfId="35" applyNumberFormat="1" applyFont="1" applyFill="1" applyBorder="1" applyAlignment="1" applyProtection="1">
      <alignment horizontal="center"/>
      <protection hidden="1"/>
    </xf>
    <xf numFmtId="197" fontId="33" fillId="27" borderId="27" xfId="35" applyNumberFormat="1" applyFont="1" applyFill="1" applyBorder="1" applyAlignment="1" applyProtection="1">
      <alignment horizontal="center"/>
      <protection hidden="1"/>
    </xf>
    <xf numFmtId="2" fontId="33" fillId="27" borderId="10" xfId="35" applyNumberFormat="1" applyFont="1" applyFill="1" applyBorder="1" applyAlignment="1" applyProtection="1">
      <alignment horizontal="center"/>
      <protection hidden="1"/>
    </xf>
    <xf numFmtId="2" fontId="33" fillId="27" borderId="27" xfId="35" applyNumberFormat="1" applyFont="1" applyFill="1" applyBorder="1" applyAlignment="1" applyProtection="1">
      <alignment horizontal="center"/>
      <protection hidden="1"/>
    </xf>
    <xf numFmtId="0" fontId="23" fillId="31" borderId="10" xfId="0" applyFont="1" applyFill="1" applyBorder="1" applyAlignment="1" applyProtection="1">
      <alignment horizontal="center" vertical="center"/>
      <protection hidden="1"/>
    </xf>
    <xf numFmtId="0" fontId="23" fillId="35" borderId="10" xfId="0" applyFont="1" applyFill="1" applyBorder="1" applyAlignment="1" applyProtection="1">
      <alignment horizontal="center" vertical="center" shrinkToFit="1"/>
      <protection hidden="1"/>
    </xf>
    <xf numFmtId="197" fontId="126" fillId="35" borderId="10" xfId="35" applyNumberFormat="1" applyFont="1" applyFill="1" applyBorder="1" applyAlignment="1" applyProtection="1">
      <alignment horizontal="center" vertical="top"/>
      <protection hidden="1"/>
    </xf>
    <xf numFmtId="197" fontId="126" fillId="35" borderId="26" xfId="35" applyNumberFormat="1" applyFont="1" applyFill="1" applyBorder="1" applyAlignment="1" applyProtection="1">
      <alignment horizontal="center" vertical="top"/>
      <protection hidden="1"/>
    </xf>
    <xf numFmtId="197" fontId="126" fillId="35" borderId="27" xfId="0" applyNumberFormat="1" applyFont="1" applyFill="1" applyBorder="1" applyAlignment="1" applyProtection="1">
      <alignment horizontal="center" vertical="top"/>
      <protection hidden="1"/>
    </xf>
    <xf numFmtId="197" fontId="126" fillId="35" borderId="10" xfId="0" applyNumberFormat="1" applyFont="1" applyFill="1" applyBorder="1" applyAlignment="1" applyProtection="1">
      <alignment horizontal="center" vertical="top"/>
      <protection hidden="1"/>
    </xf>
    <xf numFmtId="190" fontId="126" fillId="31" borderId="10" xfId="35" applyNumberFormat="1" applyFont="1" applyFill="1" applyBorder="1" applyAlignment="1" applyProtection="1">
      <alignment horizontal="right" vertical="center"/>
      <protection hidden="1"/>
    </xf>
    <xf numFmtId="0" fontId="126" fillId="27" borderId="10" xfId="0" quotePrefix="1" applyFont="1" applyFill="1" applyBorder="1" applyAlignment="1" applyProtection="1">
      <alignment horizontal="left" vertical="center"/>
      <protection hidden="1"/>
    </xf>
    <xf numFmtId="191" fontId="33" fillId="27" borderId="10" xfId="0" applyNumberFormat="1" applyFont="1" applyFill="1" applyBorder="1">
      <alignment vertical="center"/>
    </xf>
    <xf numFmtId="0" fontId="33" fillId="27" borderId="10" xfId="0" quotePrefix="1" applyFont="1" applyFill="1" applyBorder="1" applyAlignment="1" applyProtection="1">
      <alignment horizontal="left" vertical="center"/>
      <protection hidden="1"/>
    </xf>
    <xf numFmtId="49" fontId="33" fillId="27" borderId="10" xfId="0" quotePrefix="1" applyNumberFormat="1" applyFont="1" applyFill="1" applyBorder="1" applyAlignment="1" applyProtection="1">
      <alignment horizontal="left" vertical="center"/>
      <protection hidden="1"/>
    </xf>
    <xf numFmtId="0" fontId="126" fillId="31" borderId="10" xfId="0" applyFont="1" applyFill="1" applyBorder="1" applyProtection="1">
      <alignment vertical="center"/>
      <protection hidden="1"/>
    </xf>
    <xf numFmtId="197" fontId="126" fillId="31" borderId="26" xfId="35" applyNumberFormat="1" applyFont="1" applyFill="1" applyBorder="1" applyAlignment="1" applyProtection="1">
      <alignment horizontal="center" vertical="center"/>
      <protection hidden="1"/>
    </xf>
    <xf numFmtId="197" fontId="126" fillId="31" borderId="27" xfId="0" applyNumberFormat="1" applyFont="1" applyFill="1" applyBorder="1" applyAlignment="1" applyProtection="1">
      <alignment horizontal="center"/>
      <protection hidden="1"/>
    </xf>
    <xf numFmtId="197" fontId="126" fillId="31" borderId="10" xfId="0" applyNumberFormat="1" applyFont="1" applyFill="1" applyBorder="1" applyAlignment="1" applyProtection="1">
      <alignment horizontal="center"/>
      <protection hidden="1"/>
    </xf>
    <xf numFmtId="49" fontId="126" fillId="31" borderId="10" xfId="0" applyNumberFormat="1" applyFont="1" applyFill="1" applyBorder="1" applyProtection="1">
      <alignment vertical="center"/>
      <protection hidden="1"/>
    </xf>
    <xf numFmtId="2" fontId="126" fillId="31" borderId="26" xfId="35" applyNumberFormat="1" applyFont="1" applyFill="1" applyBorder="1" applyAlignment="1" applyProtection="1">
      <alignment horizontal="center" vertical="center"/>
      <protection hidden="1"/>
    </xf>
    <xf numFmtId="2" fontId="126" fillId="31" borderId="27" xfId="0" applyNumberFormat="1" applyFont="1" applyFill="1" applyBorder="1" applyAlignment="1" applyProtection="1">
      <alignment horizontal="center"/>
      <protection hidden="1"/>
    </xf>
    <xf numFmtId="2" fontId="126" fillId="31" borderId="10" xfId="0" applyNumberFormat="1" applyFont="1" applyFill="1" applyBorder="1" applyAlignment="1" applyProtection="1">
      <alignment horizontal="center"/>
      <protection hidden="1"/>
    </xf>
    <xf numFmtId="197" fontId="126" fillId="27" borderId="27" xfId="0" applyNumberFormat="1" applyFont="1" applyFill="1" applyBorder="1" applyAlignment="1" applyProtection="1">
      <alignment horizontal="center"/>
      <protection hidden="1"/>
    </xf>
    <xf numFmtId="197" fontId="126" fillId="27" borderId="10" xfId="0" applyNumberFormat="1" applyFont="1" applyFill="1" applyBorder="1" applyAlignment="1" applyProtection="1">
      <alignment horizontal="center"/>
      <protection hidden="1"/>
    </xf>
    <xf numFmtId="2" fontId="126" fillId="27" borderId="27" xfId="0" applyNumberFormat="1" applyFont="1" applyFill="1" applyBorder="1" applyAlignment="1" applyProtection="1">
      <alignment horizontal="center"/>
      <protection hidden="1"/>
    </xf>
    <xf numFmtId="2" fontId="126" fillId="27" borderId="10" xfId="0" applyNumberFormat="1" applyFont="1" applyFill="1" applyBorder="1" applyAlignment="1" applyProtection="1">
      <alignment horizontal="center"/>
      <protection hidden="1"/>
    </xf>
    <xf numFmtId="197" fontId="33" fillId="27" borderId="27" xfId="0" applyNumberFormat="1" applyFont="1" applyFill="1" applyBorder="1" applyAlignment="1" applyProtection="1">
      <alignment horizontal="center"/>
      <protection hidden="1"/>
    </xf>
    <xf numFmtId="2" fontId="33" fillId="27" borderId="27" xfId="0" applyNumberFormat="1" applyFont="1" applyFill="1" applyBorder="1" applyAlignment="1" applyProtection="1">
      <alignment horizontal="center"/>
      <protection hidden="1"/>
    </xf>
    <xf numFmtId="210" fontId="126" fillId="27" borderId="27" xfId="0" applyNumberFormat="1" applyFont="1" applyFill="1" applyBorder="1" applyAlignment="1" applyProtection="1">
      <alignment horizontal="center"/>
      <protection hidden="1"/>
    </xf>
    <xf numFmtId="49" fontId="126" fillId="27" borderId="10" xfId="0" applyNumberFormat="1" applyFont="1" applyFill="1" applyBorder="1" applyProtection="1">
      <alignment vertical="center"/>
      <protection hidden="1"/>
    </xf>
    <xf numFmtId="49" fontId="33" fillId="27" borderId="10" xfId="0" applyNumberFormat="1" applyFont="1" applyFill="1" applyBorder="1" applyProtection="1">
      <alignment vertical="center"/>
      <protection hidden="1"/>
    </xf>
    <xf numFmtId="0" fontId="33" fillId="27" borderId="10" xfId="0" applyFont="1" applyFill="1" applyBorder="1" applyProtection="1">
      <alignment vertical="center"/>
      <protection hidden="1"/>
    </xf>
    <xf numFmtId="0" fontId="33" fillId="27" borderId="50" xfId="0" applyFont="1" applyFill="1" applyBorder="1" applyAlignment="1" applyProtection="1">
      <alignment horizontal="left" vertical="center" shrinkToFit="1"/>
      <protection hidden="1"/>
    </xf>
    <xf numFmtId="0" fontId="0" fillId="0" borderId="0" xfId="0" applyProtection="1">
      <alignment vertical="center"/>
      <protection hidden="1"/>
    </xf>
    <xf numFmtId="0" fontId="148" fillId="0" borderId="0" xfId="46" applyFont="1" applyProtection="1">
      <protection hidden="1"/>
    </xf>
    <xf numFmtId="0" fontId="166" fillId="0" borderId="0" xfId="0" applyFont="1">
      <alignment vertical="center"/>
    </xf>
    <xf numFmtId="0" fontId="166" fillId="0" borderId="0" xfId="0" applyFont="1" applyAlignment="1">
      <alignment horizontal="left" vertical="center" wrapText="1"/>
    </xf>
    <xf numFmtId="0" fontId="166" fillId="0" borderId="0" xfId="0" applyFont="1" applyProtection="1">
      <alignment vertical="center"/>
      <protection hidden="1"/>
    </xf>
    <xf numFmtId="0" fontId="166" fillId="27" borderId="16" xfId="0" applyFont="1" applyFill="1" applyBorder="1" applyAlignment="1" applyProtection="1">
      <alignment horizontal="center" vertical="center" wrapText="1"/>
      <protection hidden="1"/>
    </xf>
    <xf numFmtId="0" fontId="166" fillId="27" borderId="13" xfId="0" applyFont="1" applyFill="1" applyBorder="1" applyAlignment="1" applyProtection="1">
      <alignment horizontal="left" vertical="top" wrapText="1"/>
      <protection hidden="1"/>
    </xf>
    <xf numFmtId="0" fontId="166" fillId="27" borderId="13" xfId="0" applyFont="1" applyFill="1" applyBorder="1" applyAlignment="1" applyProtection="1">
      <alignment horizontal="left" vertical="center" wrapText="1"/>
      <protection hidden="1"/>
    </xf>
    <xf numFmtId="0" fontId="166" fillId="27" borderId="177" xfId="0" applyFont="1" applyFill="1" applyBorder="1" applyAlignment="1" applyProtection="1">
      <alignment horizontal="center" vertical="center" wrapText="1"/>
      <protection hidden="1"/>
    </xf>
    <xf numFmtId="0" fontId="166" fillId="27" borderId="11" xfId="0" applyFont="1" applyFill="1" applyBorder="1" applyAlignment="1" applyProtection="1">
      <alignment horizontal="center" vertical="center" wrapText="1"/>
      <protection hidden="1"/>
    </xf>
    <xf numFmtId="0" fontId="166" fillId="27" borderId="167" xfId="0" applyFont="1" applyFill="1" applyBorder="1" applyAlignment="1" applyProtection="1">
      <alignment horizontal="center" vertical="center" wrapText="1"/>
      <protection hidden="1"/>
    </xf>
    <xf numFmtId="0" fontId="166" fillId="27" borderId="171" xfId="0" applyFont="1" applyFill="1" applyBorder="1" applyAlignment="1" applyProtection="1">
      <alignment horizontal="left" vertical="top" wrapText="1"/>
      <protection hidden="1"/>
    </xf>
    <xf numFmtId="0" fontId="166" fillId="27" borderId="171" xfId="0" applyFont="1" applyFill="1" applyBorder="1" applyAlignment="1" applyProtection="1">
      <alignment horizontal="left" vertical="center" wrapText="1"/>
      <protection hidden="1"/>
    </xf>
    <xf numFmtId="0" fontId="166" fillId="0" borderId="0" xfId="0" applyFont="1" applyAlignment="1">
      <alignment vertical="top"/>
    </xf>
    <xf numFmtId="0" fontId="166" fillId="27" borderId="50" xfId="0" applyFont="1" applyFill="1" applyBorder="1">
      <alignment vertical="center"/>
    </xf>
    <xf numFmtId="0" fontId="166" fillId="27" borderId="165" xfId="0" applyFont="1" applyFill="1" applyBorder="1">
      <alignment vertical="center"/>
    </xf>
    <xf numFmtId="0" fontId="166" fillId="27" borderId="87" xfId="0" applyFont="1" applyFill="1" applyBorder="1">
      <alignment vertical="center"/>
    </xf>
    <xf numFmtId="0" fontId="166" fillId="27" borderId="165" xfId="0" applyFont="1" applyFill="1" applyBorder="1" applyAlignment="1">
      <alignment vertical="top"/>
    </xf>
    <xf numFmtId="0" fontId="166" fillId="27" borderId="166" xfId="0" applyFont="1" applyFill="1" applyBorder="1">
      <alignment vertical="center"/>
    </xf>
    <xf numFmtId="0" fontId="166" fillId="27" borderId="13" xfId="0" applyFont="1" applyFill="1" applyBorder="1">
      <alignment vertical="center"/>
    </xf>
    <xf numFmtId="0" fontId="166" fillId="27" borderId="13" xfId="0" applyFont="1" applyFill="1" applyBorder="1" applyAlignment="1">
      <alignment vertical="top"/>
    </xf>
    <xf numFmtId="0" fontId="166" fillId="27" borderId="14" xfId="0" applyFont="1" applyFill="1" applyBorder="1">
      <alignment vertical="center"/>
    </xf>
    <xf numFmtId="0" fontId="166" fillId="27" borderId="171" xfId="0" applyFont="1" applyFill="1" applyBorder="1">
      <alignment vertical="center"/>
    </xf>
    <xf numFmtId="0" fontId="166" fillId="27" borderId="171" xfId="0" applyFont="1" applyFill="1" applyBorder="1" applyAlignment="1">
      <alignment vertical="top"/>
    </xf>
    <xf numFmtId="0" fontId="166" fillId="27" borderId="170" xfId="0" applyFont="1" applyFill="1" applyBorder="1">
      <alignment vertical="center"/>
    </xf>
    <xf numFmtId="0" fontId="48" fillId="0" borderId="0" xfId="0" applyFont="1" applyAlignment="1" applyProtection="1">
      <alignment horizontal="right" vertical="center"/>
      <protection hidden="1"/>
    </xf>
    <xf numFmtId="0" fontId="166" fillId="27" borderId="13" xfId="0" applyFont="1" applyFill="1" applyBorder="1" applyAlignment="1">
      <alignment horizontal="left" vertical="center"/>
    </xf>
    <xf numFmtId="0" fontId="166" fillId="27" borderId="171" xfId="0" applyFont="1" applyFill="1" applyBorder="1" applyAlignment="1">
      <alignment horizontal="left" vertical="center"/>
    </xf>
    <xf numFmtId="0" fontId="166" fillId="0" borderId="57" xfId="0" applyFont="1" applyBorder="1" applyAlignment="1">
      <alignment horizontal="left" vertical="center" wrapText="1"/>
    </xf>
    <xf numFmtId="177" fontId="28" fillId="0" borderId="0" xfId="0" applyNumberFormat="1" applyFont="1" applyAlignment="1" applyProtection="1">
      <alignment horizontal="justify" vertical="center"/>
      <protection hidden="1"/>
    </xf>
    <xf numFmtId="0" fontId="166" fillId="27" borderId="16" xfId="0" applyFont="1" applyFill="1" applyBorder="1" applyAlignment="1">
      <alignment horizontal="center" vertical="center" wrapText="1"/>
    </xf>
    <xf numFmtId="0" fontId="166" fillId="27" borderId="11" xfId="0" applyFont="1" applyFill="1" applyBorder="1" applyAlignment="1">
      <alignment horizontal="center" vertical="center" wrapText="1"/>
    </xf>
    <xf numFmtId="0" fontId="166" fillId="27" borderId="168" xfId="0" applyFont="1" applyFill="1" applyBorder="1" applyAlignment="1">
      <alignment horizontal="center" vertical="center" wrapText="1"/>
    </xf>
    <xf numFmtId="0" fontId="166" fillId="0" borderId="0" xfId="0" applyFont="1" applyAlignment="1">
      <alignment vertical="center" wrapText="1"/>
    </xf>
    <xf numFmtId="203" fontId="26" fillId="44" borderId="144" xfId="0" applyNumberFormat="1" applyFont="1" applyFill="1" applyBorder="1" applyAlignment="1" applyProtection="1">
      <alignment horizontal="center" vertical="center"/>
      <protection hidden="1"/>
    </xf>
    <xf numFmtId="203" fontId="26" fillId="31" borderId="144" xfId="0" applyNumberFormat="1" applyFont="1" applyFill="1" applyBorder="1" applyAlignment="1" applyProtection="1">
      <alignment horizontal="center" vertical="center"/>
      <protection hidden="1"/>
    </xf>
    <xf numFmtId="0" fontId="126" fillId="27" borderId="50" xfId="0" applyFont="1" applyFill="1" applyBorder="1" applyAlignment="1" applyProtection="1">
      <alignment horizontal="right" vertical="center"/>
      <protection hidden="1"/>
    </xf>
    <xf numFmtId="2" fontId="167" fillId="27" borderId="27" xfId="35" applyNumberFormat="1" applyFont="1" applyFill="1" applyBorder="1" applyAlignment="1" applyProtection="1">
      <alignment horizontal="center" vertical="center"/>
      <protection hidden="1"/>
    </xf>
    <xf numFmtId="2" fontId="167" fillId="27" borderId="10" xfId="35" applyNumberFormat="1" applyFont="1" applyFill="1" applyBorder="1" applyAlignment="1" applyProtection="1">
      <alignment horizontal="center" vertical="center"/>
      <protection hidden="1"/>
    </xf>
    <xf numFmtId="202" fontId="28" fillId="0" borderId="17" xfId="35" applyNumberFormat="1" applyFont="1" applyFill="1" applyBorder="1" applyAlignment="1" applyProtection="1">
      <alignment horizontal="center" vertical="center"/>
      <protection hidden="1"/>
    </xf>
    <xf numFmtId="203" fontId="26" fillId="31" borderId="92" xfId="0" applyNumberFormat="1" applyFont="1" applyFill="1" applyBorder="1" applyAlignment="1" applyProtection="1">
      <alignment horizontal="center" vertical="center"/>
      <protection hidden="1"/>
    </xf>
    <xf numFmtId="0" fontId="28" fillId="27" borderId="55" xfId="0" applyFont="1" applyFill="1" applyBorder="1" applyAlignment="1" applyProtection="1">
      <alignment horizontal="center" vertical="center" wrapText="1"/>
      <protection hidden="1"/>
    </xf>
    <xf numFmtId="0" fontId="28" fillId="27" borderId="53" xfId="0" quotePrefix="1" applyFont="1" applyFill="1" applyBorder="1" applyProtection="1">
      <alignment vertical="center"/>
      <protection hidden="1"/>
    </xf>
    <xf numFmtId="0" fontId="6" fillId="27" borderId="72" xfId="0" applyFont="1" applyFill="1" applyBorder="1" applyAlignment="1"/>
    <xf numFmtId="0" fontId="45" fillId="27" borderId="73" xfId="0" applyFont="1" applyFill="1" applyBorder="1" applyAlignment="1"/>
    <xf numFmtId="0" fontId="33" fillId="27" borderId="73" xfId="0" applyFont="1" applyFill="1" applyBorder="1">
      <alignment vertical="center"/>
    </xf>
    <xf numFmtId="0" fontId="0" fillId="27" borderId="73" xfId="0" applyFill="1" applyBorder="1">
      <alignment vertical="center"/>
    </xf>
    <xf numFmtId="0" fontId="33" fillId="27" borderId="73" xfId="0" applyFont="1" applyFill="1" applyBorder="1" applyAlignment="1">
      <alignment horizontal="right" vertical="center"/>
    </xf>
    <xf numFmtId="0" fontId="6" fillId="27" borderId="73" xfId="0" applyFont="1" applyFill="1" applyBorder="1" applyAlignment="1">
      <alignment horizontal="right"/>
    </xf>
    <xf numFmtId="0" fontId="6" fillId="27" borderId="73" xfId="0" applyFont="1" applyFill="1" applyBorder="1" applyAlignment="1"/>
    <xf numFmtId="0" fontId="33" fillId="27" borderId="73" xfId="0" applyFont="1" applyFill="1" applyBorder="1" applyAlignment="1"/>
    <xf numFmtId="0" fontId="0" fillId="27" borderId="61" xfId="0" applyFill="1" applyBorder="1">
      <alignment vertical="center"/>
    </xf>
    <xf numFmtId="0" fontId="126" fillId="27" borderId="0" xfId="0" applyFont="1" applyFill="1">
      <alignment vertical="center"/>
    </xf>
    <xf numFmtId="38" fontId="33" fillId="41" borderId="144" xfId="35" applyFont="1" applyFill="1" applyBorder="1" applyAlignment="1" applyProtection="1">
      <alignment horizontal="center" vertical="center"/>
      <protection locked="0"/>
    </xf>
    <xf numFmtId="0" fontId="33" fillId="27" borderId="63" xfId="0" applyFont="1" applyFill="1" applyBorder="1" applyAlignment="1">
      <alignment horizontal="right" vertical="center"/>
    </xf>
    <xf numFmtId="0" fontId="33" fillId="27" borderId="62" xfId="0" applyFont="1" applyFill="1" applyBorder="1">
      <alignment vertical="center"/>
    </xf>
    <xf numFmtId="0" fontId="33" fillId="27" borderId="0" xfId="44" applyFont="1" applyFill="1" applyAlignment="1">
      <alignment horizontal="right"/>
    </xf>
    <xf numFmtId="0" fontId="33" fillId="27" borderId="0" xfId="44" applyFont="1" applyFill="1"/>
    <xf numFmtId="0" fontId="33" fillId="27" borderId="62" xfId="44" applyFont="1" applyFill="1" applyBorder="1" applyAlignment="1">
      <alignment vertical="center"/>
    </xf>
    <xf numFmtId="0" fontId="33" fillId="27" borderId="0" xfId="0" applyFont="1" applyFill="1" applyAlignment="1">
      <alignment horizontal="right" vertical="center"/>
    </xf>
    <xf numFmtId="0" fontId="33" fillId="27" borderId="0" xfId="0" applyFont="1" applyFill="1" applyAlignment="1">
      <alignment horizontal="left" vertical="center"/>
    </xf>
    <xf numFmtId="178" fontId="33" fillId="27" borderId="10" xfId="28" applyNumberFormat="1" applyFont="1" applyFill="1" applyBorder="1" applyProtection="1">
      <alignment vertical="center"/>
    </xf>
    <xf numFmtId="40" fontId="33" fillId="27" borderId="10" xfId="0" applyNumberFormat="1" applyFont="1" applyFill="1" applyBorder="1">
      <alignment vertical="center"/>
    </xf>
    <xf numFmtId="178" fontId="33" fillId="27" borderId="0" xfId="0" applyNumberFormat="1" applyFont="1" applyFill="1" applyAlignment="1">
      <alignment horizontal="left" vertical="center"/>
    </xf>
    <xf numFmtId="40" fontId="33" fillId="27" borderId="152" xfId="35" applyNumberFormat="1" applyFont="1" applyFill="1" applyBorder="1" applyAlignment="1" applyProtection="1">
      <alignment horizontal="right" vertical="center"/>
    </xf>
    <xf numFmtId="38" fontId="33" fillId="27" borderId="10" xfId="35" applyFont="1" applyFill="1" applyBorder="1" applyProtection="1">
      <alignment vertical="center"/>
    </xf>
    <xf numFmtId="40" fontId="33" fillId="27" borderId="62" xfId="0" applyNumberFormat="1" applyFont="1" applyFill="1" applyBorder="1">
      <alignment vertical="center"/>
    </xf>
    <xf numFmtId="213" fontId="33" fillId="27" borderId="0" xfId="0" applyNumberFormat="1" applyFont="1" applyFill="1">
      <alignment vertical="center"/>
    </xf>
    <xf numFmtId="40" fontId="33" fillId="27" borderId="0" xfId="0" applyNumberFormat="1" applyFont="1" applyFill="1">
      <alignment vertical="center"/>
    </xf>
    <xf numFmtId="178" fontId="33" fillId="27" borderId="63" xfId="0" applyNumberFormat="1" applyFont="1" applyFill="1" applyBorder="1" applyAlignment="1">
      <alignment horizontal="right" vertical="center"/>
    </xf>
    <xf numFmtId="178" fontId="40" fillId="27" borderId="10" xfId="44" applyNumberFormat="1" applyFont="1" applyFill="1" applyBorder="1" applyAlignment="1">
      <alignment vertical="center"/>
    </xf>
    <xf numFmtId="190" fontId="40" fillId="27" borderId="10" xfId="44" applyNumberFormat="1" applyFont="1" applyFill="1" applyBorder="1" applyAlignment="1">
      <alignment vertical="center"/>
    </xf>
    <xf numFmtId="177" fontId="33" fillId="27" borderId="10" xfId="44" applyNumberFormat="1" applyFont="1" applyFill="1" applyBorder="1" applyAlignment="1">
      <alignment horizontal="center" vertical="center"/>
    </xf>
    <xf numFmtId="190" fontId="33" fillId="27" borderId="10" xfId="28" applyNumberFormat="1" applyFont="1" applyFill="1" applyBorder="1" applyAlignment="1" applyProtection="1">
      <alignment horizontal="center" vertical="center"/>
    </xf>
    <xf numFmtId="0" fontId="40" fillId="27" borderId="0" xfId="44" applyFont="1" applyFill="1" applyAlignment="1">
      <alignment horizontal="left" vertical="center"/>
    </xf>
    <xf numFmtId="0" fontId="28" fillId="27" borderId="182" xfId="0" applyFont="1" applyFill="1" applyBorder="1">
      <alignment vertical="center"/>
    </xf>
    <xf numFmtId="0" fontId="33" fillId="27" borderId="0" xfId="0" applyFont="1" applyFill="1" applyAlignment="1" applyProtection="1">
      <alignment horizontal="center" vertical="center"/>
      <protection hidden="1"/>
    </xf>
    <xf numFmtId="0" fontId="33" fillId="27" borderId="24" xfId="0" applyFont="1" applyFill="1" applyBorder="1" applyAlignment="1" applyProtection="1">
      <alignment horizontal="right" vertical="center"/>
      <protection hidden="1"/>
    </xf>
    <xf numFmtId="178" fontId="33" fillId="27" borderId="28" xfId="0" applyNumberFormat="1" applyFont="1" applyFill="1" applyBorder="1" applyProtection="1">
      <alignment vertical="center"/>
      <protection hidden="1"/>
    </xf>
    <xf numFmtId="0" fontId="6" fillId="27" borderId="0" xfId="45" applyFill="1" applyAlignment="1" applyProtection="1">
      <alignment vertical="center"/>
      <protection locked="0"/>
    </xf>
    <xf numFmtId="181" fontId="28" fillId="27" borderId="164" xfId="0" applyNumberFormat="1" applyFont="1" applyFill="1" applyBorder="1" applyProtection="1">
      <alignment vertical="center"/>
      <protection hidden="1"/>
    </xf>
    <xf numFmtId="181" fontId="28" fillId="27" borderId="14" xfId="0" applyNumberFormat="1" applyFont="1" applyFill="1" applyBorder="1" applyProtection="1">
      <alignment vertical="center"/>
      <protection hidden="1"/>
    </xf>
    <xf numFmtId="179" fontId="28" fillId="31" borderId="53" xfId="0" applyNumberFormat="1" applyFont="1" applyFill="1" applyBorder="1" applyAlignment="1" applyProtection="1">
      <alignment horizontal="left" vertical="center"/>
      <protection hidden="1"/>
    </xf>
    <xf numFmtId="194" fontId="26" fillId="27" borderId="188" xfId="0" applyNumberFormat="1" applyFont="1" applyFill="1" applyBorder="1" applyAlignment="1" applyProtection="1">
      <alignment horizontal="center" vertical="center"/>
      <protection locked="0" hidden="1"/>
    </xf>
    <xf numFmtId="194" fontId="26" fillId="27" borderId="115" xfId="0" applyNumberFormat="1" applyFont="1" applyFill="1" applyBorder="1" applyAlignment="1" applyProtection="1">
      <alignment horizontal="center" vertical="center"/>
      <protection locked="0" hidden="1"/>
    </xf>
    <xf numFmtId="0" fontId="26" fillId="27" borderId="26" xfId="0" applyFont="1" applyFill="1" applyBorder="1" applyAlignment="1" applyProtection="1">
      <alignment horizontal="centerContinuous" vertical="center"/>
      <protection hidden="1"/>
    </xf>
    <xf numFmtId="0" fontId="28" fillId="27" borderId="55" xfId="0" applyFont="1" applyFill="1" applyBorder="1" applyAlignment="1" applyProtection="1">
      <alignment horizontal="centerContinuous" vertical="center"/>
      <protection hidden="1"/>
    </xf>
    <xf numFmtId="0" fontId="28" fillId="27" borderId="202" xfId="0" applyFont="1" applyFill="1" applyBorder="1" applyAlignment="1" applyProtection="1">
      <alignment horizontal="left" vertical="center"/>
      <protection hidden="1"/>
    </xf>
    <xf numFmtId="180" fontId="28" fillId="31" borderId="26" xfId="0" applyNumberFormat="1" applyFont="1" applyFill="1" applyBorder="1" applyAlignment="1" applyProtection="1">
      <alignment horizontal="centerContinuous" vertical="center"/>
      <protection hidden="1"/>
    </xf>
    <xf numFmtId="0" fontId="28" fillId="27" borderId="181" xfId="0" applyFont="1" applyFill="1" applyBorder="1">
      <alignment vertical="center"/>
    </xf>
    <xf numFmtId="0" fontId="28" fillId="27" borderId="181" xfId="0" applyFont="1" applyFill="1" applyBorder="1" applyAlignment="1" applyProtection="1">
      <alignment horizontal="left" vertical="center"/>
      <protection hidden="1"/>
    </xf>
    <xf numFmtId="0" fontId="166" fillId="27" borderId="181" xfId="0" applyFont="1" applyFill="1" applyBorder="1">
      <alignment vertical="center"/>
    </xf>
    <xf numFmtId="0" fontId="166" fillId="27" borderId="181" xfId="0" applyFont="1" applyFill="1" applyBorder="1" applyAlignment="1">
      <alignment vertical="top"/>
    </xf>
    <xf numFmtId="0" fontId="166" fillId="27" borderId="182" xfId="0" applyFont="1" applyFill="1" applyBorder="1">
      <alignment vertical="center"/>
    </xf>
    <xf numFmtId="0" fontId="168" fillId="27" borderId="0" xfId="0" applyFont="1" applyFill="1">
      <alignment vertical="center"/>
    </xf>
    <xf numFmtId="177" fontId="28" fillId="27" borderId="165" xfId="0" applyNumberFormat="1" applyFont="1" applyFill="1" applyBorder="1" applyAlignment="1" applyProtection="1">
      <alignment vertical="center" wrapText="1"/>
      <protection hidden="1"/>
    </xf>
    <xf numFmtId="0" fontId="28" fillId="27" borderId="175" xfId="0" applyFont="1" applyFill="1" applyBorder="1" applyAlignment="1" applyProtection="1">
      <alignment horizontal="left" vertical="center"/>
      <protection hidden="1"/>
    </xf>
    <xf numFmtId="193" fontId="28" fillId="31" borderId="27" xfId="0" applyNumberFormat="1" applyFont="1" applyFill="1" applyBorder="1" applyAlignment="1" applyProtection="1">
      <alignment horizontal="center" vertical="center"/>
      <protection hidden="1"/>
    </xf>
    <xf numFmtId="219" fontId="26" fillId="31" borderId="144" xfId="0" applyNumberFormat="1" applyFont="1" applyFill="1" applyBorder="1" applyAlignment="1" applyProtection="1">
      <alignment horizontal="center" vertical="center"/>
      <protection hidden="1"/>
    </xf>
    <xf numFmtId="0" fontId="45" fillId="29" borderId="0" xfId="0" applyFont="1" applyFill="1" applyProtection="1">
      <alignment vertical="center"/>
      <protection hidden="1"/>
    </xf>
    <xf numFmtId="0" fontId="152" fillId="29" borderId="0" xfId="0" applyFont="1" applyFill="1" applyProtection="1">
      <alignment vertical="center"/>
      <protection hidden="1"/>
    </xf>
    <xf numFmtId="0" fontId="153" fillId="29" borderId="0" xfId="0" applyFont="1" applyFill="1" applyProtection="1">
      <alignment vertical="center"/>
      <protection hidden="1"/>
    </xf>
    <xf numFmtId="0" fontId="45" fillId="29" borderId="0" xfId="0" applyFont="1" applyFill="1" applyAlignment="1" applyProtection="1">
      <alignment horizontal="left" vertical="center"/>
      <protection hidden="1"/>
    </xf>
    <xf numFmtId="0" fontId="152" fillId="29" borderId="0" xfId="0" applyFont="1" applyFill="1">
      <alignment vertical="center"/>
    </xf>
    <xf numFmtId="0" fontId="28" fillId="27" borderId="87" xfId="0" applyFont="1" applyFill="1" applyBorder="1" applyAlignment="1" applyProtection="1">
      <alignment horizontal="left" vertical="center"/>
      <protection hidden="1"/>
    </xf>
    <xf numFmtId="0" fontId="28" fillId="27" borderId="196" xfId="0" applyFont="1" applyFill="1" applyBorder="1" applyAlignment="1" applyProtection="1">
      <alignment horizontal="left" vertical="center"/>
      <protection hidden="1"/>
    </xf>
    <xf numFmtId="0" fontId="28" fillId="27" borderId="12" xfId="0" applyFont="1" applyFill="1" applyBorder="1" applyProtection="1">
      <alignment vertical="center"/>
      <protection hidden="1"/>
    </xf>
    <xf numFmtId="0" fontId="6" fillId="27" borderId="13" xfId="0" applyFont="1" applyFill="1" applyBorder="1">
      <alignment vertical="center"/>
    </xf>
    <xf numFmtId="0" fontId="6" fillId="27" borderId="14" xfId="0" applyFont="1" applyFill="1" applyBorder="1">
      <alignment vertical="center"/>
    </xf>
    <xf numFmtId="0" fontId="152" fillId="29" borderId="0" xfId="0" applyFont="1" applyFill="1" applyAlignment="1" applyProtection="1">
      <alignment horizontal="left" vertical="center"/>
      <protection hidden="1"/>
    </xf>
    <xf numFmtId="0" fontId="26" fillId="29" borderId="0" xfId="0" applyFont="1" applyFill="1">
      <alignment vertical="center"/>
    </xf>
    <xf numFmtId="0" fontId="28" fillId="29" borderId="0" xfId="0" applyFont="1" applyFill="1">
      <alignment vertical="center"/>
    </xf>
    <xf numFmtId="0" fontId="37" fillId="29" borderId="0" xfId="0" applyFont="1" applyFill="1" applyAlignment="1" applyProtection="1">
      <alignment horizontal="justify"/>
      <protection hidden="1"/>
    </xf>
    <xf numFmtId="220" fontId="126" fillId="27" borderId="10" xfId="35" applyNumberFormat="1" applyFont="1" applyFill="1" applyBorder="1" applyAlignment="1" applyProtection="1">
      <alignment horizontal="center" vertical="center"/>
      <protection hidden="1"/>
    </xf>
    <xf numFmtId="2" fontId="33" fillId="47" borderId="10" xfId="35" applyNumberFormat="1" applyFont="1" applyFill="1" applyBorder="1" applyAlignment="1" applyProtection="1">
      <alignment horizontal="center" vertical="center"/>
      <protection hidden="1"/>
    </xf>
    <xf numFmtId="177" fontId="28" fillId="27" borderId="169" xfId="0" applyNumberFormat="1" applyFont="1" applyFill="1" applyBorder="1" applyProtection="1">
      <alignment vertical="center"/>
      <protection hidden="1"/>
    </xf>
    <xf numFmtId="0" fontId="28" fillId="31" borderId="89" xfId="0" applyFont="1" applyFill="1" applyBorder="1" applyAlignment="1" applyProtection="1">
      <alignment horizontal="centerContinuous" vertical="center"/>
      <protection hidden="1"/>
    </xf>
    <xf numFmtId="0" fontId="28" fillId="31" borderId="50" xfId="0" applyFont="1" applyFill="1" applyBorder="1" applyAlignment="1" applyProtection="1">
      <alignment horizontal="right" vertical="center"/>
      <protection hidden="1"/>
    </xf>
    <xf numFmtId="178" fontId="33" fillId="27" borderId="10" xfId="44" applyNumberFormat="1" applyFont="1" applyFill="1" applyBorder="1" applyAlignment="1">
      <alignment horizontal="right" vertical="center"/>
    </xf>
    <xf numFmtId="0" fontId="126" fillId="27" borderId="0" xfId="0" applyFont="1" applyFill="1" applyAlignment="1">
      <alignment horizontal="center" vertical="center"/>
    </xf>
    <xf numFmtId="179" fontId="28" fillId="31" borderId="10" xfId="0" applyNumberFormat="1" applyFont="1" applyFill="1" applyBorder="1" applyAlignment="1" applyProtection="1">
      <alignment horizontal="center" vertical="center"/>
      <protection hidden="1"/>
    </xf>
    <xf numFmtId="181" fontId="28" fillId="27" borderId="166" xfId="0" applyNumberFormat="1" applyFont="1" applyFill="1" applyBorder="1" applyProtection="1">
      <alignment vertical="center"/>
      <protection hidden="1"/>
    </xf>
    <xf numFmtId="181" fontId="28" fillId="27" borderId="170" xfId="0" applyNumberFormat="1" applyFont="1" applyFill="1" applyBorder="1" applyProtection="1">
      <alignment vertical="center"/>
      <protection hidden="1"/>
    </xf>
    <xf numFmtId="0" fontId="28" fillId="27" borderId="52" xfId="0" quotePrefix="1" applyFont="1" applyFill="1" applyBorder="1" applyAlignment="1" applyProtection="1">
      <alignment vertical="center" wrapText="1"/>
      <protection hidden="1"/>
    </xf>
    <xf numFmtId="0" fontId="28" fillId="27" borderId="64" xfId="0" quotePrefix="1" applyFont="1" applyFill="1" applyBorder="1" applyAlignment="1" applyProtection="1">
      <alignment vertical="center" wrapText="1"/>
      <protection hidden="1"/>
    </xf>
    <xf numFmtId="0" fontId="28" fillId="27" borderId="56" xfId="0" quotePrefix="1" applyFont="1" applyFill="1" applyBorder="1" applyAlignment="1" applyProtection="1">
      <alignment vertical="center" wrapText="1"/>
      <protection hidden="1"/>
    </xf>
    <xf numFmtId="0" fontId="28" fillId="27" borderId="203" xfId="0" quotePrefix="1" applyFont="1" applyFill="1" applyBorder="1" applyAlignment="1" applyProtection="1">
      <alignment horizontal="left" vertical="center" wrapText="1"/>
      <protection hidden="1"/>
    </xf>
    <xf numFmtId="0" fontId="28" fillId="27" borderId="204" xfId="0" applyFont="1" applyFill="1" applyBorder="1" applyAlignment="1" applyProtection="1">
      <alignment horizontal="left" vertical="center" wrapText="1"/>
      <protection hidden="1"/>
    </xf>
    <xf numFmtId="0" fontId="28" fillId="27" borderId="204" xfId="0" applyFont="1" applyFill="1" applyBorder="1" applyAlignment="1" applyProtection="1">
      <alignment horizontal="left" vertical="center" shrinkToFit="1"/>
      <protection hidden="1"/>
    </xf>
    <xf numFmtId="0" fontId="28" fillId="27" borderId="205" xfId="0" applyFont="1" applyFill="1" applyBorder="1" applyAlignment="1" applyProtection="1">
      <alignment horizontal="left" vertical="center" wrapText="1"/>
      <protection hidden="1"/>
    </xf>
    <xf numFmtId="213" fontId="33" fillId="0" borderId="26" xfId="44" applyNumberFormat="1" applyFont="1" applyBorder="1"/>
    <xf numFmtId="0" fontId="28" fillId="0" borderId="64" xfId="44" applyFont="1" applyBorder="1"/>
    <xf numFmtId="0" fontId="0" fillId="0" borderId="52" xfId="0" applyBorder="1" applyAlignment="1">
      <alignment vertical="top"/>
    </xf>
    <xf numFmtId="0" fontId="0" fillId="0" borderId="57" xfId="0" applyBorder="1" applyAlignment="1">
      <alignment vertical="top"/>
    </xf>
    <xf numFmtId="0" fontId="0" fillId="0" borderId="51" xfId="0" applyBorder="1" applyAlignment="1">
      <alignment vertical="top"/>
    </xf>
    <xf numFmtId="0" fontId="0" fillId="0" borderId="26" xfId="0" applyBorder="1" applyAlignment="1">
      <alignment vertical="top"/>
    </xf>
    <xf numFmtId="0" fontId="0" fillId="0" borderId="55" xfId="0" applyBorder="1" applyAlignment="1">
      <alignment vertical="top"/>
    </xf>
    <xf numFmtId="0" fontId="0" fillId="0" borderId="50" xfId="0" applyBorder="1" applyAlignment="1">
      <alignment vertical="top"/>
    </xf>
    <xf numFmtId="0" fontId="0" fillId="0" borderId="15" xfId="0" applyBorder="1" applyAlignment="1">
      <alignment vertical="top"/>
    </xf>
    <xf numFmtId="0" fontId="0" fillId="0" borderId="56" xfId="0" applyBorder="1" applyAlignment="1">
      <alignment vertical="top"/>
    </xf>
    <xf numFmtId="0" fontId="0" fillId="0" borderId="55" xfId="0" applyBorder="1">
      <alignment vertical="center"/>
    </xf>
    <xf numFmtId="0" fontId="33" fillId="0" borderId="0" xfId="44" applyFont="1" applyAlignment="1">
      <alignment horizontal="right"/>
    </xf>
    <xf numFmtId="0" fontId="166" fillId="0" borderId="53" xfId="0" applyFont="1" applyBorder="1">
      <alignment vertical="center"/>
    </xf>
    <xf numFmtId="0" fontId="166" fillId="0" borderId="54" xfId="0" applyFont="1" applyBorder="1">
      <alignment vertical="center"/>
    </xf>
    <xf numFmtId="0" fontId="166" fillId="0" borderId="17" xfId="0" applyFont="1" applyBorder="1">
      <alignment vertical="center"/>
    </xf>
    <xf numFmtId="0" fontId="166" fillId="0" borderId="57" xfId="0" applyFont="1" applyBorder="1">
      <alignment vertical="center"/>
    </xf>
    <xf numFmtId="0" fontId="166" fillId="0" borderId="58" xfId="0" applyFont="1" applyBorder="1">
      <alignment vertical="center"/>
    </xf>
    <xf numFmtId="0" fontId="0" fillId="0" borderId="64" xfId="0" applyBorder="1" applyAlignment="1">
      <alignment vertical="top"/>
    </xf>
    <xf numFmtId="0" fontId="33" fillId="0" borderId="50" xfId="0" applyFont="1" applyBorder="1" applyAlignment="1" applyProtection="1">
      <alignment horizontal="left" vertical="center"/>
      <protection locked="0"/>
    </xf>
    <xf numFmtId="0" fontId="31" fillId="28" borderId="0" xfId="0" applyFont="1" applyFill="1" applyAlignment="1" applyProtection="1">
      <alignment horizontal="center" vertical="center"/>
      <protection hidden="1"/>
    </xf>
    <xf numFmtId="0" fontId="42" fillId="27" borderId="42" xfId="29" applyFont="1" applyFill="1" applyBorder="1" applyAlignment="1" applyProtection="1">
      <alignment horizontal="left" vertical="center" indent="1"/>
      <protection hidden="1"/>
    </xf>
    <xf numFmtId="0" fontId="33" fillId="27" borderId="50" xfId="0" applyFont="1" applyFill="1" applyBorder="1" applyAlignment="1" applyProtection="1">
      <alignment horizontal="left" vertical="top"/>
      <protection hidden="1"/>
    </xf>
    <xf numFmtId="0" fontId="33" fillId="27" borderId="57" xfId="0" applyFont="1" applyFill="1" applyBorder="1" applyAlignment="1" applyProtection="1">
      <alignment horizontal="left" vertical="top"/>
      <protection hidden="1"/>
    </xf>
    <xf numFmtId="0" fontId="28" fillId="27" borderId="0" xfId="0" applyFont="1" applyFill="1" applyAlignment="1" applyProtection="1">
      <alignment horizontal="right" vertical="center"/>
      <protection hidden="1"/>
    </xf>
    <xf numFmtId="179" fontId="28" fillId="27" borderId="25" xfId="0" applyNumberFormat="1" applyFont="1" applyFill="1" applyBorder="1" applyAlignment="1">
      <alignment horizontal="left" vertical="center"/>
    </xf>
    <xf numFmtId="179" fontId="0" fillId="0" borderId="10" xfId="0" applyNumberFormat="1" applyBorder="1" applyAlignment="1">
      <alignment vertical="top"/>
    </xf>
    <xf numFmtId="0" fontId="33" fillId="0" borderId="52" xfId="0" applyFont="1" applyBorder="1" applyAlignment="1">
      <alignment vertical="top"/>
    </xf>
    <xf numFmtId="0" fontId="33" fillId="0" borderId="53" xfId="0" applyFont="1" applyBorder="1" applyAlignment="1">
      <alignment vertical="top"/>
    </xf>
    <xf numFmtId="0" fontId="33" fillId="0" borderId="54" xfId="0" applyFont="1" applyBorder="1" applyAlignment="1">
      <alignment vertical="top"/>
    </xf>
    <xf numFmtId="0" fontId="33" fillId="0" borderId="10" xfId="0" applyFont="1" applyBorder="1">
      <alignment vertical="center"/>
    </xf>
    <xf numFmtId="0" fontId="33" fillId="0" borderId="26" xfId="0" applyFont="1" applyBorder="1" applyAlignment="1">
      <alignment vertical="top" wrapText="1"/>
    </xf>
    <xf numFmtId="0" fontId="33" fillId="0" borderId="50" xfId="0" applyFont="1" applyBorder="1" applyAlignment="1">
      <alignment vertical="top" wrapText="1"/>
    </xf>
    <xf numFmtId="0" fontId="33" fillId="0" borderId="27" xfId="0" applyFont="1" applyBorder="1" applyAlignment="1">
      <alignment vertical="top" wrapText="1"/>
    </xf>
    <xf numFmtId="0" fontId="33" fillId="0" borderId="26" xfId="0" applyFont="1" applyBorder="1" applyAlignment="1">
      <alignment vertical="top"/>
    </xf>
    <xf numFmtId="0" fontId="33" fillId="0" borderId="50" xfId="0" applyFont="1" applyBorder="1" applyAlignment="1">
      <alignment vertical="top"/>
    </xf>
    <xf numFmtId="0" fontId="33" fillId="0" borderId="27" xfId="0" applyFont="1" applyBorder="1">
      <alignment vertical="center"/>
    </xf>
    <xf numFmtId="0" fontId="33" fillId="0" borderId="51" xfId="0" applyFont="1" applyBorder="1">
      <alignment vertical="center"/>
    </xf>
    <xf numFmtId="0" fontId="33" fillId="0" borderId="64" xfId="0" applyFont="1" applyBorder="1" applyAlignment="1">
      <alignment vertical="top"/>
    </xf>
    <xf numFmtId="0" fontId="33" fillId="0" borderId="0" xfId="0" applyFont="1" applyAlignment="1">
      <alignment vertical="top"/>
    </xf>
    <xf numFmtId="0" fontId="33" fillId="0" borderId="17" xfId="0" applyFont="1" applyBorder="1" applyAlignment="1">
      <alignment vertical="top"/>
    </xf>
    <xf numFmtId="213" fontId="33" fillId="0" borderId="26" xfId="0" applyNumberFormat="1" applyFont="1" applyBorder="1" applyAlignment="1">
      <alignment vertical="top"/>
    </xf>
    <xf numFmtId="213" fontId="33" fillId="0" borderId="50" xfId="0" applyNumberFormat="1" applyFont="1" applyBorder="1" applyAlignment="1">
      <alignment vertical="top"/>
    </xf>
    <xf numFmtId="213" fontId="33" fillId="0" borderId="27" xfId="0" applyNumberFormat="1" applyFont="1" applyBorder="1">
      <alignment vertical="center"/>
    </xf>
    <xf numFmtId="0" fontId="33" fillId="0" borderId="15" xfId="0" applyFont="1" applyBorder="1">
      <alignment vertical="center"/>
    </xf>
    <xf numFmtId="0" fontId="33" fillId="0" borderId="56" xfId="0" applyFont="1" applyBorder="1" applyAlignment="1">
      <alignment vertical="top"/>
    </xf>
    <xf numFmtId="0" fontId="33" fillId="0" borderId="57" xfId="0" applyFont="1" applyBorder="1" applyAlignment="1">
      <alignment vertical="top"/>
    </xf>
    <xf numFmtId="0" fontId="33" fillId="0" borderId="58" xfId="0" applyFont="1" applyBorder="1" applyAlignment="1">
      <alignment vertical="top"/>
    </xf>
    <xf numFmtId="0" fontId="33" fillId="0" borderId="10" xfId="0" applyFont="1" applyBorder="1" applyAlignment="1">
      <alignment vertical="top"/>
    </xf>
    <xf numFmtId="0" fontId="33" fillId="0" borderId="10" xfId="0" applyFont="1" applyBorder="1" applyAlignment="1">
      <alignment vertical="top" wrapText="1"/>
    </xf>
    <xf numFmtId="0" fontId="33" fillId="0" borderId="55" xfId="0" applyFont="1" applyBorder="1" applyAlignment="1">
      <alignment vertical="top"/>
    </xf>
    <xf numFmtId="0" fontId="33" fillId="0" borderId="51" xfId="0" applyFont="1" applyBorder="1" applyAlignment="1">
      <alignment vertical="top"/>
    </xf>
    <xf numFmtId="0" fontId="33" fillId="0" borderId="27" xfId="0" applyFont="1" applyBorder="1" applyAlignment="1">
      <alignment vertical="top"/>
    </xf>
    <xf numFmtId="38" fontId="33" fillId="0" borderId="10" xfId="35" applyFont="1" applyBorder="1" applyAlignment="1">
      <alignment vertical="top"/>
    </xf>
    <xf numFmtId="9" fontId="33" fillId="0" borderId="10" xfId="0" applyNumberFormat="1" applyFont="1" applyBorder="1" applyAlignment="1">
      <alignment vertical="top"/>
    </xf>
    <xf numFmtId="0" fontId="33" fillId="0" borderId="10" xfId="0" applyFont="1" applyBorder="1" applyAlignment="1">
      <alignment horizontal="center"/>
    </xf>
    <xf numFmtId="213" fontId="33" fillId="0" borderId="10" xfId="0" applyNumberFormat="1" applyFont="1" applyBorder="1">
      <alignment vertical="center"/>
    </xf>
    <xf numFmtId="0" fontId="33" fillId="0" borderId="15" xfId="0" applyFont="1" applyBorder="1" applyAlignment="1">
      <alignment vertical="top"/>
    </xf>
    <xf numFmtId="0" fontId="33" fillId="26" borderId="0" xfId="0" applyFont="1" applyFill="1">
      <alignment vertical="center"/>
    </xf>
    <xf numFmtId="0" fontId="33" fillId="0" borderId="55" xfId="0" applyFont="1" applyBorder="1">
      <alignment vertical="center"/>
    </xf>
    <xf numFmtId="0" fontId="33" fillId="0" borderId="26" xfId="0" applyFont="1" applyBorder="1">
      <alignment vertical="center"/>
    </xf>
    <xf numFmtId="0" fontId="33" fillId="0" borderId="50" xfId="0" applyFont="1" applyBorder="1">
      <alignment vertical="center"/>
    </xf>
    <xf numFmtId="38" fontId="33" fillId="0" borderId="10" xfId="35" applyFont="1" applyBorder="1">
      <alignment vertical="center"/>
    </xf>
    <xf numFmtId="0" fontId="33" fillId="27" borderId="63" xfId="44" applyFont="1" applyFill="1" applyBorder="1" applyAlignment="1">
      <alignment horizontal="left"/>
    </xf>
    <xf numFmtId="212" fontId="33" fillId="27" borderId="10" xfId="35" applyNumberFormat="1" applyFont="1" applyFill="1" applyBorder="1" applyAlignment="1" applyProtection="1"/>
    <xf numFmtId="40" fontId="33" fillId="27" borderId="10" xfId="35" applyNumberFormat="1" applyFont="1" applyFill="1" applyBorder="1" applyAlignment="1" applyProtection="1">
      <alignment horizontal="right" vertical="center"/>
    </xf>
    <xf numFmtId="0" fontId="6" fillId="0" borderId="0" xfId="0" applyFont="1" applyAlignment="1">
      <alignment vertical="top"/>
    </xf>
    <xf numFmtId="40" fontId="33" fillId="27" borderId="0" xfId="35" applyNumberFormat="1" applyFont="1" applyFill="1" applyBorder="1" applyAlignment="1" applyProtection="1">
      <alignment horizontal="right" vertical="center"/>
    </xf>
    <xf numFmtId="40" fontId="33" fillId="27" borderId="63" xfId="35" applyNumberFormat="1" applyFont="1" applyFill="1" applyBorder="1" applyAlignment="1" applyProtection="1">
      <alignment horizontal="right" vertical="center"/>
    </xf>
    <xf numFmtId="0" fontId="33" fillId="0" borderId="50" xfId="0" applyFont="1" applyBorder="1" applyAlignment="1">
      <alignment horizontal="center" vertical="center"/>
    </xf>
    <xf numFmtId="0" fontId="33" fillId="27" borderId="51" xfId="0" applyFont="1" applyFill="1" applyBorder="1" applyAlignment="1">
      <alignment vertical="top"/>
    </xf>
    <xf numFmtId="0" fontId="33" fillId="27" borderId="26" xfId="0" applyFont="1" applyFill="1" applyBorder="1" applyAlignment="1">
      <alignment vertical="top"/>
    </xf>
    <xf numFmtId="0" fontId="33" fillId="27" borderId="27" xfId="0" applyFont="1" applyFill="1" applyBorder="1" applyAlignment="1">
      <alignment vertical="top"/>
    </xf>
    <xf numFmtId="0" fontId="33" fillId="27" borderId="55" xfId="0" applyFont="1" applyFill="1" applyBorder="1" applyAlignment="1">
      <alignment vertical="top"/>
    </xf>
    <xf numFmtId="0" fontId="33" fillId="27" borderId="15" xfId="0" applyFont="1" applyFill="1" applyBorder="1" applyAlignment="1">
      <alignment vertical="top"/>
    </xf>
    <xf numFmtId="0" fontId="33" fillId="27" borderId="52" xfId="0" applyFont="1" applyFill="1" applyBorder="1" applyAlignment="1">
      <alignment vertical="top"/>
    </xf>
    <xf numFmtId="0" fontId="33" fillId="27" borderId="10" xfId="0" applyFont="1" applyFill="1" applyBorder="1" applyAlignment="1">
      <alignment vertical="top"/>
    </xf>
    <xf numFmtId="0" fontId="33" fillId="27" borderId="56" xfId="0" applyFont="1" applyFill="1" applyBorder="1" applyAlignment="1">
      <alignment vertical="top"/>
    </xf>
    <xf numFmtId="0" fontId="33" fillId="27" borderId="50" xfId="0" applyFont="1" applyFill="1" applyBorder="1" applyAlignment="1">
      <alignment vertical="top"/>
    </xf>
    <xf numFmtId="0" fontId="33" fillId="27" borderId="54" xfId="0" applyFont="1" applyFill="1" applyBorder="1" applyAlignment="1">
      <alignment vertical="top"/>
    </xf>
    <xf numFmtId="0" fontId="33" fillId="27" borderId="0" xfId="0" applyFont="1" applyFill="1" applyAlignment="1">
      <alignment vertical="top"/>
    </xf>
    <xf numFmtId="0" fontId="33" fillId="27" borderId="63" xfId="0" applyFont="1" applyFill="1" applyBorder="1">
      <alignment vertical="center"/>
    </xf>
    <xf numFmtId="0" fontId="126" fillId="27" borderId="0" xfId="44" quotePrefix="1" applyFont="1" applyFill="1" applyAlignment="1">
      <alignment vertical="center"/>
    </xf>
    <xf numFmtId="178" fontId="33" fillId="27" borderId="10" xfId="0" applyNumberFormat="1" applyFont="1" applyFill="1" applyBorder="1">
      <alignment vertical="center"/>
    </xf>
    <xf numFmtId="178" fontId="33" fillId="27" borderId="0" xfId="0" applyNumberFormat="1" applyFont="1" applyFill="1">
      <alignment vertical="center"/>
    </xf>
    <xf numFmtId="38" fontId="33" fillId="27" borderId="10" xfId="35" applyFont="1" applyFill="1" applyBorder="1">
      <alignment vertical="center"/>
    </xf>
    <xf numFmtId="0" fontId="33" fillId="27" borderId="65" xfId="0" applyFont="1" applyFill="1" applyBorder="1">
      <alignment vertical="center"/>
    </xf>
    <xf numFmtId="0" fontId="33" fillId="27" borderId="66" xfId="0" applyFont="1" applyFill="1" applyBorder="1">
      <alignment vertical="center"/>
    </xf>
    <xf numFmtId="0" fontId="33" fillId="27" borderId="67" xfId="0" applyFont="1" applyFill="1" applyBorder="1">
      <alignment vertical="center"/>
    </xf>
    <xf numFmtId="0" fontId="126" fillId="27" borderId="66" xfId="0" applyFont="1" applyFill="1" applyBorder="1">
      <alignment vertical="center"/>
    </xf>
    <xf numFmtId="0" fontId="33" fillId="27" borderId="59" xfId="0" applyFont="1" applyFill="1" applyBorder="1">
      <alignment vertical="center"/>
    </xf>
    <xf numFmtId="0" fontId="126" fillId="27" borderId="60" xfId="44" applyFont="1" applyFill="1" applyBorder="1" applyAlignment="1">
      <alignment vertical="center"/>
    </xf>
    <xf numFmtId="0" fontId="33" fillId="27" borderId="60" xfId="0" applyFont="1" applyFill="1" applyBorder="1">
      <alignment vertical="center"/>
    </xf>
    <xf numFmtId="0" fontId="33" fillId="27" borderId="60" xfId="44" applyFont="1" applyFill="1" applyBorder="1" applyAlignment="1">
      <alignment horizontal="right"/>
    </xf>
    <xf numFmtId="0" fontId="33" fillId="27" borderId="60" xfId="44" applyFont="1" applyFill="1" applyBorder="1"/>
    <xf numFmtId="0" fontId="33" fillId="27" borderId="61" xfId="44" applyFont="1" applyFill="1" applyBorder="1" applyAlignment="1">
      <alignment horizontal="right"/>
    </xf>
    <xf numFmtId="0" fontId="0" fillId="0" borderId="51" xfId="0" applyBorder="1">
      <alignment vertical="center"/>
    </xf>
    <xf numFmtId="0" fontId="126" fillId="27" borderId="0" xfId="0" applyFont="1" applyFill="1" applyAlignment="1">
      <alignment horizontal="right" vertical="center"/>
    </xf>
    <xf numFmtId="40" fontId="0" fillId="0" borderId="0" xfId="0" applyNumberFormat="1">
      <alignment vertical="center"/>
    </xf>
    <xf numFmtId="179" fontId="0" fillId="0" borderId="0" xfId="0" applyNumberFormat="1">
      <alignment vertical="center"/>
    </xf>
    <xf numFmtId="38" fontId="33" fillId="27" borderId="0" xfId="35" applyFont="1" applyFill="1" applyBorder="1">
      <alignment vertical="center"/>
    </xf>
    <xf numFmtId="38" fontId="33" fillId="27" borderId="0" xfId="0" applyNumberFormat="1" applyFont="1" applyFill="1">
      <alignment vertical="center"/>
    </xf>
    <xf numFmtId="0" fontId="33" fillId="0" borderId="54" xfId="0" applyFont="1" applyBorder="1">
      <alignment vertical="center"/>
    </xf>
    <xf numFmtId="0" fontId="33" fillId="0" borderId="0" xfId="0" applyFont="1" applyAlignment="1">
      <alignment horizontal="right" vertical="center"/>
    </xf>
    <xf numFmtId="177" fontId="33" fillId="27" borderId="10" xfId="28" applyNumberFormat="1" applyFont="1" applyFill="1" applyBorder="1" applyAlignment="1" applyProtection="1">
      <alignment horizontal="center" vertical="center"/>
    </xf>
    <xf numFmtId="177" fontId="40" fillId="27" borderId="10" xfId="44" applyNumberFormat="1" applyFont="1" applyFill="1" applyBorder="1" applyAlignment="1">
      <alignment vertical="center"/>
    </xf>
    <xf numFmtId="38" fontId="28" fillId="31" borderId="27" xfId="0" applyNumberFormat="1" applyFont="1" applyFill="1" applyBorder="1" applyAlignment="1" applyProtection="1">
      <alignment horizontal="centerContinuous" vertical="center"/>
      <protection hidden="1"/>
    </xf>
    <xf numFmtId="185" fontId="36" fillId="0" borderId="110" xfId="0" applyNumberFormat="1" applyFont="1" applyBorder="1" applyAlignment="1" applyProtection="1">
      <alignment horizontal="center" vertical="center"/>
      <protection hidden="1"/>
    </xf>
    <xf numFmtId="185" fontId="36" fillId="27" borderId="206" xfId="0" applyNumberFormat="1" applyFont="1" applyFill="1" applyBorder="1" applyAlignment="1" applyProtection="1">
      <alignment horizontal="center" vertical="center"/>
      <protection hidden="1"/>
    </xf>
    <xf numFmtId="218" fontId="33" fillId="27" borderId="10" xfId="0" applyNumberFormat="1" applyFont="1" applyFill="1" applyBorder="1">
      <alignment vertical="center"/>
    </xf>
    <xf numFmtId="218" fontId="33" fillId="27" borderId="51" xfId="0" applyNumberFormat="1" applyFont="1" applyFill="1" applyBorder="1">
      <alignment vertical="center"/>
    </xf>
    <xf numFmtId="218" fontId="33" fillId="27" borderId="144" xfId="0" applyNumberFormat="1" applyFont="1" applyFill="1" applyBorder="1">
      <alignment vertical="center"/>
    </xf>
    <xf numFmtId="188" fontId="126" fillId="27" borderId="144" xfId="35" applyNumberFormat="1" applyFont="1" applyFill="1" applyBorder="1" applyAlignment="1" applyProtection="1">
      <alignment horizontal="center" vertical="center"/>
    </xf>
    <xf numFmtId="182" fontId="37" fillId="0" borderId="27" xfId="0" applyNumberFormat="1" applyFont="1" applyBorder="1" applyAlignment="1" applyProtection="1">
      <alignment horizontal="left" wrapText="1"/>
      <protection locked="0"/>
    </xf>
    <xf numFmtId="182" fontId="28" fillId="0" borderId="80" xfId="0" applyNumberFormat="1" applyFont="1" applyBorder="1" applyAlignment="1" applyProtection="1">
      <alignment horizontal="right" vertical="center" wrapText="1"/>
      <protection locked="0"/>
    </xf>
    <xf numFmtId="182" fontId="28" fillId="0" borderId="50" xfId="0" applyNumberFormat="1" applyFont="1" applyBorder="1" applyAlignment="1" applyProtection="1">
      <alignment horizontal="right" vertical="center" wrapText="1"/>
      <protection locked="0"/>
    </xf>
    <xf numFmtId="189" fontId="28" fillId="0" borderId="50" xfId="0" applyNumberFormat="1" applyFont="1" applyBorder="1" applyAlignment="1" applyProtection="1">
      <alignment horizontal="left" vertical="center" wrapText="1"/>
      <protection locked="0"/>
    </xf>
    <xf numFmtId="179" fontId="33" fillId="27" borderId="16" xfId="0" quotePrefix="1" applyNumberFormat="1" applyFont="1" applyFill="1" applyBorder="1" applyAlignment="1">
      <alignment horizontal="center" vertical="center"/>
    </xf>
    <xf numFmtId="179" fontId="33" fillId="27" borderId="16" xfId="0" applyNumberFormat="1" applyFont="1" applyFill="1" applyBorder="1" applyAlignment="1">
      <alignment horizontal="center" vertical="center"/>
    </xf>
    <xf numFmtId="9" fontId="0" fillId="0" borderId="0" xfId="0" applyNumberFormat="1">
      <alignment vertical="center"/>
    </xf>
    <xf numFmtId="38" fontId="0" fillId="0" borderId="0" xfId="35" applyFont="1">
      <alignment vertical="center"/>
    </xf>
    <xf numFmtId="0" fontId="0" fillId="26" borderId="0" xfId="0" applyFill="1">
      <alignment vertical="center"/>
    </xf>
    <xf numFmtId="0" fontId="6" fillId="27" borderId="13" xfId="0" applyFont="1" applyFill="1" applyBorder="1" applyAlignment="1">
      <alignment horizontal="left" vertical="center"/>
    </xf>
    <xf numFmtId="0" fontId="6" fillId="27" borderId="171" xfId="0" applyFont="1" applyFill="1" applyBorder="1" applyAlignment="1">
      <alignment horizontal="left" vertical="center"/>
    </xf>
    <xf numFmtId="185" fontId="36" fillId="27" borderId="148" xfId="0" applyNumberFormat="1" applyFont="1" applyFill="1" applyBorder="1" applyAlignment="1" applyProtection="1">
      <alignment horizontal="center" vertical="center"/>
      <protection hidden="1"/>
    </xf>
    <xf numFmtId="0" fontId="27" fillId="49" borderId="0" xfId="0" applyFont="1" applyFill="1" applyAlignment="1">
      <alignment horizontal="left" vertical="center"/>
    </xf>
    <xf numFmtId="181" fontId="37" fillId="31" borderId="26" xfId="0" applyNumberFormat="1" applyFont="1" applyFill="1" applyBorder="1" applyAlignment="1" applyProtection="1">
      <alignment horizontal="centerContinuous" vertical="center"/>
      <protection hidden="1"/>
    </xf>
    <xf numFmtId="0" fontId="45" fillId="49" borderId="0" xfId="0" applyFont="1" applyFill="1" applyAlignment="1" applyProtection="1">
      <alignment horizontal="left" vertical="center"/>
      <protection hidden="1"/>
    </xf>
    <xf numFmtId="0" fontId="0" fillId="50" borderId="10" xfId="0" applyFill="1" applyBorder="1">
      <alignment vertical="center"/>
    </xf>
    <xf numFmtId="177" fontId="29" fillId="0" borderId="144" xfId="0" applyNumberFormat="1" applyFont="1" applyBorder="1" applyAlignment="1" applyProtection="1">
      <alignment horizontal="center" vertical="center"/>
      <protection hidden="1"/>
    </xf>
    <xf numFmtId="0" fontId="33" fillId="0" borderId="52" xfId="0" applyFont="1" applyBorder="1">
      <alignment vertical="center"/>
    </xf>
    <xf numFmtId="0" fontId="33" fillId="0" borderId="64" xfId="0" applyFont="1" applyBorder="1">
      <alignment vertical="center"/>
    </xf>
    <xf numFmtId="0" fontId="33" fillId="0" borderId="56" xfId="0" applyFont="1" applyBorder="1">
      <alignment vertical="center"/>
    </xf>
    <xf numFmtId="0" fontId="33" fillId="0" borderId="17" xfId="0" applyFont="1" applyBorder="1">
      <alignment vertical="center"/>
    </xf>
    <xf numFmtId="38" fontId="33" fillId="0" borderId="10" xfId="35" applyFont="1" applyBorder="1" applyAlignment="1">
      <alignment horizontal="center"/>
    </xf>
    <xf numFmtId="0" fontId="0" fillId="50" borderId="0" xfId="0" applyFill="1">
      <alignment vertical="center"/>
    </xf>
    <xf numFmtId="0" fontId="0" fillId="50" borderId="57" xfId="0" quotePrefix="1" applyFill="1" applyBorder="1">
      <alignment vertical="center"/>
    </xf>
    <xf numFmtId="0" fontId="33" fillId="50" borderId="10" xfId="0" applyFont="1" applyFill="1" applyBorder="1">
      <alignment vertical="center"/>
    </xf>
    <xf numFmtId="221" fontId="33" fillId="50" borderId="10" xfId="0" applyNumberFormat="1" applyFont="1" applyFill="1" applyBorder="1">
      <alignment vertical="center"/>
    </xf>
    <xf numFmtId="221" fontId="33" fillId="50" borderId="10" xfId="35" applyNumberFormat="1" applyFont="1" applyFill="1" applyBorder="1">
      <alignment vertical="center"/>
    </xf>
    <xf numFmtId="0" fontId="33" fillId="50" borderId="0" xfId="0" applyFont="1" applyFill="1">
      <alignment vertical="center"/>
    </xf>
    <xf numFmtId="38" fontId="33" fillId="50" borderId="10" xfId="35" applyFont="1" applyFill="1" applyBorder="1">
      <alignment vertical="center"/>
    </xf>
    <xf numFmtId="0" fontId="28" fillId="0" borderId="0" xfId="0" applyFont="1" applyAlignment="1">
      <alignment horizontal="left" vertical="center"/>
    </xf>
    <xf numFmtId="179" fontId="28" fillId="31" borderId="26" xfId="0" applyNumberFormat="1" applyFont="1" applyFill="1" applyBorder="1" applyProtection="1">
      <alignment vertical="center"/>
      <protection hidden="1"/>
    </xf>
    <xf numFmtId="180" fontId="28" fillId="31" borderId="155" xfId="0" applyNumberFormat="1" applyFont="1" applyFill="1" applyBorder="1" applyAlignment="1" applyProtection="1">
      <alignment horizontal="left" vertical="center"/>
      <protection hidden="1"/>
    </xf>
    <xf numFmtId="0" fontId="166" fillId="27" borderId="0" xfId="0" applyFont="1" applyFill="1" applyAlignment="1">
      <alignment horizontal="left" vertical="center"/>
    </xf>
    <xf numFmtId="0" fontId="28" fillId="27" borderId="52" xfId="0" applyFont="1" applyFill="1" applyBorder="1" applyAlignment="1" applyProtection="1">
      <alignment horizontal="left" vertical="center"/>
      <protection hidden="1"/>
    </xf>
    <xf numFmtId="0" fontId="28" fillId="27" borderId="53" xfId="0" applyFont="1" applyFill="1" applyBorder="1" applyAlignment="1" applyProtection="1">
      <alignment horizontal="left" vertical="center"/>
      <protection hidden="1"/>
    </xf>
    <xf numFmtId="0" fontId="166" fillId="27" borderId="57" xfId="0" applyFont="1" applyFill="1" applyBorder="1" applyAlignment="1">
      <alignment horizontal="left" vertical="center"/>
    </xf>
    <xf numFmtId="181" fontId="28" fillId="31" borderId="89" xfId="0" applyNumberFormat="1" applyFont="1" applyFill="1" applyBorder="1" applyAlignment="1" applyProtection="1">
      <alignment horizontal="centerContinuous" vertical="center"/>
      <protection hidden="1"/>
    </xf>
    <xf numFmtId="181" fontId="28" fillId="31" borderId="53" xfId="0" applyNumberFormat="1" applyFont="1" applyFill="1" applyBorder="1" applyAlignment="1" applyProtection="1">
      <alignment horizontal="centerContinuous" vertical="top"/>
      <protection hidden="1"/>
    </xf>
    <xf numFmtId="0" fontId="28" fillId="27" borderId="54" xfId="0" applyFont="1" applyFill="1" applyBorder="1" applyAlignment="1" applyProtection="1">
      <alignment horizontal="left" vertical="center"/>
      <protection hidden="1"/>
    </xf>
    <xf numFmtId="176" fontId="28" fillId="27" borderId="64" xfId="0" applyNumberFormat="1" applyFont="1" applyFill="1" applyBorder="1" applyAlignment="1" applyProtection="1">
      <alignment horizontal="left" vertical="center"/>
      <protection hidden="1"/>
    </xf>
    <xf numFmtId="0" fontId="166" fillId="27" borderId="17" xfId="0" applyFont="1" applyFill="1" applyBorder="1" applyAlignment="1">
      <alignment horizontal="left" vertical="center"/>
    </xf>
    <xf numFmtId="176" fontId="28" fillId="27" borderId="56" xfId="0" applyNumberFormat="1" applyFont="1" applyFill="1" applyBorder="1" applyAlignment="1" applyProtection="1">
      <alignment horizontal="left" vertical="center"/>
      <protection hidden="1"/>
    </xf>
    <xf numFmtId="0" fontId="166" fillId="27" borderId="58" xfId="0" applyFont="1" applyFill="1" applyBorder="1" applyAlignment="1">
      <alignment horizontal="left" vertical="center"/>
    </xf>
    <xf numFmtId="2" fontId="33" fillId="0" borderId="0" xfId="0" applyNumberFormat="1" applyFont="1" applyAlignment="1" applyProtection="1">
      <alignment horizontal="center"/>
      <protection hidden="1"/>
    </xf>
    <xf numFmtId="2" fontId="33" fillId="0" borderId="0" xfId="0" applyNumberFormat="1" applyFont="1" applyAlignment="1" applyProtection="1">
      <alignment horizontal="center" vertical="top" shrinkToFit="1"/>
      <protection hidden="1"/>
    </xf>
    <xf numFmtId="40" fontId="33" fillId="0" borderId="0" xfId="35" applyNumberFormat="1" applyFont="1" applyFill="1" applyBorder="1" applyAlignment="1" applyProtection="1">
      <alignment horizontal="center" vertical="top"/>
      <protection hidden="1"/>
    </xf>
    <xf numFmtId="2" fontId="126" fillId="0" borderId="0" xfId="0" applyNumberFormat="1" applyFont="1" applyAlignment="1" applyProtection="1">
      <alignment horizontal="center" vertical="top"/>
      <protection hidden="1"/>
    </xf>
    <xf numFmtId="2" fontId="126" fillId="0" borderId="0" xfId="35" applyNumberFormat="1" applyFont="1" applyFill="1" applyBorder="1" applyAlignment="1" applyProtection="1">
      <alignment horizontal="center" vertical="center"/>
      <protection hidden="1"/>
    </xf>
    <xf numFmtId="2" fontId="126" fillId="0" borderId="0" xfId="35" applyNumberFormat="1" applyFont="1" applyFill="1" applyBorder="1" applyAlignment="1" applyProtection="1">
      <alignment horizontal="center"/>
      <protection hidden="1"/>
    </xf>
    <xf numFmtId="2" fontId="33" fillId="0" borderId="0" xfId="35" applyNumberFormat="1" applyFont="1" applyFill="1" applyBorder="1" applyAlignment="1" applyProtection="1">
      <alignment horizontal="center" vertical="center"/>
      <protection hidden="1"/>
    </xf>
    <xf numFmtId="178" fontId="33" fillId="0" borderId="0" xfId="35" applyNumberFormat="1" applyFont="1" applyFill="1" applyBorder="1" applyAlignment="1" applyProtection="1">
      <alignment horizontal="center" vertical="center"/>
      <protection hidden="1"/>
    </xf>
    <xf numFmtId="178" fontId="126" fillId="0" borderId="0" xfId="35" applyNumberFormat="1" applyFont="1" applyFill="1" applyBorder="1" applyAlignment="1" applyProtection="1">
      <alignment horizontal="center"/>
      <protection hidden="1"/>
    </xf>
    <xf numFmtId="2" fontId="33" fillId="0" borderId="0" xfId="35" applyNumberFormat="1" applyFont="1" applyFill="1" applyBorder="1" applyAlignment="1" applyProtection="1">
      <alignment horizontal="center"/>
      <protection hidden="1"/>
    </xf>
    <xf numFmtId="2" fontId="126" fillId="0" borderId="0" xfId="0" applyNumberFormat="1" applyFont="1" applyAlignment="1" applyProtection="1">
      <alignment horizontal="center"/>
      <protection hidden="1"/>
    </xf>
    <xf numFmtId="0" fontId="6" fillId="0" borderId="0" xfId="0" applyFont="1" applyAlignment="1">
      <alignment horizontal="left" vertical="center"/>
    </xf>
    <xf numFmtId="0" fontId="152" fillId="0" borderId="0" xfId="0" applyFont="1" applyAlignment="1">
      <alignment horizontal="left" vertical="center"/>
    </xf>
    <xf numFmtId="0" fontId="152" fillId="0" borderId="0" xfId="0" applyFont="1" applyAlignment="1" applyProtection="1">
      <alignment horizontal="left" vertical="center"/>
      <protection hidden="1"/>
    </xf>
    <xf numFmtId="0" fontId="48" fillId="0" borderId="0" xfId="0" quotePrefix="1" applyFont="1" applyAlignment="1" applyProtection="1">
      <alignment horizontal="left" vertical="center"/>
      <protection hidden="1"/>
    </xf>
    <xf numFmtId="0" fontId="46" fillId="0" borderId="0" xfId="0" applyFont="1" applyAlignment="1">
      <alignment horizontal="left" vertical="center"/>
    </xf>
    <xf numFmtId="0" fontId="166" fillId="0" borderId="0" xfId="0" applyFont="1" applyAlignment="1">
      <alignment horizontal="left" vertical="center"/>
    </xf>
    <xf numFmtId="0" fontId="48" fillId="49" borderId="0" xfId="0" applyFont="1" applyFill="1" applyAlignment="1" applyProtection="1">
      <alignment horizontal="left" vertical="center"/>
      <protection hidden="1"/>
    </xf>
    <xf numFmtId="0" fontId="126" fillId="27" borderId="63" xfId="44" applyFont="1" applyFill="1" applyBorder="1" applyAlignment="1">
      <alignment horizontal="center" vertical="center"/>
    </xf>
    <xf numFmtId="0" fontId="28" fillId="27" borderId="0" xfId="44" applyFont="1" applyFill="1" applyAlignment="1">
      <alignment horizontal="right" vertical="center"/>
    </xf>
    <xf numFmtId="178" fontId="33" fillId="27" borderId="10" xfId="44" applyNumberFormat="1" applyFont="1" applyFill="1" applyBorder="1" applyAlignment="1">
      <alignment vertical="center"/>
    </xf>
    <xf numFmtId="178" fontId="33" fillId="27" borderId="26" xfId="44" applyNumberFormat="1" applyFont="1" applyFill="1" applyBorder="1" applyAlignment="1">
      <alignment vertical="center"/>
    </xf>
    <xf numFmtId="178" fontId="33" fillId="27" borderId="10" xfId="28" applyNumberFormat="1" applyFont="1" applyFill="1" applyBorder="1" applyAlignment="1" applyProtection="1">
      <alignment horizontal="center" vertical="center"/>
    </xf>
    <xf numFmtId="178" fontId="33" fillId="27" borderId="152" xfId="44" applyNumberFormat="1" applyFont="1" applyFill="1" applyBorder="1" applyAlignment="1">
      <alignment vertical="center"/>
    </xf>
    <xf numFmtId="0" fontId="28" fillId="27" borderId="0" xfId="44" applyFont="1" applyFill="1" applyAlignment="1">
      <alignment horizontal="left" vertical="center"/>
    </xf>
    <xf numFmtId="178" fontId="33" fillId="27" borderId="0" xfId="44" applyNumberFormat="1" applyFont="1" applyFill="1" applyAlignment="1">
      <alignment vertical="center"/>
    </xf>
    <xf numFmtId="177" fontId="33" fillId="27" borderId="0" xfId="44" applyNumberFormat="1" applyFont="1" applyFill="1" applyAlignment="1">
      <alignment horizontal="center" vertical="center"/>
    </xf>
    <xf numFmtId="178" fontId="33" fillId="27" borderId="0" xfId="28" applyNumberFormat="1" applyFont="1" applyFill="1" applyBorder="1" applyAlignment="1" applyProtection="1">
      <alignment horizontal="center" vertical="center"/>
    </xf>
    <xf numFmtId="178" fontId="33" fillId="27" borderId="63" xfId="44" applyNumberFormat="1" applyFont="1" applyFill="1" applyBorder="1" applyAlignment="1">
      <alignment vertical="center"/>
    </xf>
    <xf numFmtId="0" fontId="33" fillId="27" borderId="10" xfId="44" applyFont="1" applyFill="1" applyBorder="1" applyAlignment="1">
      <alignment vertical="center"/>
    </xf>
    <xf numFmtId="0" fontId="33" fillId="27" borderId="0" xfId="44" applyFont="1" applyFill="1" applyAlignment="1">
      <alignment horizontal="center" vertical="center"/>
    </xf>
    <xf numFmtId="182" fontId="33" fillId="27" borderId="0" xfId="44" applyNumberFormat="1" applyFont="1" applyFill="1" applyAlignment="1">
      <alignment horizontal="center" vertical="center"/>
    </xf>
    <xf numFmtId="0" fontId="33" fillId="27" borderId="63" xfId="44" applyFont="1" applyFill="1" applyBorder="1" applyAlignment="1">
      <alignment vertical="center"/>
    </xf>
    <xf numFmtId="0" fontId="126" fillId="27" borderId="62" xfId="0" applyFont="1" applyFill="1" applyBorder="1">
      <alignment vertical="center"/>
    </xf>
    <xf numFmtId="9" fontId="33" fillId="27" borderId="10" xfId="0" applyNumberFormat="1" applyFont="1" applyFill="1" applyBorder="1">
      <alignment vertical="center"/>
    </xf>
    <xf numFmtId="9" fontId="33" fillId="27" borderId="10" xfId="28" applyFont="1" applyFill="1" applyBorder="1" applyProtection="1">
      <alignment vertical="center"/>
    </xf>
    <xf numFmtId="179" fontId="33" fillId="27" borderId="144" xfId="44" applyNumberFormat="1" applyFont="1" applyFill="1" applyBorder="1" applyAlignment="1">
      <alignment horizontal="right" vertical="center"/>
    </xf>
    <xf numFmtId="179" fontId="33" fillId="27" borderId="0" xfId="44" applyNumberFormat="1" applyFont="1" applyFill="1" applyAlignment="1">
      <alignment horizontal="right" vertical="center"/>
    </xf>
    <xf numFmtId="179" fontId="33" fillId="27" borderId="63" xfId="44" applyNumberFormat="1" applyFont="1" applyFill="1" applyBorder="1" applyAlignment="1">
      <alignment horizontal="right" vertical="center"/>
    </xf>
    <xf numFmtId="177" fontId="33" fillId="27" borderId="27" xfId="44" applyNumberFormat="1" applyFont="1" applyFill="1" applyBorder="1" applyAlignment="1">
      <alignment horizontal="center" vertical="center"/>
    </xf>
    <xf numFmtId="211" fontId="33" fillId="27" borderId="10" xfId="0" applyNumberFormat="1" applyFont="1" applyFill="1" applyBorder="1">
      <alignment vertical="center"/>
    </xf>
    <xf numFmtId="0" fontId="33" fillId="27" borderId="152" xfId="0" applyFont="1" applyFill="1" applyBorder="1">
      <alignment vertical="center"/>
    </xf>
    <xf numFmtId="0" fontId="33" fillId="27" borderId="144" xfId="0" applyFont="1" applyFill="1" applyBorder="1" applyAlignment="1">
      <alignment horizontal="left" vertical="center"/>
    </xf>
    <xf numFmtId="0" fontId="33" fillId="27" borderId="63" xfId="0" applyFont="1" applyFill="1" applyBorder="1" applyAlignment="1">
      <alignment horizontal="left" vertical="center"/>
    </xf>
    <xf numFmtId="0" fontId="33" fillId="27" borderId="62" xfId="44" applyFont="1" applyFill="1" applyBorder="1"/>
    <xf numFmtId="0" fontId="33" fillId="27" borderId="0" xfId="44" applyFont="1" applyFill="1" applyAlignment="1">
      <alignment horizontal="left"/>
    </xf>
    <xf numFmtId="38" fontId="33" fillId="27" borderId="10" xfId="35" applyFont="1" applyFill="1" applyBorder="1" applyAlignment="1" applyProtection="1"/>
    <xf numFmtId="38" fontId="33" fillId="27" borderId="0" xfId="35" applyFont="1" applyFill="1" applyBorder="1" applyAlignment="1" applyProtection="1"/>
    <xf numFmtId="38" fontId="33" fillId="27" borderId="63" xfId="35" applyFont="1" applyFill="1" applyBorder="1" applyAlignment="1" applyProtection="1"/>
    <xf numFmtId="0" fontId="33" fillId="27" borderId="152" xfId="44" applyFont="1" applyFill="1" applyBorder="1"/>
    <xf numFmtId="38" fontId="33" fillId="27" borderId="153" xfId="35" applyFont="1" applyFill="1" applyBorder="1" applyAlignment="1" applyProtection="1"/>
    <xf numFmtId="38" fontId="33" fillId="27" borderId="26" xfId="35" applyFont="1" applyFill="1" applyBorder="1" applyAlignment="1" applyProtection="1"/>
    <xf numFmtId="38" fontId="33" fillId="27" borderId="123" xfId="35" applyFont="1" applyFill="1" applyBorder="1" applyAlignment="1" applyProtection="1"/>
    <xf numFmtId="38" fontId="33" fillId="27" borderId="139" xfId="35" applyFont="1" applyFill="1" applyBorder="1" applyAlignment="1" applyProtection="1"/>
    <xf numFmtId="0" fontId="33" fillId="27" borderId="0" xfId="0" applyFont="1" applyFill="1" applyAlignment="1">
      <alignment horizontal="right"/>
    </xf>
    <xf numFmtId="38" fontId="33" fillId="27" borderId="10" xfId="35" applyFont="1" applyFill="1" applyBorder="1" applyAlignment="1" applyProtection="1">
      <alignment vertical="center"/>
    </xf>
    <xf numFmtId="40" fontId="33" fillId="27" borderId="152" xfId="35" applyNumberFormat="1" applyFont="1" applyFill="1" applyBorder="1" applyAlignment="1" applyProtection="1">
      <alignment vertical="center"/>
    </xf>
    <xf numFmtId="0" fontId="28" fillId="27" borderId="0" xfId="0" applyFont="1" applyFill="1" applyAlignment="1">
      <alignment horizontal="center" vertical="center"/>
    </xf>
    <xf numFmtId="182" fontId="33" fillId="27" borderId="0" xfId="44" applyNumberFormat="1" applyFont="1" applyFill="1" applyAlignment="1">
      <alignment horizontal="left" vertical="center"/>
    </xf>
    <xf numFmtId="0" fontId="28" fillId="27" borderId="10" xfId="0" applyFont="1" applyFill="1" applyBorder="1" applyAlignment="1" applyProtection="1">
      <alignment horizontal="center" vertical="center"/>
      <protection locked="0" hidden="1"/>
    </xf>
    <xf numFmtId="182" fontId="63" fillId="37" borderId="60" xfId="0" applyNumberFormat="1" applyFont="1" applyFill="1" applyBorder="1" applyAlignment="1" applyProtection="1">
      <alignment horizontal="left" vertical="center"/>
      <protection hidden="1"/>
    </xf>
    <xf numFmtId="182" fontId="111" fillId="37" borderId="69" xfId="0" applyNumberFormat="1" applyFont="1" applyFill="1" applyBorder="1" applyAlignment="1" applyProtection="1">
      <alignment horizontal="left" vertical="center"/>
      <protection hidden="1"/>
    </xf>
    <xf numFmtId="198" fontId="33" fillId="27" borderId="51" xfId="0" applyNumberFormat="1" applyFont="1" applyFill="1" applyBorder="1" applyAlignment="1" applyProtection="1">
      <alignment horizontal="center" vertical="center"/>
      <protection hidden="1"/>
    </xf>
    <xf numFmtId="185" fontId="15" fillId="27" borderId="100" xfId="0" applyNumberFormat="1" applyFont="1" applyFill="1" applyBorder="1" applyAlignment="1" applyProtection="1">
      <alignment horizontal="center" vertical="top" wrapText="1"/>
      <protection hidden="1"/>
    </xf>
    <xf numFmtId="198" fontId="36" fillId="33" borderId="225" xfId="0" applyNumberFormat="1" applyFont="1" applyFill="1" applyBorder="1" applyAlignment="1" applyProtection="1">
      <alignment horizontal="center" vertical="center"/>
      <protection hidden="1"/>
    </xf>
    <xf numFmtId="185" fontId="64" fillId="33" borderId="134" xfId="0" applyNumberFormat="1" applyFont="1" applyFill="1" applyBorder="1" applyAlignment="1" applyProtection="1">
      <alignment horizontal="center" vertical="center"/>
      <protection hidden="1"/>
    </xf>
    <xf numFmtId="222" fontId="36" fillId="31" borderId="226" xfId="0" applyNumberFormat="1" applyFont="1" applyFill="1" applyBorder="1" applyAlignment="1" applyProtection="1">
      <alignment horizontal="center" vertical="center"/>
      <protection hidden="1"/>
    </xf>
    <xf numFmtId="185" fontId="127" fillId="27" borderId="229" xfId="0" applyNumberFormat="1" applyFont="1" applyFill="1" applyBorder="1" applyAlignment="1" applyProtection="1">
      <alignment horizontal="center" vertical="center"/>
      <protection hidden="1"/>
    </xf>
    <xf numFmtId="2" fontId="28" fillId="0" borderId="10" xfId="0" applyNumberFormat="1" applyFont="1" applyBorder="1" applyAlignment="1" applyProtection="1">
      <alignment horizontal="center" vertical="justify"/>
      <protection hidden="1"/>
    </xf>
    <xf numFmtId="178" fontId="28" fillId="0" borderId="230" xfId="0" applyNumberFormat="1" applyFont="1" applyBorder="1" applyAlignment="1" applyProtection="1">
      <alignment horizontal="center" vertical="justify"/>
      <protection hidden="1"/>
    </xf>
    <xf numFmtId="198" fontId="33" fillId="27" borderId="52" xfId="0" applyNumberFormat="1" applyFont="1" applyFill="1" applyBorder="1" applyAlignment="1" applyProtection="1">
      <alignment horizontal="center" vertical="center"/>
      <protection hidden="1"/>
    </xf>
    <xf numFmtId="198" fontId="36" fillId="33" borderId="232" xfId="0" applyNumberFormat="1" applyFont="1" applyFill="1" applyBorder="1" applyAlignment="1" applyProtection="1">
      <alignment horizontal="center" vertical="center"/>
      <protection hidden="1"/>
    </xf>
    <xf numFmtId="222" fontId="36" fillId="31" borderId="233" xfId="0" applyNumberFormat="1" applyFont="1" applyFill="1" applyBorder="1" applyAlignment="1" applyProtection="1">
      <alignment horizontal="center" vertical="center"/>
      <protection hidden="1"/>
    </xf>
    <xf numFmtId="0" fontId="28" fillId="27" borderId="72" xfId="0" applyFont="1" applyFill="1" applyBorder="1" applyAlignment="1" applyProtection="1">
      <alignment horizontal="centerContinuous" vertical="center" shrinkToFit="1"/>
      <protection hidden="1"/>
    </xf>
    <xf numFmtId="0" fontId="6" fillId="27" borderId="75" xfId="0" applyFont="1" applyFill="1" applyBorder="1" applyAlignment="1" applyProtection="1">
      <alignment horizontal="centerContinuous" vertical="center"/>
      <protection hidden="1"/>
    </xf>
    <xf numFmtId="185" fontId="26" fillId="27" borderId="235" xfId="0" applyNumberFormat="1" applyFont="1" applyFill="1" applyBorder="1" applyAlignment="1" applyProtection="1">
      <alignment horizontal="center" vertical="center" wrapText="1"/>
      <protection hidden="1"/>
    </xf>
    <xf numFmtId="185" fontId="85" fillId="27" borderId="140" xfId="0" applyNumberFormat="1" applyFont="1" applyFill="1" applyBorder="1" applyAlignment="1" applyProtection="1">
      <alignment horizontal="center" vertical="center" wrapText="1"/>
      <protection hidden="1"/>
    </xf>
    <xf numFmtId="182" fontId="37" fillId="33" borderId="236" xfId="0" applyNumberFormat="1" applyFont="1" applyFill="1" applyBorder="1" applyAlignment="1" applyProtection="1">
      <alignment horizontal="left"/>
      <protection hidden="1"/>
    </xf>
    <xf numFmtId="198" fontId="102" fillId="33" borderId="237" xfId="0" applyNumberFormat="1" applyFont="1" applyFill="1" applyBorder="1" applyAlignment="1" applyProtection="1">
      <alignment horizontal="center" vertical="center"/>
      <protection hidden="1"/>
    </xf>
    <xf numFmtId="182" fontId="37" fillId="31" borderId="238" xfId="0" applyNumberFormat="1" applyFont="1" applyFill="1" applyBorder="1" applyAlignment="1" applyProtection="1">
      <alignment horizontal="left"/>
      <protection hidden="1"/>
    </xf>
    <xf numFmtId="198" fontId="127" fillId="31" borderId="239" xfId="0" applyNumberFormat="1" applyFont="1" applyFill="1" applyBorder="1" applyAlignment="1" applyProtection="1">
      <alignment horizontal="center" vertical="center"/>
      <protection hidden="1"/>
    </xf>
    <xf numFmtId="185" fontId="36" fillId="27" borderId="240" xfId="0" applyNumberFormat="1" applyFont="1" applyFill="1" applyBorder="1" applyAlignment="1" applyProtection="1">
      <alignment horizontal="center" vertical="center"/>
      <protection hidden="1"/>
    </xf>
    <xf numFmtId="198" fontId="130" fillId="27" borderId="228" xfId="0" applyNumberFormat="1" applyFont="1" applyFill="1" applyBorder="1" applyAlignment="1" applyProtection="1">
      <alignment horizontal="center" vertical="center"/>
      <protection hidden="1"/>
    </xf>
    <xf numFmtId="40" fontId="0" fillId="0" borderId="10" xfId="35" applyNumberFormat="1" applyFont="1" applyBorder="1">
      <alignment vertical="center"/>
    </xf>
    <xf numFmtId="2" fontId="0" fillId="0" borderId="10" xfId="0" applyNumberFormat="1" applyBorder="1">
      <alignment vertical="center"/>
    </xf>
    <xf numFmtId="185" fontId="36" fillId="27" borderId="161" xfId="0" applyNumberFormat="1" applyFont="1" applyFill="1" applyBorder="1" applyAlignment="1" applyProtection="1">
      <alignment horizontal="center" vertical="center"/>
      <protection hidden="1"/>
    </xf>
    <xf numFmtId="222" fontId="36" fillId="51" borderId="227" xfId="0" applyNumberFormat="1" applyFont="1" applyFill="1" applyBorder="1" applyAlignment="1" applyProtection="1">
      <alignment horizontal="center" vertical="center"/>
      <protection locked="0"/>
    </xf>
    <xf numFmtId="222" fontId="36" fillId="51" borderId="234" xfId="0" applyNumberFormat="1" applyFont="1" applyFill="1" applyBorder="1" applyAlignment="1" applyProtection="1">
      <alignment horizontal="center" vertical="center"/>
      <protection locked="0"/>
    </xf>
    <xf numFmtId="222" fontId="36" fillId="51" borderId="10" xfId="0" applyNumberFormat="1" applyFont="1" applyFill="1" applyBorder="1" applyAlignment="1" applyProtection="1">
      <alignment horizontal="center" vertical="center"/>
      <protection locked="0"/>
    </xf>
    <xf numFmtId="177" fontId="53" fillId="40" borderId="51" xfId="0" applyNumberFormat="1" applyFont="1" applyFill="1" applyBorder="1" applyAlignment="1" applyProtection="1">
      <alignment horizontal="center" vertical="center"/>
      <protection hidden="1"/>
    </xf>
    <xf numFmtId="0" fontId="130" fillId="0" borderId="51" xfId="0" applyFont="1" applyBorder="1" applyAlignment="1" applyProtection="1">
      <alignment horizontal="center" vertical="center"/>
      <protection hidden="1"/>
    </xf>
    <xf numFmtId="0" fontId="53" fillId="0" borderId="51" xfId="0" applyFont="1" applyBorder="1" applyAlignment="1" applyProtection="1">
      <alignment horizontal="center" vertical="center"/>
      <protection hidden="1"/>
    </xf>
    <xf numFmtId="0" fontId="26" fillId="0" borderId="51" xfId="0" applyFont="1" applyBorder="1" applyAlignment="1" applyProtection="1">
      <alignment horizontal="center" vertical="justify"/>
      <protection hidden="1"/>
    </xf>
    <xf numFmtId="0" fontId="26" fillId="0" borderId="60" xfId="0" applyFont="1" applyBorder="1" applyAlignment="1" applyProtection="1">
      <alignment horizontal="center" vertical="justify"/>
      <protection hidden="1"/>
    </xf>
    <xf numFmtId="0" fontId="0" fillId="0" borderId="60" xfId="0" applyBorder="1">
      <alignment vertical="center"/>
    </xf>
    <xf numFmtId="0" fontId="53" fillId="0" borderId="178" xfId="0" applyFont="1" applyBorder="1" applyAlignment="1" applyProtection="1">
      <alignment horizontal="center" vertical="center"/>
      <protection hidden="1"/>
    </xf>
    <xf numFmtId="0" fontId="127" fillId="0" borderId="178" xfId="0" applyFont="1" applyBorder="1" applyAlignment="1" applyProtection="1">
      <alignment horizontal="center" vertical="center"/>
      <protection hidden="1"/>
    </xf>
    <xf numFmtId="0" fontId="26" fillId="0" borderId="178" xfId="0" applyFont="1" applyBorder="1" applyAlignment="1" applyProtection="1">
      <alignment horizontal="center" vertical="justify"/>
      <protection hidden="1"/>
    </xf>
    <xf numFmtId="0" fontId="29" fillId="0" borderId="178" xfId="0" applyFont="1" applyBorder="1" applyProtection="1">
      <alignment vertical="center"/>
      <protection hidden="1"/>
    </xf>
    <xf numFmtId="222" fontId="36" fillId="31" borderId="225" xfId="0" applyNumberFormat="1" applyFont="1" applyFill="1" applyBorder="1" applyAlignment="1" applyProtection="1">
      <alignment horizontal="center" vertical="center"/>
      <protection hidden="1"/>
    </xf>
    <xf numFmtId="222" fontId="36" fillId="31" borderId="232" xfId="0" applyNumberFormat="1" applyFont="1" applyFill="1" applyBorder="1" applyAlignment="1" applyProtection="1">
      <alignment horizontal="center" vertical="center"/>
      <protection hidden="1"/>
    </xf>
    <xf numFmtId="182" fontId="37" fillId="31" borderId="236" xfId="0" applyNumberFormat="1" applyFont="1" applyFill="1" applyBorder="1" applyAlignment="1" applyProtection="1">
      <alignment horizontal="left"/>
      <protection hidden="1"/>
    </xf>
    <xf numFmtId="198" fontId="127" fillId="31" borderId="237" xfId="0" applyNumberFormat="1" applyFont="1" applyFill="1" applyBorder="1" applyAlignment="1" applyProtection="1">
      <alignment horizontal="center" vertical="center"/>
      <protection hidden="1"/>
    </xf>
    <xf numFmtId="0" fontId="23" fillId="27" borderId="62" xfId="0" applyFont="1" applyFill="1" applyBorder="1" applyAlignment="1" applyProtection="1">
      <alignment vertical="top"/>
      <protection hidden="1"/>
    </xf>
    <xf numFmtId="0" fontId="85" fillId="27" borderId="0" xfId="0" applyFont="1" applyFill="1" applyAlignment="1" applyProtection="1">
      <alignment horizontal="left" vertical="top"/>
      <protection hidden="1"/>
    </xf>
    <xf numFmtId="0" fontId="118" fillId="27" borderId="0" xfId="0" applyFont="1" applyFill="1" applyAlignment="1" applyProtection="1">
      <alignment vertical="top"/>
      <protection hidden="1"/>
    </xf>
    <xf numFmtId="0" fontId="119" fillId="27" borderId="0" xfId="0" applyFont="1" applyFill="1" applyAlignment="1" applyProtection="1">
      <alignment vertical="top"/>
      <protection hidden="1"/>
    </xf>
    <xf numFmtId="0" fontId="119" fillId="27" borderId="63" xfId="0" applyFont="1" applyFill="1" applyBorder="1" applyAlignment="1" applyProtection="1">
      <alignment vertical="top"/>
      <protection hidden="1"/>
    </xf>
    <xf numFmtId="0" fontId="63" fillId="33" borderId="128" xfId="0" applyFont="1" applyFill="1" applyBorder="1" applyProtection="1">
      <alignment vertical="center"/>
      <protection hidden="1"/>
    </xf>
    <xf numFmtId="0" fontId="124" fillId="33" borderId="129" xfId="0" applyFont="1" applyFill="1" applyBorder="1" applyAlignment="1" applyProtection="1">
      <alignment horizontal="left" vertical="center"/>
      <protection hidden="1"/>
    </xf>
    <xf numFmtId="184" fontId="123" fillId="33" borderId="129" xfId="0" applyNumberFormat="1" applyFont="1" applyFill="1" applyBorder="1" applyAlignment="1" applyProtection="1">
      <alignment horizontal="center" vertical="center"/>
      <protection hidden="1"/>
    </xf>
    <xf numFmtId="184" fontId="63" fillId="33" borderId="129" xfId="0" applyNumberFormat="1" applyFont="1" applyFill="1" applyBorder="1" applyAlignment="1" applyProtection="1">
      <alignment horizontal="center" vertical="center"/>
      <protection hidden="1"/>
    </xf>
    <xf numFmtId="184" fontId="63" fillId="33" borderId="130" xfId="0" applyNumberFormat="1" applyFont="1" applyFill="1" applyBorder="1" applyAlignment="1" applyProtection="1">
      <alignment horizontal="center" vertical="center"/>
      <protection hidden="1"/>
    </xf>
    <xf numFmtId="222" fontId="36" fillId="31" borderId="236" xfId="0" applyNumberFormat="1" applyFont="1" applyFill="1" applyBorder="1" applyAlignment="1" applyProtection="1">
      <alignment horizontal="center" vertical="center"/>
      <protection hidden="1"/>
    </xf>
    <xf numFmtId="185" fontId="0" fillId="0" borderId="0" xfId="0" applyNumberFormat="1">
      <alignment vertical="center"/>
    </xf>
    <xf numFmtId="2" fontId="0" fillId="50" borderId="10" xfId="0" applyNumberFormat="1" applyFill="1" applyBorder="1">
      <alignment vertical="center"/>
    </xf>
    <xf numFmtId="182" fontId="28" fillId="27" borderId="178" xfId="0" applyNumberFormat="1" applyFont="1" applyFill="1" applyBorder="1" applyAlignment="1" applyProtection="1">
      <alignment horizontal="center" vertical="center"/>
      <protection hidden="1"/>
    </xf>
    <xf numFmtId="182" fontId="28" fillId="27" borderId="231" xfId="0" applyNumberFormat="1" applyFont="1" applyFill="1" applyBorder="1" applyAlignment="1" applyProtection="1">
      <alignment horizontal="center" vertical="center"/>
      <protection hidden="1"/>
    </xf>
    <xf numFmtId="182" fontId="28" fillId="27" borderId="178" xfId="0" applyNumberFormat="1" applyFont="1" applyFill="1" applyBorder="1" applyAlignment="1" applyProtection="1">
      <alignment horizontal="center" vertical="center" wrapText="1"/>
      <protection hidden="1"/>
    </xf>
    <xf numFmtId="197" fontId="126" fillId="52" borderId="10" xfId="35" applyNumberFormat="1" applyFont="1" applyFill="1" applyBorder="1" applyAlignment="1" applyProtection="1">
      <alignment horizontal="center" vertical="center"/>
      <protection hidden="1"/>
    </xf>
    <xf numFmtId="0" fontId="23" fillId="29" borderId="57" xfId="0" applyFont="1" applyFill="1" applyBorder="1" applyAlignment="1">
      <alignment horizontal="left" vertical="center"/>
    </xf>
    <xf numFmtId="0" fontId="23" fillId="29" borderId="0" xfId="0" applyFont="1" applyFill="1" applyAlignment="1">
      <alignment horizontal="left" vertical="center"/>
    </xf>
    <xf numFmtId="0" fontId="48" fillId="29" borderId="0" xfId="0" applyFont="1" applyFill="1" applyAlignment="1">
      <alignment horizontal="left" vertical="center"/>
    </xf>
    <xf numFmtId="0" fontId="33" fillId="41" borderId="144" xfId="0" applyFont="1" applyFill="1" applyBorder="1" applyAlignment="1">
      <alignment horizontal="right" vertical="center"/>
    </xf>
    <xf numFmtId="0" fontId="27" fillId="29" borderId="0" xfId="0" applyFont="1" applyFill="1" applyAlignment="1">
      <alignment horizontal="left" vertical="center"/>
    </xf>
    <xf numFmtId="0" fontId="26" fillId="29" borderId="0" xfId="0" applyFont="1" applyFill="1" applyAlignment="1">
      <alignment horizontal="left" vertical="center"/>
    </xf>
    <xf numFmtId="0" fontId="126" fillId="0" borderId="0" xfId="0" applyFont="1" applyAlignment="1">
      <alignment horizontal="right" vertical="center"/>
    </xf>
    <xf numFmtId="38" fontId="6" fillId="41" borderId="144" xfId="35" applyFill="1" applyBorder="1" applyProtection="1">
      <alignment vertical="center"/>
      <protection locked="0"/>
    </xf>
    <xf numFmtId="0" fontId="126" fillId="29" borderId="0" xfId="0" applyFont="1" applyFill="1" applyAlignment="1">
      <alignment horizontal="left" vertical="center"/>
    </xf>
    <xf numFmtId="0" fontId="0" fillId="0" borderId="241" xfId="0" applyBorder="1" applyAlignment="1">
      <alignment horizontal="center" vertical="center"/>
    </xf>
    <xf numFmtId="0" fontId="28" fillId="0" borderId="242" xfId="0" applyFont="1" applyBorder="1" applyAlignment="1">
      <alignment horizontal="centerContinuous" vertical="center"/>
    </xf>
    <xf numFmtId="0" fontId="0" fillId="0" borderId="242" xfId="0" applyBorder="1" applyAlignment="1">
      <alignment horizontal="centerContinuous" vertical="center"/>
    </xf>
    <xf numFmtId="0" fontId="28" fillId="0" borderId="243" xfId="0" applyFont="1" applyBorder="1" applyAlignment="1">
      <alignment horizontal="center" vertical="center" shrinkToFit="1"/>
    </xf>
    <xf numFmtId="9" fontId="6" fillId="27" borderId="244" xfId="28" applyFill="1" applyBorder="1" applyProtection="1">
      <alignment vertical="center"/>
    </xf>
    <xf numFmtId="38" fontId="6" fillId="41" borderId="245" xfId="35" applyFont="1" applyFill="1" applyBorder="1" applyProtection="1">
      <alignment vertical="center"/>
      <protection locked="0"/>
    </xf>
    <xf numFmtId="0" fontId="0" fillId="41" borderId="161" xfId="0" applyFill="1" applyBorder="1" applyProtection="1">
      <alignment vertical="center"/>
      <protection locked="0"/>
    </xf>
    <xf numFmtId="9" fontId="6" fillId="27" borderId="246" xfId="28" applyFill="1" applyBorder="1" applyProtection="1">
      <alignment vertical="center"/>
    </xf>
    <xf numFmtId="38" fontId="6" fillId="41" borderId="152" xfId="35" applyFont="1" applyFill="1" applyBorder="1" applyProtection="1">
      <alignment vertical="center"/>
      <protection locked="0"/>
    </xf>
    <xf numFmtId="0" fontId="28" fillId="29" borderId="0" xfId="0" applyFont="1" applyFill="1" applyAlignment="1">
      <alignment horizontal="center" vertical="center"/>
    </xf>
    <xf numFmtId="0" fontId="0" fillId="41" borderId="247" xfId="0" applyFill="1" applyBorder="1" applyProtection="1">
      <alignment vertical="center"/>
      <protection locked="0"/>
    </xf>
    <xf numFmtId="9" fontId="6" fillId="27" borderId="248" xfId="28" applyFill="1" applyBorder="1" applyProtection="1">
      <alignment vertical="center"/>
    </xf>
    <xf numFmtId="38" fontId="6" fillId="41" borderId="157" xfId="35" applyFont="1" applyFill="1" applyBorder="1" applyProtection="1">
      <alignment vertical="center"/>
      <protection locked="0"/>
    </xf>
    <xf numFmtId="38" fontId="6" fillId="27" borderId="144" xfId="35" applyFill="1" applyBorder="1" applyProtection="1">
      <alignment vertical="center"/>
    </xf>
    <xf numFmtId="0" fontId="135" fillId="39" borderId="144" xfId="0" applyFont="1" applyFill="1" applyBorder="1" applyProtection="1">
      <alignment vertical="center"/>
      <protection locked="0"/>
    </xf>
    <xf numFmtId="0" fontId="126" fillId="0" borderId="0" xfId="0" applyFont="1" applyAlignment="1"/>
    <xf numFmtId="0" fontId="28" fillId="0" borderId="15" xfId="0" applyFont="1" applyBorder="1">
      <alignment vertical="center"/>
    </xf>
    <xf numFmtId="0" fontId="26" fillId="0" borderId="10" xfId="0" applyFont="1" applyBorder="1">
      <alignment vertical="center"/>
    </xf>
    <xf numFmtId="38" fontId="28" fillId="27" borderId="51" xfId="35" applyFont="1" applyFill="1" applyBorder="1" applyProtection="1">
      <alignment vertical="center"/>
    </xf>
    <xf numFmtId="0" fontId="28" fillId="0" borderId="26" xfId="0" applyFont="1" applyBorder="1">
      <alignment vertical="center"/>
    </xf>
    <xf numFmtId="38" fontId="28" fillId="0" borderId="10" xfId="35" applyFont="1" applyBorder="1" applyProtection="1">
      <alignment vertical="center"/>
    </xf>
    <xf numFmtId="38" fontId="28" fillId="27" borderId="15" xfId="35" applyFont="1" applyFill="1" applyBorder="1" applyProtection="1">
      <alignment vertical="center"/>
    </xf>
    <xf numFmtId="0" fontId="28" fillId="31" borderId="26" xfId="0" applyFont="1" applyFill="1" applyBorder="1">
      <alignment vertical="center"/>
    </xf>
    <xf numFmtId="38" fontId="28" fillId="27" borderId="55" xfId="35" applyFont="1" applyFill="1" applyBorder="1" applyProtection="1">
      <alignment vertical="center"/>
    </xf>
    <xf numFmtId="38" fontId="28" fillId="27" borderId="10" xfId="35" applyFont="1" applyFill="1" applyBorder="1" applyProtection="1">
      <alignment vertical="center"/>
    </xf>
    <xf numFmtId="0" fontId="28" fillId="0" borderId="10" xfId="0" applyFont="1" applyBorder="1">
      <alignment vertical="center"/>
    </xf>
    <xf numFmtId="0" fontId="28" fillId="0" borderId="55" xfId="0" applyFont="1" applyBorder="1">
      <alignment vertical="center"/>
    </xf>
    <xf numFmtId="38" fontId="26" fillId="27" borderId="10" xfId="35" applyFont="1" applyFill="1" applyBorder="1" applyProtection="1">
      <alignment vertical="center"/>
    </xf>
    <xf numFmtId="177" fontId="28" fillId="0" borderId="10" xfId="0" applyNumberFormat="1" applyFont="1" applyBorder="1">
      <alignment vertical="center"/>
    </xf>
    <xf numFmtId="181" fontId="124" fillId="0" borderId="0" xfId="0" applyNumberFormat="1" applyFont="1" applyAlignment="1">
      <alignment horizontal="left" vertical="center"/>
    </xf>
    <xf numFmtId="0" fontId="23" fillId="27" borderId="144" xfId="0" applyFont="1" applyFill="1" applyBorder="1">
      <alignment vertical="center"/>
    </xf>
    <xf numFmtId="38" fontId="39" fillId="0" borderId="10" xfId="35" applyFont="1" applyBorder="1" applyProtection="1">
      <alignment vertical="center"/>
    </xf>
    <xf numFmtId="0" fontId="28" fillId="27" borderId="175" xfId="0" applyFont="1" applyFill="1" applyBorder="1" applyAlignment="1">
      <alignment horizontal="left" vertical="center" wrapText="1"/>
    </xf>
    <xf numFmtId="0" fontId="28" fillId="27" borderId="87" xfId="0" applyFont="1" applyFill="1" applyBorder="1" applyAlignment="1">
      <alignment horizontal="left" vertical="center" wrapText="1"/>
    </xf>
    <xf numFmtId="0" fontId="33" fillId="42" borderId="26" xfId="0" applyFont="1" applyFill="1" applyBorder="1" applyProtection="1">
      <alignment vertical="center"/>
      <protection hidden="1"/>
    </xf>
    <xf numFmtId="0" fontId="33" fillId="42" borderId="82" xfId="0" applyFont="1" applyFill="1" applyBorder="1" applyProtection="1">
      <alignment vertical="center"/>
      <protection hidden="1"/>
    </xf>
    <xf numFmtId="181" fontId="26" fillId="42" borderId="16" xfId="0" applyNumberFormat="1" applyFont="1" applyFill="1" applyBorder="1" applyAlignment="1" applyProtection="1">
      <alignment horizontal="center" vertical="center"/>
      <protection hidden="1"/>
    </xf>
    <xf numFmtId="181" fontId="28" fillId="42" borderId="164" xfId="0" applyNumberFormat="1" applyFont="1" applyFill="1" applyBorder="1" applyAlignment="1" applyProtection="1">
      <alignment vertical="center" wrapText="1"/>
      <protection hidden="1"/>
    </xf>
    <xf numFmtId="181" fontId="28" fillId="42" borderId="16" xfId="0" applyNumberFormat="1" applyFont="1" applyFill="1" applyBorder="1" applyAlignment="1" applyProtection="1">
      <alignment vertical="center" wrapText="1"/>
      <protection hidden="1"/>
    </xf>
    <xf numFmtId="181" fontId="28" fillId="42" borderId="176" xfId="0" applyNumberFormat="1" applyFont="1" applyFill="1" applyBorder="1" applyAlignment="1" applyProtection="1">
      <alignment vertical="center" wrapText="1"/>
      <protection hidden="1"/>
    </xf>
    <xf numFmtId="181" fontId="28" fillId="42" borderId="177" xfId="0" applyNumberFormat="1" applyFont="1" applyFill="1" applyBorder="1" applyAlignment="1" applyProtection="1">
      <alignment vertical="center" wrapText="1"/>
      <protection hidden="1"/>
    </xf>
    <xf numFmtId="181" fontId="28" fillId="42" borderId="12" xfId="0" applyNumberFormat="1" applyFont="1" applyFill="1" applyBorder="1" applyAlignment="1" applyProtection="1">
      <alignment vertical="center" wrapText="1"/>
      <protection hidden="1"/>
    </xf>
    <xf numFmtId="181" fontId="85" fillId="27" borderId="164" xfId="0" applyNumberFormat="1" applyFont="1" applyFill="1" applyBorder="1" applyAlignment="1" applyProtection="1">
      <alignment horizontal="left" vertical="center" wrapText="1" shrinkToFit="1"/>
      <protection hidden="1"/>
    </xf>
    <xf numFmtId="181" fontId="28" fillId="42" borderId="14" xfId="0" applyNumberFormat="1" applyFont="1" applyFill="1" applyBorder="1" applyAlignment="1" applyProtection="1">
      <alignment vertical="center" wrapText="1"/>
      <protection hidden="1"/>
    </xf>
    <xf numFmtId="181" fontId="28" fillId="42" borderId="164" xfId="0" applyNumberFormat="1" applyFont="1" applyFill="1" applyBorder="1" applyAlignment="1" applyProtection="1">
      <alignment horizontal="left" vertical="center" shrinkToFit="1"/>
      <protection hidden="1"/>
    </xf>
    <xf numFmtId="0" fontId="28" fillId="42" borderId="11" xfId="0" applyFont="1" applyFill="1" applyBorder="1" applyAlignment="1">
      <alignment vertical="center" wrapText="1"/>
    </xf>
    <xf numFmtId="0" fontId="28" fillId="42" borderId="168" xfId="0" applyFont="1" applyFill="1" applyBorder="1" applyAlignment="1">
      <alignment vertical="center" wrapText="1"/>
    </xf>
    <xf numFmtId="0" fontId="0" fillId="38" borderId="0" xfId="0" applyFill="1">
      <alignment vertical="center"/>
    </xf>
    <xf numFmtId="0" fontId="28" fillId="27" borderId="57" xfId="0" applyFont="1" applyFill="1" applyBorder="1" applyAlignment="1" applyProtection="1">
      <alignment horizontal="centerContinuous" vertical="center"/>
      <protection hidden="1"/>
    </xf>
    <xf numFmtId="0" fontId="28" fillId="38" borderId="62" xfId="0" applyFont="1" applyFill="1" applyBorder="1" applyAlignment="1" applyProtection="1">
      <alignment horizontal="left" wrapText="1"/>
      <protection hidden="1"/>
    </xf>
    <xf numFmtId="0" fontId="6" fillId="27" borderId="15" xfId="0" applyFont="1" applyFill="1" applyBorder="1" applyAlignment="1" applyProtection="1">
      <alignment horizontal="center" vertical="center"/>
      <protection hidden="1"/>
    </xf>
    <xf numFmtId="0" fontId="6" fillId="27" borderId="10" xfId="0" applyFont="1" applyFill="1" applyBorder="1" applyAlignment="1" applyProtection="1">
      <alignment horizontal="center" vertical="center"/>
      <protection hidden="1"/>
    </xf>
    <xf numFmtId="0" fontId="28" fillId="27" borderId="50" xfId="0" applyFont="1" applyFill="1" applyBorder="1" applyAlignment="1" applyProtection="1">
      <alignment vertical="center" wrapText="1"/>
      <protection hidden="1"/>
    </xf>
    <xf numFmtId="0" fontId="28" fillId="27" borderId="56" xfId="0" applyFont="1" applyFill="1" applyBorder="1" applyProtection="1">
      <alignment vertical="center"/>
      <protection hidden="1"/>
    </xf>
    <xf numFmtId="0" fontId="28" fillId="27" borderId="54" xfId="0" applyFont="1" applyFill="1" applyBorder="1" applyProtection="1">
      <alignment vertical="center"/>
      <protection hidden="1"/>
    </xf>
    <xf numFmtId="0" fontId="28" fillId="27" borderId="58" xfId="0" applyFont="1" applyFill="1" applyBorder="1" applyProtection="1">
      <alignment vertical="center"/>
      <protection hidden="1"/>
    </xf>
    <xf numFmtId="0" fontId="152" fillId="27" borderId="231" xfId="0" applyFont="1" applyFill="1" applyBorder="1" applyAlignment="1" applyProtection="1">
      <alignment horizontal="center" vertical="center"/>
      <protection hidden="1"/>
    </xf>
    <xf numFmtId="176" fontId="28" fillId="27" borderId="13" xfId="0" applyNumberFormat="1" applyFont="1" applyFill="1" applyBorder="1" applyAlignment="1" applyProtection="1">
      <alignment horizontal="left" vertical="center" wrapText="1"/>
      <protection hidden="1"/>
    </xf>
    <xf numFmtId="176" fontId="28" fillId="27" borderId="171" xfId="0" applyNumberFormat="1" applyFont="1" applyFill="1" applyBorder="1" applyAlignment="1" applyProtection="1">
      <alignment horizontal="left" vertical="center" wrapText="1"/>
      <protection hidden="1"/>
    </xf>
    <xf numFmtId="0" fontId="6" fillId="27" borderId="16" xfId="0" applyFont="1" applyFill="1" applyBorder="1" applyAlignment="1">
      <alignment horizontal="center" vertical="center" wrapText="1"/>
    </xf>
    <xf numFmtId="49" fontId="126" fillId="27" borderId="10" xfId="0" quotePrefix="1" applyNumberFormat="1" applyFont="1" applyFill="1" applyBorder="1" applyAlignment="1" applyProtection="1">
      <alignment horizontal="left" vertical="center"/>
      <protection hidden="1"/>
    </xf>
    <xf numFmtId="179" fontId="28" fillId="31" borderId="50" xfId="0" applyNumberFormat="1" applyFont="1" applyFill="1" applyBorder="1" applyAlignment="1" applyProtection="1">
      <alignment horizontal="center" vertical="center"/>
      <protection hidden="1"/>
    </xf>
    <xf numFmtId="0" fontId="28" fillId="0" borderId="0" xfId="0" applyFont="1" applyAlignment="1">
      <alignment horizontal="center" vertical="center"/>
    </xf>
    <xf numFmtId="0" fontId="166" fillId="0" borderId="144" xfId="0" applyFont="1" applyBorder="1">
      <alignment vertical="center"/>
    </xf>
    <xf numFmtId="199" fontId="166" fillId="0" borderId="0" xfId="0" applyNumberFormat="1" applyFont="1">
      <alignment vertical="center"/>
    </xf>
    <xf numFmtId="38" fontId="34" fillId="27" borderId="10" xfId="35" applyFont="1" applyFill="1" applyBorder="1" applyAlignment="1" applyProtection="1">
      <alignment horizontal="right" vertical="center"/>
    </xf>
    <xf numFmtId="0" fontId="0" fillId="41" borderId="187" xfId="0" applyFill="1" applyBorder="1" applyProtection="1">
      <alignment vertical="center"/>
      <protection locked="0"/>
    </xf>
    <xf numFmtId="38" fontId="6" fillId="41" borderId="154" xfId="35" applyFont="1" applyFill="1" applyBorder="1" applyProtection="1">
      <alignment vertical="center"/>
      <protection locked="0"/>
    </xf>
    <xf numFmtId="0" fontId="0" fillId="51" borderId="120" xfId="0" applyFill="1" applyBorder="1">
      <alignment vertical="center"/>
    </xf>
    <xf numFmtId="0" fontId="33" fillId="0" borderId="249" xfId="0" applyFont="1" applyBorder="1" applyAlignment="1">
      <alignment vertical="top"/>
    </xf>
    <xf numFmtId="0" fontId="33" fillId="0" borderId="178" xfId="0" applyFont="1" applyBorder="1" applyAlignment="1">
      <alignment vertical="top"/>
    </xf>
    <xf numFmtId="0" fontId="33" fillId="0" borderId="250" xfId="0" applyFont="1" applyBorder="1" applyAlignment="1">
      <alignment vertical="top"/>
    </xf>
    <xf numFmtId="9" fontId="33" fillId="41" borderId="247" xfId="28" applyFont="1" applyFill="1" applyBorder="1" applyAlignment="1" applyProtection="1">
      <alignment vertical="center"/>
      <protection locked="0"/>
    </xf>
    <xf numFmtId="9" fontId="33" fillId="41" borderId="157" xfId="28" applyFont="1" applyFill="1" applyBorder="1" applyAlignment="1" applyProtection="1">
      <alignment vertical="center"/>
      <protection locked="0"/>
    </xf>
    <xf numFmtId="0" fontId="28" fillId="51" borderId="26" xfId="0" applyFont="1" applyFill="1" applyBorder="1">
      <alignment vertical="center"/>
    </xf>
    <xf numFmtId="0" fontId="28" fillId="51" borderId="50" xfId="0" applyFont="1" applyFill="1" applyBorder="1">
      <alignment vertical="center"/>
    </xf>
    <xf numFmtId="0" fontId="28" fillId="51" borderId="10" xfId="0" applyFont="1" applyFill="1" applyBorder="1" applyAlignment="1">
      <alignment horizontal="center" vertical="center"/>
    </xf>
    <xf numFmtId="0" fontId="28" fillId="51" borderId="10" xfId="0" applyFont="1" applyFill="1" applyBorder="1">
      <alignment vertical="center"/>
    </xf>
    <xf numFmtId="184" fontId="28" fillId="51" borderId="10" xfId="0" applyNumberFormat="1" applyFont="1" applyFill="1" applyBorder="1" applyAlignment="1">
      <alignment horizontal="center" vertical="center"/>
    </xf>
    <xf numFmtId="0" fontId="28" fillId="54" borderId="10" xfId="0" applyFont="1" applyFill="1" applyBorder="1">
      <alignment vertical="center"/>
    </xf>
    <xf numFmtId="0" fontId="28" fillId="54" borderId="10" xfId="0" applyFont="1" applyFill="1" applyBorder="1" applyAlignment="1">
      <alignment horizontal="center" vertical="center"/>
    </xf>
    <xf numFmtId="184" fontId="33" fillId="27" borderId="10" xfId="0" applyNumberFormat="1" applyFont="1" applyFill="1" applyBorder="1" applyAlignment="1">
      <alignment horizontal="right" vertical="center"/>
    </xf>
    <xf numFmtId="181" fontId="28" fillId="42" borderId="166" xfId="0" applyNumberFormat="1" applyFont="1" applyFill="1" applyBorder="1" applyAlignment="1" applyProtection="1">
      <alignment horizontal="left" vertical="center"/>
      <protection hidden="1"/>
    </xf>
    <xf numFmtId="181" fontId="28" fillId="42" borderId="14" xfId="0" applyNumberFormat="1" applyFont="1" applyFill="1" applyBorder="1" applyAlignment="1" applyProtection="1">
      <alignment horizontal="left" vertical="center"/>
      <protection hidden="1"/>
    </xf>
    <xf numFmtId="181" fontId="28" fillId="42" borderId="169" xfId="0" applyNumberFormat="1" applyFont="1" applyFill="1" applyBorder="1" applyAlignment="1" applyProtection="1">
      <alignment horizontal="left" vertical="center"/>
      <protection hidden="1"/>
    </xf>
    <xf numFmtId="181" fontId="28" fillId="42" borderId="170" xfId="0" applyNumberFormat="1" applyFont="1" applyFill="1" applyBorder="1" applyAlignment="1" applyProtection="1">
      <alignment horizontal="left" vertical="center"/>
      <protection hidden="1"/>
    </xf>
    <xf numFmtId="38" fontId="34" fillId="41" borderId="26" xfId="35" applyFont="1" applyFill="1" applyBorder="1" applyAlignment="1" applyProtection="1">
      <alignment horizontal="right" vertical="center"/>
      <protection locked="0"/>
    </xf>
    <xf numFmtId="38" fontId="34" fillId="41" borderId="52" xfId="35" applyFont="1" applyFill="1" applyBorder="1" applyAlignment="1" applyProtection="1">
      <alignment horizontal="right" vertical="center"/>
      <protection locked="0"/>
    </xf>
    <xf numFmtId="38" fontId="48" fillId="41" borderId="155" xfId="35" applyFont="1" applyFill="1" applyBorder="1" applyAlignment="1" applyProtection="1">
      <alignment horizontal="left" vertical="center"/>
      <protection locked="0"/>
    </xf>
    <xf numFmtId="38" fontId="34" fillId="51" borderId="56" xfId="35" applyFont="1" applyFill="1" applyBorder="1" applyAlignment="1" applyProtection="1">
      <alignment horizontal="right" vertical="center"/>
    </xf>
    <xf numFmtId="38" fontId="33" fillId="27" borderId="0" xfId="35" applyFont="1" applyFill="1" applyBorder="1" applyAlignment="1" applyProtection="1">
      <alignment vertical="center"/>
    </xf>
    <xf numFmtId="40" fontId="33" fillId="27" borderId="82" xfId="35" applyNumberFormat="1" applyFont="1" applyFill="1" applyBorder="1" applyAlignment="1" applyProtection="1">
      <alignment vertical="center"/>
    </xf>
    <xf numFmtId="0" fontId="28" fillId="29" borderId="0" xfId="0" applyFont="1" applyFill="1" applyAlignment="1">
      <alignment horizontal="left" vertical="center"/>
    </xf>
    <xf numFmtId="0" fontId="126" fillId="27" borderId="120" xfId="0" quotePrefix="1" applyFont="1" applyFill="1" applyBorder="1" applyAlignment="1" applyProtection="1">
      <alignment horizontal="center" vertical="center"/>
      <protection hidden="1"/>
    </xf>
    <xf numFmtId="0" fontId="126" fillId="27" borderId="187" xfId="0" applyFont="1" applyFill="1" applyBorder="1" applyAlignment="1" applyProtection="1">
      <alignment horizontal="center"/>
      <protection hidden="1"/>
    </xf>
    <xf numFmtId="9" fontId="33" fillId="53" borderId="136" xfId="28" applyFont="1" applyFill="1" applyBorder="1" applyAlignment="1" applyProtection="1">
      <alignment vertical="center"/>
      <protection locked="0"/>
    </xf>
    <xf numFmtId="185" fontId="36" fillId="27" borderId="57" xfId="0" applyNumberFormat="1" applyFont="1" applyFill="1" applyBorder="1" applyAlignment="1" applyProtection="1">
      <alignment horizontal="center" vertical="center"/>
      <protection hidden="1"/>
    </xf>
    <xf numFmtId="184" fontId="49" fillId="39" borderId="153" xfId="0" applyNumberFormat="1" applyFont="1" applyFill="1" applyBorder="1" applyProtection="1">
      <alignment vertical="center"/>
      <protection locked="0"/>
    </xf>
    <xf numFmtId="184" fontId="49" fillId="39" borderId="123" xfId="0" applyNumberFormat="1" applyFont="1" applyFill="1" applyBorder="1" applyProtection="1">
      <alignment vertical="center"/>
      <protection locked="0"/>
    </xf>
    <xf numFmtId="184" fontId="49" fillId="39" borderId="139" xfId="0" applyNumberFormat="1" applyFont="1" applyFill="1" applyBorder="1" applyProtection="1">
      <alignment vertical="center"/>
      <protection locked="0"/>
    </xf>
    <xf numFmtId="178" fontId="33" fillId="27" borderId="0" xfId="28" applyNumberFormat="1" applyFont="1" applyFill="1" applyBorder="1" applyProtection="1">
      <alignment vertical="center"/>
    </xf>
    <xf numFmtId="184" fontId="33" fillId="27" borderId="0" xfId="0" applyNumberFormat="1" applyFont="1" applyFill="1" applyAlignment="1">
      <alignment horizontal="right" vertical="center"/>
    </xf>
    <xf numFmtId="212" fontId="33" fillId="27" borderId="0" xfId="35" applyNumberFormat="1" applyFont="1" applyFill="1" applyBorder="1" applyAlignment="1" applyProtection="1"/>
    <xf numFmtId="9" fontId="0" fillId="0" borderId="10" xfId="0" applyNumberFormat="1" applyBorder="1">
      <alignment vertical="center"/>
    </xf>
    <xf numFmtId="0" fontId="37" fillId="27" borderId="0" xfId="0" applyFont="1" applyFill="1" applyAlignment="1" applyProtection="1">
      <alignment horizontal="left" vertical="center"/>
      <protection hidden="1"/>
    </xf>
    <xf numFmtId="176" fontId="28" fillId="31" borderId="26" xfId="0" applyNumberFormat="1" applyFont="1" applyFill="1" applyBorder="1" applyAlignment="1" applyProtection="1">
      <alignment horizontal="center" vertical="center"/>
      <protection hidden="1"/>
    </xf>
    <xf numFmtId="176" fontId="28" fillId="31" borderId="53" xfId="0" applyNumberFormat="1" applyFont="1" applyFill="1" applyBorder="1" applyAlignment="1" applyProtection="1">
      <alignment horizontal="center" vertical="center"/>
      <protection hidden="1"/>
    </xf>
    <xf numFmtId="0" fontId="28" fillId="27" borderId="51" xfId="0" quotePrefix="1" applyFont="1" applyFill="1" applyBorder="1" applyAlignment="1" applyProtection="1">
      <alignment horizontal="left" vertical="center" wrapText="1"/>
      <protection hidden="1"/>
    </xf>
    <xf numFmtId="0" fontId="28" fillId="27" borderId="15" xfId="0" applyFont="1" applyFill="1" applyBorder="1" applyAlignment="1" applyProtection="1">
      <alignment horizontal="left" vertical="center" shrinkToFit="1"/>
      <protection hidden="1"/>
    </xf>
    <xf numFmtId="0" fontId="28" fillId="27" borderId="15" xfId="0" applyFont="1" applyFill="1" applyBorder="1" applyAlignment="1" applyProtection="1">
      <alignment horizontal="left" vertical="center" wrapText="1"/>
      <protection hidden="1"/>
    </xf>
    <xf numFmtId="0" fontId="28" fillId="27" borderId="55" xfId="0" applyFont="1" applyFill="1" applyBorder="1" applyAlignment="1" applyProtection="1">
      <alignment horizontal="left" vertical="center" wrapText="1"/>
      <protection hidden="1"/>
    </xf>
    <xf numFmtId="223" fontId="0" fillId="0" borderId="10" xfId="0" applyNumberFormat="1" applyBorder="1">
      <alignment vertical="center"/>
    </xf>
    <xf numFmtId="0" fontId="170" fillId="0" borderId="0" xfId="0" applyFont="1">
      <alignment vertical="center"/>
    </xf>
    <xf numFmtId="0" fontId="171" fillId="0" borderId="0" xfId="0" applyFont="1">
      <alignment vertical="center"/>
    </xf>
    <xf numFmtId="0" fontId="171" fillId="29" borderId="0" xfId="0" applyFont="1" applyFill="1" applyAlignment="1">
      <alignment horizontal="left" vertical="center"/>
    </xf>
    <xf numFmtId="0" fontId="6" fillId="27" borderId="165" xfId="0" applyFont="1" applyFill="1" applyBorder="1">
      <alignment vertical="center"/>
    </xf>
    <xf numFmtId="0" fontId="6" fillId="38" borderId="170" xfId="0" applyFont="1" applyFill="1" applyBorder="1" applyAlignment="1">
      <alignment vertical="center" wrapText="1"/>
    </xf>
    <xf numFmtId="211" fontId="33" fillId="27" borderId="16" xfId="0" applyNumberFormat="1" applyFont="1" applyFill="1" applyBorder="1" applyAlignment="1">
      <alignment horizontal="center" vertical="center"/>
    </xf>
    <xf numFmtId="211" fontId="33" fillId="27" borderId="168" xfId="0" applyNumberFormat="1" applyFont="1" applyFill="1" applyBorder="1" applyAlignment="1">
      <alignment horizontal="center" vertical="center"/>
    </xf>
    <xf numFmtId="0" fontId="33" fillId="27" borderId="168" xfId="0" applyFont="1" applyFill="1" applyBorder="1" applyAlignment="1">
      <alignment vertical="center" wrapText="1"/>
    </xf>
    <xf numFmtId="9" fontId="33" fillId="27" borderId="16" xfId="0" applyNumberFormat="1" applyFont="1" applyFill="1" applyBorder="1" applyAlignment="1">
      <alignment horizontal="center" vertical="center"/>
    </xf>
    <xf numFmtId="0" fontId="33" fillId="27" borderId="16" xfId="0" applyFont="1" applyFill="1" applyBorder="1">
      <alignment vertical="center"/>
    </xf>
    <xf numFmtId="9" fontId="33" fillId="27" borderId="168" xfId="0" applyNumberFormat="1" applyFont="1" applyFill="1" applyBorder="1" applyAlignment="1">
      <alignment horizontal="center" vertical="center"/>
    </xf>
    <xf numFmtId="0" fontId="33" fillId="27" borderId="168" xfId="0" applyFont="1" applyFill="1" applyBorder="1">
      <alignment vertical="center"/>
    </xf>
    <xf numFmtId="211" fontId="33" fillId="41" borderId="16" xfId="0" applyNumberFormat="1" applyFont="1" applyFill="1" applyBorder="1" applyAlignment="1" applyProtection="1">
      <alignment horizontal="center" vertical="center"/>
      <protection locked="0"/>
    </xf>
    <xf numFmtId="211" fontId="33" fillId="41" borderId="11" xfId="0" applyNumberFormat="1" applyFont="1" applyFill="1" applyBorder="1" applyAlignment="1" applyProtection="1">
      <alignment horizontal="center" vertical="center"/>
      <protection locked="0"/>
    </xf>
    <xf numFmtId="211" fontId="33" fillId="41" borderId="168" xfId="0" applyNumberFormat="1" applyFont="1" applyFill="1" applyBorder="1" applyAlignment="1" applyProtection="1">
      <alignment horizontal="center" vertical="center"/>
      <protection locked="0"/>
    </xf>
    <xf numFmtId="9" fontId="33" fillId="41" borderId="16" xfId="0" applyNumberFormat="1" applyFont="1" applyFill="1" applyBorder="1" applyAlignment="1" applyProtection="1">
      <alignment horizontal="center" vertical="center"/>
      <protection locked="0"/>
    </xf>
    <xf numFmtId="0" fontId="33" fillId="41" borderId="16" xfId="0" applyFont="1" applyFill="1" applyBorder="1" applyProtection="1">
      <alignment vertical="center"/>
      <protection locked="0"/>
    </xf>
    <xf numFmtId="9" fontId="33" fillId="41" borderId="11" xfId="0" applyNumberFormat="1" applyFont="1" applyFill="1" applyBorder="1" applyAlignment="1" applyProtection="1">
      <alignment horizontal="center" vertical="center"/>
      <protection locked="0"/>
    </xf>
    <xf numFmtId="9" fontId="33" fillId="41" borderId="168" xfId="0" applyNumberFormat="1" applyFont="1" applyFill="1" applyBorder="1" applyAlignment="1" applyProtection="1">
      <alignment horizontal="center" vertical="center"/>
      <protection locked="0"/>
    </xf>
    <xf numFmtId="181" fontId="28" fillId="31" borderId="55" xfId="0" applyNumberFormat="1" applyFont="1" applyFill="1" applyBorder="1" applyAlignment="1" applyProtection="1">
      <alignment horizontal="center" vertical="center" wrapText="1"/>
      <protection hidden="1"/>
    </xf>
    <xf numFmtId="0" fontId="28" fillId="31" borderId="54" xfId="0" applyFont="1" applyFill="1" applyBorder="1" applyAlignment="1" applyProtection="1">
      <alignment horizontal="center" vertical="center"/>
      <protection hidden="1"/>
    </xf>
    <xf numFmtId="0" fontId="28" fillId="31" borderId="17" xfId="0" applyFont="1" applyFill="1" applyBorder="1" applyAlignment="1" applyProtection="1">
      <alignment horizontal="left" vertical="center"/>
      <protection hidden="1"/>
    </xf>
    <xf numFmtId="181" fontId="28" fillId="27" borderId="15" xfId="0" applyNumberFormat="1" applyFont="1" applyFill="1" applyBorder="1" applyAlignment="1" applyProtection="1">
      <alignment vertical="center" wrapText="1"/>
      <protection hidden="1"/>
    </xf>
    <xf numFmtId="181" fontId="28" fillId="27" borderId="55" xfId="0" applyNumberFormat="1" applyFont="1" applyFill="1" applyBorder="1" applyAlignment="1" applyProtection="1">
      <alignment vertical="center" wrapText="1"/>
      <protection hidden="1"/>
    </xf>
    <xf numFmtId="181" fontId="28" fillId="31" borderId="10" xfId="0" applyNumberFormat="1" applyFont="1" applyFill="1" applyBorder="1" applyAlignment="1" applyProtection="1">
      <alignment horizontal="center" vertical="center"/>
      <protection hidden="1"/>
    </xf>
    <xf numFmtId="179" fontId="28" fillId="31" borderId="50" xfId="0" applyNumberFormat="1" applyFont="1" applyFill="1" applyBorder="1" applyAlignment="1" applyProtection="1">
      <alignment horizontal="center" vertical="center" wrapText="1"/>
      <protection hidden="1"/>
    </xf>
    <xf numFmtId="0" fontId="28" fillId="31" borderId="17" xfId="0" applyFont="1" applyFill="1" applyBorder="1" applyAlignment="1" applyProtection="1">
      <alignment horizontal="center" vertical="center"/>
      <protection hidden="1"/>
    </xf>
    <xf numFmtId="181" fontId="37" fillId="27" borderId="51" xfId="0" applyNumberFormat="1" applyFont="1" applyFill="1" applyBorder="1" applyAlignment="1" applyProtection="1">
      <alignment vertical="center" wrapText="1"/>
      <protection hidden="1"/>
    </xf>
    <xf numFmtId="179" fontId="28" fillId="31" borderId="54" xfId="0" applyNumberFormat="1" applyFont="1" applyFill="1" applyBorder="1" applyAlignment="1" applyProtection="1">
      <alignment horizontal="center" vertical="center" wrapText="1"/>
      <protection hidden="1"/>
    </xf>
    <xf numFmtId="181" fontId="28" fillId="27" borderId="51" xfId="0" applyNumberFormat="1" applyFont="1" applyFill="1" applyBorder="1" applyAlignment="1" applyProtection="1">
      <alignment vertical="center" wrapText="1"/>
      <protection hidden="1"/>
    </xf>
    <xf numFmtId="181" fontId="28" fillId="31" borderId="26" xfId="0" applyNumberFormat="1" applyFont="1" applyFill="1" applyBorder="1" applyAlignment="1" applyProtection="1">
      <alignment horizontal="centerContinuous" vertical="center" wrapText="1"/>
      <protection hidden="1"/>
    </xf>
    <xf numFmtId="181" fontId="28" fillId="31" borderId="50" xfId="0" applyNumberFormat="1" applyFont="1" applyFill="1" applyBorder="1" applyAlignment="1" applyProtection="1">
      <alignment horizontal="centerContinuous" vertical="center" wrapText="1"/>
      <protection hidden="1"/>
    </xf>
    <xf numFmtId="181" fontId="28" fillId="31" borderId="27" xfId="0" applyNumberFormat="1" applyFont="1" applyFill="1" applyBorder="1" applyAlignment="1" applyProtection="1">
      <alignment horizontal="centerContinuous" vertical="center" wrapText="1"/>
      <protection hidden="1"/>
    </xf>
    <xf numFmtId="181" fontId="28" fillId="27" borderId="12" xfId="0" applyNumberFormat="1" applyFont="1" applyFill="1" applyBorder="1" applyAlignment="1" applyProtection="1">
      <alignment vertical="center" shrinkToFit="1"/>
      <protection hidden="1"/>
    </xf>
    <xf numFmtId="0" fontId="28" fillId="27" borderId="12" xfId="0" applyFont="1" applyFill="1" applyBorder="1" applyAlignment="1" applyProtection="1">
      <alignment horizontal="left" vertical="top"/>
      <protection hidden="1"/>
    </xf>
    <xf numFmtId="197" fontId="33" fillId="50" borderId="26" xfId="0" applyNumberFormat="1" applyFont="1" applyFill="1" applyBorder="1" applyAlignment="1" applyProtection="1">
      <alignment horizontal="center" vertical="center"/>
      <protection hidden="1"/>
    </xf>
    <xf numFmtId="197" fontId="33" fillId="55" borderId="26" xfId="0" applyNumberFormat="1" applyFont="1" applyFill="1" applyBorder="1" applyAlignment="1" applyProtection="1">
      <alignment horizontal="center" vertical="center"/>
      <protection hidden="1"/>
    </xf>
    <xf numFmtId="0" fontId="28" fillId="27" borderId="0" xfId="0" applyFont="1" applyFill="1" applyAlignment="1">
      <alignment horizontal="left" vertical="center" wrapText="1"/>
    </xf>
    <xf numFmtId="178" fontId="33" fillId="39" borderId="144" xfId="0" applyNumberFormat="1" applyFont="1" applyFill="1" applyBorder="1" applyProtection="1">
      <alignment vertical="center"/>
      <protection locked="0"/>
    </xf>
    <xf numFmtId="0" fontId="172" fillId="27" borderId="10" xfId="0" applyFont="1" applyFill="1" applyBorder="1" applyAlignment="1">
      <alignment horizontal="center" vertical="center"/>
    </xf>
    <xf numFmtId="0" fontId="28" fillId="27" borderId="0" xfId="0" applyFont="1" applyFill="1" applyAlignment="1">
      <alignment horizontal="right" vertical="top"/>
    </xf>
    <xf numFmtId="203" fontId="33" fillId="27" borderId="10" xfId="0" applyNumberFormat="1" applyFont="1" applyFill="1" applyBorder="1" applyAlignment="1">
      <alignment horizontal="center" vertical="center"/>
    </xf>
    <xf numFmtId="0" fontId="28" fillId="27" borderId="0" xfId="0" applyFont="1" applyFill="1" applyAlignment="1">
      <alignment vertical="center" wrapText="1"/>
    </xf>
    <xf numFmtId="0" fontId="28" fillId="27" borderId="63" xfId="0" applyFont="1" applyFill="1" applyBorder="1" applyAlignment="1">
      <alignment vertical="center" wrapText="1"/>
    </xf>
    <xf numFmtId="38" fontId="33" fillId="41" borderId="144" xfId="35" applyFont="1" applyFill="1" applyBorder="1" applyAlignment="1" applyProtection="1">
      <alignment horizontal="center" vertical="center" shrinkToFit="1"/>
      <protection locked="0"/>
    </xf>
    <xf numFmtId="0" fontId="37" fillId="27" borderId="0" xfId="0" applyFont="1" applyFill="1" applyAlignment="1">
      <alignment horizontal="right" vertical="top"/>
    </xf>
    <xf numFmtId="0" fontId="33" fillId="27" borderId="0" xfId="0" applyFont="1" applyFill="1" applyAlignment="1">
      <alignment horizontal="right" vertical="top"/>
    </xf>
    <xf numFmtId="0" fontId="37" fillId="27" borderId="0" xfId="0" applyFont="1" applyFill="1" applyAlignment="1">
      <alignment vertical="top"/>
    </xf>
    <xf numFmtId="0" fontId="37" fillId="27" borderId="0" xfId="0" applyFont="1" applyFill="1" applyAlignment="1">
      <alignment vertical="center" wrapText="1"/>
    </xf>
    <xf numFmtId="0" fontId="28" fillId="27" borderId="0" xfId="0" applyFont="1" applyFill="1" applyAlignment="1">
      <alignment vertical="top" wrapText="1"/>
    </xf>
    <xf numFmtId="223" fontId="33" fillId="53" borderId="10" xfId="0" applyNumberFormat="1" applyFont="1" applyFill="1" applyBorder="1" applyProtection="1">
      <alignment vertical="center"/>
      <protection locked="0"/>
    </xf>
    <xf numFmtId="203" fontId="33" fillId="27" borderId="144" xfId="0" applyNumberFormat="1" applyFont="1" applyFill="1" applyBorder="1" applyAlignment="1">
      <alignment horizontal="center" vertical="center"/>
    </xf>
    <xf numFmtId="0" fontId="28" fillId="27" borderId="0" xfId="0" applyFont="1" applyFill="1">
      <alignment vertical="center"/>
    </xf>
    <xf numFmtId="178" fontId="33" fillId="53" borderId="144" xfId="0" applyNumberFormat="1" applyFont="1" applyFill="1" applyBorder="1" applyProtection="1">
      <alignment vertical="center"/>
      <protection locked="0"/>
    </xf>
    <xf numFmtId="0" fontId="173" fillId="27" borderId="0" xfId="0" applyFont="1" applyFill="1" applyAlignment="1">
      <alignment horizontal="left" vertical="center"/>
    </xf>
    <xf numFmtId="0" fontId="173" fillId="27" borderId="0" xfId="0" applyFont="1" applyFill="1">
      <alignment vertical="center"/>
    </xf>
    <xf numFmtId="203" fontId="33" fillId="27" borderId="0" xfId="0" applyNumberFormat="1" applyFont="1" applyFill="1" applyAlignment="1">
      <alignment horizontal="center" vertical="center"/>
    </xf>
    <xf numFmtId="220" fontId="0" fillId="50" borderId="0" xfId="0" applyNumberFormat="1" applyFill="1">
      <alignment vertical="center"/>
    </xf>
    <xf numFmtId="0" fontId="33" fillId="31" borderId="27" xfId="44" applyFont="1" applyFill="1" applyBorder="1" applyAlignment="1">
      <alignment horizontal="center" vertical="center"/>
    </xf>
    <xf numFmtId="223" fontId="172" fillId="27" borderId="10" xfId="0" applyNumberFormat="1" applyFont="1" applyFill="1" applyBorder="1">
      <alignment vertical="center"/>
    </xf>
    <xf numFmtId="2" fontId="33" fillId="27" borderId="10" xfId="28" applyNumberFormat="1" applyFont="1" applyFill="1" applyBorder="1" applyProtection="1">
      <alignment vertical="center"/>
    </xf>
    <xf numFmtId="2" fontId="33" fillId="27" borderId="10" xfId="0" applyNumberFormat="1" applyFont="1" applyFill="1" applyBorder="1">
      <alignment vertical="center"/>
    </xf>
    <xf numFmtId="2" fontId="33" fillId="27" borderId="27" xfId="0" applyNumberFormat="1" applyFont="1" applyFill="1" applyBorder="1">
      <alignment vertical="center"/>
    </xf>
    <xf numFmtId="40" fontId="172" fillId="27" borderId="10" xfId="0" applyNumberFormat="1" applyFont="1" applyFill="1" applyBorder="1">
      <alignment vertical="center"/>
    </xf>
    <xf numFmtId="223" fontId="33" fillId="27" borderId="10" xfId="0" applyNumberFormat="1" applyFont="1" applyFill="1" applyBorder="1">
      <alignment vertical="center"/>
    </xf>
    <xf numFmtId="0" fontId="26" fillId="27" borderId="0" xfId="0" applyFont="1" applyFill="1">
      <alignment vertical="center"/>
    </xf>
    <xf numFmtId="0" fontId="176" fillId="27" borderId="0" xfId="0" applyFont="1" applyFill="1" applyAlignment="1">
      <alignment horizontal="right" vertical="center"/>
    </xf>
    <xf numFmtId="203" fontId="172" fillId="27" borderId="144" xfId="0" applyNumberFormat="1" applyFont="1" applyFill="1" applyBorder="1" applyAlignment="1">
      <alignment horizontal="center" vertical="center"/>
    </xf>
    <xf numFmtId="0" fontId="177" fillId="27" borderId="0" xfId="0" quotePrefix="1" applyFont="1" applyFill="1" applyAlignment="1">
      <alignment horizontal="right" vertical="center"/>
    </xf>
    <xf numFmtId="0" fontId="178" fillId="27" borderId="144" xfId="0" applyFont="1" applyFill="1" applyBorder="1">
      <alignment vertical="center"/>
    </xf>
    <xf numFmtId="0" fontId="176" fillId="27" borderId="0" xfId="0" quotePrefix="1" applyFont="1" applyFill="1" applyAlignment="1">
      <alignment horizontal="right" vertical="center"/>
    </xf>
    <xf numFmtId="223" fontId="33" fillId="27" borderId="0" xfId="0" applyNumberFormat="1" applyFont="1" applyFill="1">
      <alignment vertical="center"/>
    </xf>
    <xf numFmtId="2" fontId="33" fillId="27" borderId="0" xfId="28" applyNumberFormat="1" applyFont="1" applyFill="1" applyBorder="1" applyProtection="1">
      <alignment vertical="center"/>
    </xf>
    <xf numFmtId="2" fontId="33" fillId="27" borderId="0" xfId="0" applyNumberFormat="1" applyFont="1" applyFill="1">
      <alignment vertical="center"/>
    </xf>
    <xf numFmtId="0" fontId="26" fillId="27" borderId="0" xfId="0" applyFont="1" applyFill="1" applyAlignment="1">
      <alignment horizontal="right" vertical="center"/>
    </xf>
    <xf numFmtId="0" fontId="179" fillId="27" borderId="0" xfId="0" applyFont="1" applyFill="1">
      <alignment vertical="center"/>
    </xf>
    <xf numFmtId="0" fontId="180" fillId="27" borderId="0" xfId="0" applyFont="1" applyFill="1" applyAlignment="1">
      <alignment horizontal="right" vertical="center"/>
    </xf>
    <xf numFmtId="178" fontId="179" fillId="53" borderId="144" xfId="0" applyNumberFormat="1" applyFont="1" applyFill="1" applyBorder="1" applyProtection="1">
      <alignment vertical="center"/>
      <protection locked="0"/>
    </xf>
    <xf numFmtId="203" fontId="33" fillId="27" borderId="144" xfId="0" applyNumberFormat="1" applyFont="1" applyFill="1" applyBorder="1" applyAlignment="1">
      <alignment horizontal="left" vertical="center"/>
    </xf>
    <xf numFmtId="0" fontId="181" fillId="27" borderId="0" xfId="0" applyFont="1" applyFill="1">
      <alignment vertical="center"/>
    </xf>
    <xf numFmtId="0" fontId="126" fillId="27" borderId="0" xfId="0" quotePrefix="1" applyFont="1" applyFill="1">
      <alignment vertical="center"/>
    </xf>
    <xf numFmtId="0" fontId="28" fillId="27" borderId="51" xfId="0" applyFont="1" applyFill="1" applyBorder="1" applyAlignment="1">
      <alignment horizontal="center"/>
    </xf>
    <xf numFmtId="0" fontId="33" fillId="27" borderId="50" xfId="0" applyFont="1" applyFill="1" applyBorder="1">
      <alignment vertical="center"/>
    </xf>
    <xf numFmtId="0" fontId="126" fillId="27" borderId="50" xfId="0" applyFont="1" applyFill="1" applyBorder="1">
      <alignment vertical="center"/>
    </xf>
    <xf numFmtId="0" fontId="28" fillId="27" borderId="55" xfId="0" applyFont="1" applyFill="1" applyBorder="1" applyAlignment="1">
      <alignment horizontal="center"/>
    </xf>
    <xf numFmtId="0" fontId="28" fillId="27" borderId="50" xfId="0" applyFont="1" applyFill="1" applyBorder="1" applyAlignment="1">
      <alignment horizontal="center" vertical="center" wrapText="1"/>
    </xf>
    <xf numFmtId="0" fontId="28" fillId="27" borderId="10" xfId="0" applyFont="1" applyFill="1" applyBorder="1" applyAlignment="1">
      <alignment vertical="center" wrapText="1"/>
    </xf>
    <xf numFmtId="40" fontId="33" fillId="41" borderId="10" xfId="35" applyNumberFormat="1" applyFont="1" applyFill="1" applyBorder="1" applyAlignment="1" applyProtection="1">
      <alignment horizontal="right" vertical="center"/>
      <protection locked="0"/>
    </xf>
    <xf numFmtId="0" fontId="173" fillId="27" borderId="66" xfId="0" applyFont="1" applyFill="1" applyBorder="1">
      <alignment vertical="center"/>
    </xf>
    <xf numFmtId="0" fontId="182" fillId="0" borderId="0" xfId="0" applyFont="1">
      <alignment vertical="center"/>
    </xf>
    <xf numFmtId="38" fontId="183" fillId="27" borderId="10" xfId="35" applyFont="1" applyFill="1" applyBorder="1" applyAlignment="1" applyProtection="1">
      <alignment vertical="center"/>
    </xf>
    <xf numFmtId="0" fontId="183" fillId="27" borderId="0" xfId="0" applyFont="1" applyFill="1">
      <alignment vertical="center"/>
    </xf>
    <xf numFmtId="199" fontId="184" fillId="31" borderId="10" xfId="0" applyNumberFormat="1" applyFont="1" applyFill="1" applyBorder="1" applyAlignment="1" applyProtection="1">
      <alignment horizontal="center" vertical="center"/>
      <protection hidden="1"/>
    </xf>
    <xf numFmtId="199" fontId="184" fillId="31" borderId="10" xfId="0" applyNumberFormat="1" applyFont="1" applyFill="1" applyBorder="1" applyAlignment="1" applyProtection="1">
      <alignment horizontal="centerContinuous" vertical="center"/>
      <protection hidden="1"/>
    </xf>
    <xf numFmtId="0" fontId="183" fillId="27" borderId="0" xfId="0" applyFont="1" applyFill="1" applyAlignment="1">
      <alignment horizontal="left" vertical="center"/>
    </xf>
    <xf numFmtId="0" fontId="183" fillId="27" borderId="0" xfId="0" applyFont="1" applyFill="1" applyAlignment="1">
      <alignment horizontal="right" vertical="center"/>
    </xf>
    <xf numFmtId="40" fontId="183" fillId="27" borderId="10" xfId="35" applyNumberFormat="1" applyFont="1" applyFill="1" applyBorder="1" applyAlignment="1" applyProtection="1">
      <alignment horizontal="right" vertical="center"/>
    </xf>
    <xf numFmtId="38" fontId="183" fillId="27" borderId="10" xfId="0" applyNumberFormat="1" applyFont="1" applyFill="1" applyBorder="1">
      <alignment vertical="center"/>
    </xf>
    <xf numFmtId="199" fontId="184" fillId="31" borderId="10" xfId="0" applyNumberFormat="1" applyFont="1" applyFill="1" applyBorder="1" applyAlignment="1" applyProtection="1">
      <alignment horizontal="center" vertical="center"/>
      <protection locked="0"/>
    </xf>
    <xf numFmtId="199" fontId="184" fillId="31" borderId="10" xfId="0" applyNumberFormat="1" applyFont="1" applyFill="1" applyBorder="1" applyAlignment="1" applyProtection="1">
      <alignment horizontal="centerContinuous" vertical="center"/>
      <protection locked="0"/>
    </xf>
    <xf numFmtId="40" fontId="183" fillId="41" borderId="10" xfId="35" applyNumberFormat="1" applyFont="1" applyFill="1" applyBorder="1" applyAlignment="1" applyProtection="1">
      <alignment horizontal="right" vertical="center"/>
      <protection locked="0"/>
    </xf>
    <xf numFmtId="38" fontId="183" fillId="51" borderId="10" xfId="35" applyFont="1" applyFill="1" applyBorder="1" applyProtection="1">
      <alignment vertical="center"/>
    </xf>
    <xf numFmtId="0" fontId="184" fillId="27" borderId="0" xfId="0" applyFont="1" applyFill="1">
      <alignment vertical="center"/>
    </xf>
    <xf numFmtId="178" fontId="183" fillId="53" borderId="144" xfId="0" applyNumberFormat="1" applyFont="1" applyFill="1" applyBorder="1" applyProtection="1">
      <alignment vertical="center"/>
      <protection locked="0"/>
    </xf>
    <xf numFmtId="40" fontId="172" fillId="51" borderId="10" xfId="35" applyNumberFormat="1" applyFont="1" applyFill="1" applyBorder="1" applyAlignment="1" applyProtection="1">
      <alignment horizontal="right" vertical="center"/>
    </xf>
    <xf numFmtId="40" fontId="172" fillId="51" borderId="152" xfId="35" applyNumberFormat="1" applyFont="1" applyFill="1" applyBorder="1" applyAlignment="1" applyProtection="1">
      <alignment horizontal="right" vertical="center"/>
    </xf>
    <xf numFmtId="0" fontId="183" fillId="56" borderId="10" xfId="0" applyFont="1" applyFill="1" applyBorder="1">
      <alignment vertical="center"/>
    </xf>
    <xf numFmtId="38" fontId="183" fillId="56" borderId="0" xfId="0" applyNumberFormat="1" applyFont="1" applyFill="1">
      <alignment vertical="center"/>
    </xf>
    <xf numFmtId="0" fontId="183" fillId="56" borderId="0" xfId="0" applyFont="1" applyFill="1">
      <alignment vertical="center"/>
    </xf>
    <xf numFmtId="0" fontId="183" fillId="50" borderId="0" xfId="0" applyFont="1" applyFill="1">
      <alignment vertical="center"/>
    </xf>
    <xf numFmtId="0" fontId="183" fillId="0" borderId="10" xfId="0" applyFont="1" applyBorder="1">
      <alignment vertical="center"/>
    </xf>
    <xf numFmtId="0" fontId="186" fillId="25" borderId="10" xfId="0" applyFont="1" applyFill="1" applyBorder="1">
      <alignment vertical="center"/>
    </xf>
    <xf numFmtId="181" fontId="187" fillId="31" borderId="26" xfId="0" applyNumberFormat="1" applyFont="1" applyFill="1" applyBorder="1" applyAlignment="1" applyProtection="1">
      <alignment horizontal="centerContinuous" vertical="center"/>
      <protection hidden="1"/>
    </xf>
    <xf numFmtId="181" fontId="187" fillId="31" borderId="50" xfId="0" applyNumberFormat="1" applyFont="1" applyFill="1" applyBorder="1" applyAlignment="1" applyProtection="1">
      <alignment horizontal="centerContinuous" vertical="center"/>
      <protection hidden="1"/>
    </xf>
    <xf numFmtId="181" fontId="187" fillId="31" borderId="53" xfId="0" applyNumberFormat="1" applyFont="1" applyFill="1" applyBorder="1" applyAlignment="1" applyProtection="1">
      <alignment horizontal="centerContinuous" vertical="center"/>
      <protection hidden="1"/>
    </xf>
    <xf numFmtId="181" fontId="187" fillId="27" borderId="164" xfId="0" applyNumberFormat="1" applyFont="1" applyFill="1" applyBorder="1" applyProtection="1">
      <alignment vertical="center"/>
      <protection hidden="1"/>
    </xf>
    <xf numFmtId="181" fontId="187" fillId="27" borderId="166" xfId="0" applyNumberFormat="1" applyFont="1" applyFill="1" applyBorder="1" applyProtection="1">
      <alignment vertical="center"/>
      <protection hidden="1"/>
    </xf>
    <xf numFmtId="181" fontId="187" fillId="27" borderId="12" xfId="0" applyNumberFormat="1" applyFont="1" applyFill="1" applyBorder="1" applyProtection="1">
      <alignment vertical="center"/>
      <protection hidden="1"/>
    </xf>
    <xf numFmtId="181" fontId="187" fillId="27" borderId="14" xfId="0" applyNumberFormat="1" applyFont="1" applyFill="1" applyBorder="1" applyProtection="1">
      <alignment vertical="center"/>
      <protection hidden="1"/>
    </xf>
    <xf numFmtId="181" fontId="187" fillId="27" borderId="169" xfId="0" applyNumberFormat="1" applyFont="1" applyFill="1" applyBorder="1" applyProtection="1">
      <alignment vertical="center"/>
      <protection hidden="1"/>
    </xf>
    <xf numFmtId="181" fontId="187" fillId="27" borderId="170" xfId="0" applyNumberFormat="1" applyFont="1" applyFill="1" applyBorder="1" applyProtection="1">
      <alignment vertical="center"/>
      <protection hidden="1"/>
    </xf>
    <xf numFmtId="0" fontId="188" fillId="31" borderId="26" xfId="0" applyFont="1" applyFill="1" applyBorder="1" applyAlignment="1" applyProtection="1">
      <alignment horizontal="centerContinuous" vertical="center"/>
      <protection hidden="1"/>
    </xf>
    <xf numFmtId="193" fontId="188" fillId="31" borderId="27" xfId="0" applyNumberFormat="1" applyFont="1" applyFill="1" applyBorder="1" applyAlignment="1" applyProtection="1">
      <alignment horizontal="center" vertical="center"/>
      <protection hidden="1"/>
    </xf>
    <xf numFmtId="0" fontId="188" fillId="31" borderId="53" xfId="0" applyFont="1" applyFill="1" applyBorder="1" applyAlignment="1" applyProtection="1">
      <alignment horizontal="centerContinuous" vertical="center" wrapText="1"/>
      <protection hidden="1"/>
    </xf>
    <xf numFmtId="193" fontId="188" fillId="31" borderId="54" xfId="0" applyNumberFormat="1" applyFont="1" applyFill="1" applyBorder="1" applyAlignment="1" applyProtection="1">
      <alignment horizontal="center" vertical="center"/>
      <protection hidden="1"/>
    </xf>
    <xf numFmtId="0" fontId="188" fillId="0" borderId="52" xfId="0" applyFont="1" applyBorder="1">
      <alignment vertical="center"/>
    </xf>
    <xf numFmtId="0" fontId="188" fillId="0" borderId="64" xfId="0" applyFont="1" applyBorder="1">
      <alignment vertical="center"/>
    </xf>
    <xf numFmtId="0" fontId="188" fillId="0" borderId="56" xfId="0" applyFont="1" applyBorder="1">
      <alignment vertical="center"/>
    </xf>
    <xf numFmtId="0" fontId="173" fillId="27" borderId="164" xfId="0" applyFont="1" applyFill="1" applyBorder="1" applyAlignment="1" applyProtection="1">
      <alignment horizontal="left" vertical="center"/>
      <protection hidden="1"/>
    </xf>
    <xf numFmtId="0" fontId="0" fillId="57" borderId="10" xfId="0" applyFill="1" applyBorder="1">
      <alignment vertical="center"/>
    </xf>
    <xf numFmtId="0" fontId="33" fillId="0" borderId="26" xfId="0" applyFont="1" applyBorder="1" applyAlignment="1" applyProtection="1">
      <alignment horizontal="left" vertical="center"/>
      <protection locked="0"/>
    </xf>
    <xf numFmtId="0" fontId="33" fillId="0" borderId="50" xfId="0" applyFont="1" applyBorder="1" applyAlignment="1" applyProtection="1">
      <alignment horizontal="left" vertical="center"/>
      <protection locked="0"/>
    </xf>
    <xf numFmtId="0" fontId="33" fillId="29" borderId="27" xfId="0" applyFont="1" applyFill="1" applyBorder="1" applyAlignment="1" applyProtection="1">
      <alignment horizontal="left" vertical="center"/>
      <protection locked="0"/>
    </xf>
    <xf numFmtId="0" fontId="33" fillId="27" borderId="26" xfId="0" applyFont="1" applyFill="1" applyBorder="1" applyAlignment="1">
      <alignment horizontal="left" vertical="center" shrinkToFit="1"/>
    </xf>
    <xf numFmtId="0" fontId="33" fillId="27" borderId="50" xfId="0" applyFont="1" applyFill="1" applyBorder="1" applyAlignment="1">
      <alignment horizontal="left" vertical="center" shrinkToFit="1"/>
    </xf>
    <xf numFmtId="0" fontId="33" fillId="27" borderId="27" xfId="0" applyFont="1" applyFill="1" applyBorder="1" applyAlignment="1">
      <alignment horizontal="left" vertical="center" shrinkToFit="1"/>
    </xf>
    <xf numFmtId="0" fontId="33" fillId="0" borderId="26" xfId="0" applyFont="1" applyBorder="1" applyAlignment="1" applyProtection="1">
      <alignment horizontal="left" vertical="center" shrinkToFit="1"/>
      <protection locked="0"/>
    </xf>
    <xf numFmtId="0" fontId="33" fillId="0" borderId="50" xfId="0" applyFont="1" applyBorder="1" applyAlignment="1" applyProtection="1">
      <alignment horizontal="left" vertical="center" shrinkToFit="1"/>
      <protection locked="0"/>
    </xf>
    <xf numFmtId="0" fontId="33" fillId="0" borderId="27" xfId="0" applyFont="1" applyBorder="1" applyAlignment="1" applyProtection="1">
      <alignment horizontal="left" vertical="center" shrinkToFit="1"/>
      <protection locked="0"/>
    </xf>
    <xf numFmtId="0" fontId="45" fillId="0" borderId="215" xfId="29" applyNumberFormat="1" applyFont="1" applyFill="1" applyBorder="1" applyAlignment="1" applyProtection="1">
      <alignment horizontal="center" vertical="center"/>
      <protection hidden="1"/>
    </xf>
    <xf numFmtId="0" fontId="45" fillId="0" borderId="216" xfId="29" applyNumberFormat="1" applyFont="1" applyFill="1" applyBorder="1" applyAlignment="1" applyProtection="1">
      <alignment horizontal="center" vertical="center"/>
      <protection hidden="1"/>
    </xf>
    <xf numFmtId="0" fontId="45" fillId="0" borderId="217" xfId="29" applyNumberFormat="1" applyFont="1" applyFill="1" applyBorder="1" applyAlignment="1" applyProtection="1">
      <alignment horizontal="center" vertical="center"/>
      <protection hidden="1"/>
    </xf>
    <xf numFmtId="0" fontId="36" fillId="0" borderId="0" xfId="0" applyFont="1" applyAlignment="1" applyProtection="1">
      <alignment horizontal="left" shrinkToFit="1"/>
      <protection hidden="1"/>
    </xf>
    <xf numFmtId="0" fontId="0" fillId="0" borderId="0" xfId="0" applyAlignment="1">
      <alignment shrinkToFit="1"/>
    </xf>
    <xf numFmtId="0" fontId="0" fillId="0" borderId="0" xfId="0" applyAlignment="1">
      <alignment horizontal="left" shrinkToFit="1"/>
    </xf>
    <xf numFmtId="0" fontId="29" fillId="0" borderId="65" xfId="0" applyFont="1" applyBorder="1" applyAlignment="1" applyProtection="1">
      <alignment horizontal="left" vertical="top" wrapText="1"/>
      <protection hidden="1"/>
    </xf>
    <xf numFmtId="0" fontId="29" fillId="29" borderId="66" xfId="0" applyFont="1" applyFill="1" applyBorder="1" applyAlignment="1" applyProtection="1">
      <alignment horizontal="left" vertical="top" wrapText="1"/>
      <protection hidden="1"/>
    </xf>
    <xf numFmtId="0" fontId="29" fillId="29" borderId="84" xfId="0" applyFont="1" applyFill="1" applyBorder="1" applyAlignment="1" applyProtection="1">
      <alignment horizontal="left" vertical="top" wrapText="1"/>
      <protection hidden="1"/>
    </xf>
    <xf numFmtId="0" fontId="29" fillId="0" borderId="83" xfId="0" applyFont="1" applyBorder="1" applyAlignment="1" applyProtection="1">
      <alignment horizontal="left" vertical="top" wrapText="1"/>
      <protection hidden="1"/>
    </xf>
    <xf numFmtId="0" fontId="29" fillId="29" borderId="67" xfId="0" applyFont="1" applyFill="1" applyBorder="1" applyAlignment="1" applyProtection="1">
      <alignment horizontal="left" vertical="top" wrapText="1"/>
      <protection hidden="1"/>
    </xf>
    <xf numFmtId="55" fontId="33" fillId="0" borderId="81" xfId="0" applyNumberFormat="1" applyFont="1" applyBorder="1" applyAlignment="1" applyProtection="1">
      <alignment horizontal="left" vertical="center"/>
      <protection hidden="1"/>
    </xf>
    <xf numFmtId="0" fontId="0" fillId="0" borderId="50" xfId="0" applyBorder="1">
      <alignment vertical="center"/>
    </xf>
    <xf numFmtId="0" fontId="29" fillId="0" borderId="77" xfId="0" applyFont="1" applyBorder="1" applyAlignment="1">
      <alignment horizontal="left" vertical="top" wrapText="1"/>
    </xf>
    <xf numFmtId="0" fontId="29" fillId="0" borderId="57" xfId="0" applyFont="1" applyBorder="1" applyAlignment="1">
      <alignment horizontal="left" vertical="top" wrapText="1"/>
    </xf>
    <xf numFmtId="0" fontId="29" fillId="0" borderId="58" xfId="0" applyFont="1" applyBorder="1" applyAlignment="1">
      <alignment horizontal="left" vertical="top" wrapText="1"/>
    </xf>
    <xf numFmtId="0" fontId="29" fillId="0" borderId="57" xfId="0" applyFont="1" applyBorder="1" applyAlignment="1" applyProtection="1">
      <alignment horizontal="left" vertical="top" wrapText="1"/>
      <protection hidden="1"/>
    </xf>
    <xf numFmtId="0" fontId="29" fillId="29" borderId="57" xfId="0" applyFont="1" applyFill="1" applyBorder="1" applyAlignment="1" applyProtection="1">
      <alignment horizontal="left" vertical="top" wrapText="1"/>
      <protection hidden="1"/>
    </xf>
    <xf numFmtId="0" fontId="29" fillId="29" borderId="79" xfId="0" applyFont="1" applyFill="1" applyBorder="1" applyAlignment="1" applyProtection="1">
      <alignment horizontal="left" vertical="top" wrapText="1"/>
      <protection hidden="1"/>
    </xf>
    <xf numFmtId="0" fontId="29" fillId="0" borderId="77" xfId="0" applyFont="1" applyBorder="1" applyAlignment="1" applyProtection="1">
      <alignment horizontal="left" vertical="top" wrapText="1"/>
      <protection hidden="1"/>
    </xf>
    <xf numFmtId="0" fontId="29" fillId="29" borderId="58" xfId="0" applyFont="1" applyFill="1" applyBorder="1" applyAlignment="1" applyProtection="1">
      <alignment horizontal="left" vertical="top" wrapText="1"/>
      <protection hidden="1"/>
    </xf>
    <xf numFmtId="0" fontId="67" fillId="0" borderId="62" xfId="0" applyFont="1" applyBorder="1" applyAlignment="1" applyProtection="1">
      <alignment horizontal="left" vertical="center" wrapText="1"/>
      <protection hidden="1"/>
    </xf>
    <xf numFmtId="0" fontId="67" fillId="0" borderId="0" xfId="0" applyFont="1" applyAlignment="1" applyProtection="1">
      <alignment horizontal="left" vertical="center" wrapText="1"/>
      <protection hidden="1"/>
    </xf>
    <xf numFmtId="0" fontId="67" fillId="0" borderId="63" xfId="0" applyFont="1" applyBorder="1" applyAlignment="1" applyProtection="1">
      <alignment horizontal="left" vertical="center" wrapText="1"/>
      <protection hidden="1"/>
    </xf>
    <xf numFmtId="0" fontId="67" fillId="0" borderId="65" xfId="0" applyFont="1" applyBorder="1" applyAlignment="1" applyProtection="1">
      <alignment horizontal="left" vertical="center" wrapText="1"/>
      <protection hidden="1"/>
    </xf>
    <xf numFmtId="0" fontId="67" fillId="0" borderId="66" xfId="0" applyFont="1" applyBorder="1" applyAlignment="1" applyProtection="1">
      <alignment horizontal="left" vertical="center" wrapText="1"/>
      <protection hidden="1"/>
    </xf>
    <xf numFmtId="0" fontId="67" fillId="0" borderId="67" xfId="0" applyFont="1" applyBorder="1" applyAlignment="1" applyProtection="1">
      <alignment horizontal="left" vertical="center" wrapText="1"/>
      <protection hidden="1"/>
    </xf>
    <xf numFmtId="0" fontId="29" fillId="0" borderId="56" xfId="0" applyFont="1" applyBorder="1" applyAlignment="1" applyProtection="1">
      <alignment horizontal="left" vertical="top" wrapText="1"/>
      <protection hidden="1"/>
    </xf>
    <xf numFmtId="182" fontId="28" fillId="0" borderId="62" xfId="0" applyNumberFormat="1" applyFont="1"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63" xfId="0" applyBorder="1" applyAlignment="1" applyProtection="1">
      <alignment horizontal="left" vertical="top" wrapText="1"/>
      <protection locked="0"/>
    </xf>
    <xf numFmtId="0" fontId="33" fillId="27" borderId="26" xfId="0" applyFont="1" applyFill="1" applyBorder="1" applyAlignment="1" applyProtection="1">
      <alignment vertical="center" shrinkToFit="1"/>
      <protection hidden="1"/>
    </xf>
    <xf numFmtId="0" fontId="0" fillId="0" borderId="82" xfId="0" applyBorder="1" applyAlignment="1">
      <alignment vertical="center" shrinkToFit="1"/>
    </xf>
    <xf numFmtId="0" fontId="33" fillId="27" borderId="50" xfId="0" applyFont="1" applyFill="1" applyBorder="1" applyAlignment="1" applyProtection="1">
      <alignment vertical="center" shrinkToFit="1"/>
      <protection hidden="1"/>
    </xf>
    <xf numFmtId="0" fontId="0" fillId="0" borderId="50" xfId="0" applyBorder="1" applyAlignment="1">
      <alignment vertical="center" shrinkToFit="1"/>
    </xf>
    <xf numFmtId="182" fontId="28" fillId="0" borderId="0" xfId="0" applyNumberFormat="1" applyFont="1" applyAlignment="1" applyProtection="1">
      <alignment horizontal="left" vertical="top" wrapText="1"/>
      <protection locked="0"/>
    </xf>
    <xf numFmtId="182" fontId="28" fillId="0" borderId="63" xfId="0" applyNumberFormat="1" applyFont="1" applyBorder="1" applyAlignment="1" applyProtection="1">
      <alignment horizontal="left" vertical="top" wrapText="1"/>
      <protection locked="0"/>
    </xf>
    <xf numFmtId="0" fontId="33" fillId="27" borderId="52" xfId="0" applyFont="1" applyFill="1" applyBorder="1" applyAlignment="1" applyProtection="1">
      <alignment horizontal="left" vertical="center" shrinkToFit="1"/>
      <protection hidden="1"/>
    </xf>
    <xf numFmtId="0" fontId="0" fillId="0" borderId="90" xfId="0" applyBorder="1" applyAlignment="1">
      <alignment vertical="center" shrinkToFit="1"/>
    </xf>
    <xf numFmtId="0" fontId="33" fillId="27" borderId="26" xfId="0" applyFont="1" applyFill="1" applyBorder="1" applyAlignment="1" applyProtection="1">
      <alignment horizontal="left" vertical="center" shrinkToFit="1"/>
      <protection hidden="1"/>
    </xf>
    <xf numFmtId="182" fontId="28" fillId="0" borderId="146" xfId="0" applyNumberFormat="1" applyFont="1" applyBorder="1" applyAlignment="1" applyProtection="1">
      <alignment horizontal="left" vertical="top" wrapText="1"/>
      <protection locked="0"/>
    </xf>
    <xf numFmtId="0" fontId="0" fillId="0" borderId="109" xfId="0" applyBorder="1" applyAlignment="1" applyProtection="1">
      <alignment horizontal="left" vertical="top" wrapText="1"/>
      <protection locked="0"/>
    </xf>
    <xf numFmtId="0" fontId="0" fillId="0" borderId="214" xfId="0" applyBorder="1" applyAlignment="1" applyProtection="1">
      <alignment horizontal="left" vertical="top" wrapText="1"/>
      <protection locked="0"/>
    </xf>
    <xf numFmtId="182" fontId="28" fillId="0" borderId="77" xfId="0" applyNumberFormat="1" applyFont="1" applyBorder="1" applyAlignment="1" applyProtection="1">
      <alignment horizontal="left" vertical="top" wrapText="1"/>
      <protection locked="0"/>
    </xf>
    <xf numFmtId="0" fontId="0" fillId="0" borderId="57" xfId="0" applyBorder="1" applyAlignment="1" applyProtection="1">
      <alignment horizontal="left" vertical="top" wrapText="1"/>
      <protection locked="0"/>
    </xf>
    <xf numFmtId="0" fontId="0" fillId="0" borderId="79" xfId="0" applyBorder="1" applyAlignment="1" applyProtection="1">
      <alignment horizontal="left" vertical="top" wrapText="1"/>
      <protection locked="0"/>
    </xf>
    <xf numFmtId="0" fontId="33" fillId="42" borderId="26" xfId="0" applyFont="1" applyFill="1" applyBorder="1" applyAlignment="1" applyProtection="1">
      <alignment vertical="center" shrinkToFit="1"/>
      <protection hidden="1"/>
    </xf>
    <xf numFmtId="0" fontId="0" fillId="48" borderId="82" xfId="0" applyFill="1" applyBorder="1" applyAlignment="1">
      <alignment vertical="center" shrinkToFit="1"/>
    </xf>
    <xf numFmtId="0" fontId="28" fillId="0" borderId="0" xfId="0" applyFont="1" applyAlignment="1" applyProtection="1">
      <alignment horizontal="left" vertical="center"/>
      <protection hidden="1"/>
    </xf>
    <xf numFmtId="0" fontId="0" fillId="0" borderId="0" xfId="0">
      <alignment vertical="center"/>
    </xf>
    <xf numFmtId="0" fontId="96" fillId="0" borderId="65" xfId="0" applyFont="1" applyBorder="1" applyAlignment="1" applyProtection="1">
      <alignment horizontal="left" vertical="center" shrinkToFit="1"/>
      <protection hidden="1"/>
    </xf>
    <xf numFmtId="0" fontId="96" fillId="0" borderId="66" xfId="0" applyFont="1" applyBorder="1" applyAlignment="1" applyProtection="1">
      <alignment horizontal="left" vertical="center" shrinkToFit="1"/>
      <protection hidden="1"/>
    </xf>
    <xf numFmtId="0" fontId="96" fillId="0" borderId="67" xfId="0" applyFont="1" applyBorder="1" applyAlignment="1" applyProtection="1">
      <alignment horizontal="left" vertical="center" shrinkToFit="1"/>
      <protection hidden="1"/>
    </xf>
    <xf numFmtId="0" fontId="63" fillId="37" borderId="69" xfId="0" applyFont="1" applyFill="1" applyBorder="1" applyAlignment="1" applyProtection="1">
      <alignment horizontal="center" vertical="center"/>
      <protection hidden="1"/>
    </xf>
    <xf numFmtId="0" fontId="63" fillId="37" borderId="71" xfId="0" applyFont="1" applyFill="1" applyBorder="1" applyAlignment="1" applyProtection="1">
      <alignment horizontal="center" vertical="center"/>
      <protection hidden="1"/>
    </xf>
    <xf numFmtId="0" fontId="28" fillId="27" borderId="52" xfId="0" applyFont="1" applyFill="1" applyBorder="1" applyAlignment="1" applyProtection="1">
      <alignment horizontal="center" vertical="center" wrapText="1"/>
      <protection hidden="1"/>
    </xf>
    <xf numFmtId="0" fontId="0" fillId="27" borderId="54" xfId="0" applyFill="1" applyBorder="1" applyAlignment="1">
      <alignment vertical="center" wrapText="1"/>
    </xf>
    <xf numFmtId="0" fontId="0" fillId="27" borderId="56" xfId="0" applyFill="1" applyBorder="1" applyAlignment="1">
      <alignment vertical="center" wrapText="1"/>
    </xf>
    <xf numFmtId="0" fontId="0" fillId="27" borderId="58" xfId="0" applyFill="1" applyBorder="1" applyAlignment="1">
      <alignment vertical="center" wrapText="1"/>
    </xf>
    <xf numFmtId="0" fontId="0" fillId="41" borderId="212" xfId="0" applyFill="1" applyBorder="1" applyAlignment="1" applyProtection="1">
      <alignment horizontal="left" vertical="top" wrapText="1"/>
      <protection locked="0"/>
    </xf>
    <xf numFmtId="0" fontId="0" fillId="41" borderId="213" xfId="0" applyFill="1" applyBorder="1" applyAlignment="1" applyProtection="1">
      <alignment horizontal="left" vertical="top" wrapText="1"/>
      <protection locked="0"/>
    </xf>
    <xf numFmtId="0" fontId="0" fillId="41" borderId="211" xfId="0" applyFill="1" applyBorder="1" applyAlignment="1" applyProtection="1">
      <alignment horizontal="left" vertical="top" wrapText="1"/>
      <protection locked="0"/>
    </xf>
    <xf numFmtId="0" fontId="0" fillId="41" borderId="26" xfId="0" applyFill="1" applyBorder="1" applyAlignment="1" applyProtection="1">
      <alignment horizontal="left" vertical="top" wrapText="1"/>
      <protection locked="0"/>
    </xf>
    <xf numFmtId="0" fontId="0" fillId="0" borderId="50" xfId="0" applyBorder="1" applyAlignment="1" applyProtection="1">
      <alignment horizontal="left" vertical="top" wrapText="1"/>
      <protection locked="0"/>
    </xf>
    <xf numFmtId="0" fontId="0" fillId="0" borderId="82" xfId="0" applyBorder="1" applyAlignment="1" applyProtection="1">
      <alignment horizontal="left" vertical="top" wrapText="1"/>
      <protection locked="0"/>
    </xf>
    <xf numFmtId="0" fontId="0" fillId="41" borderId="208" xfId="0" applyFill="1" applyBorder="1" applyAlignment="1" applyProtection="1">
      <alignment horizontal="left" vertical="top" wrapText="1"/>
      <protection locked="0"/>
    </xf>
    <xf numFmtId="0" fontId="0" fillId="0" borderId="209" xfId="0" applyBorder="1" applyAlignment="1" applyProtection="1">
      <alignment horizontal="left" vertical="top" wrapText="1"/>
      <protection locked="0"/>
    </xf>
    <xf numFmtId="0" fontId="0" fillId="0" borderId="210" xfId="0" applyBorder="1" applyAlignment="1" applyProtection="1">
      <alignment horizontal="left" vertical="top" wrapText="1"/>
      <protection locked="0"/>
    </xf>
    <xf numFmtId="0" fontId="0" fillId="41" borderId="190" xfId="0" applyFill="1" applyBorder="1" applyAlignment="1" applyProtection="1">
      <alignment horizontal="left" vertical="top" wrapText="1"/>
      <protection locked="0"/>
    </xf>
    <xf numFmtId="0" fontId="0" fillId="41" borderId="191" xfId="0" applyFill="1" applyBorder="1" applyAlignment="1" applyProtection="1">
      <alignment horizontal="left" vertical="top" wrapText="1"/>
      <protection locked="0"/>
    </xf>
    <xf numFmtId="0" fontId="0" fillId="41" borderId="207" xfId="0" applyFill="1" applyBorder="1" applyAlignment="1" applyProtection="1">
      <alignment horizontal="left" vertical="top" wrapText="1"/>
      <protection locked="0"/>
    </xf>
    <xf numFmtId="0" fontId="6" fillId="27" borderId="0" xfId="0" applyFont="1" applyFill="1" applyAlignment="1">
      <alignment horizontal="left" vertical="top" wrapText="1"/>
    </xf>
    <xf numFmtId="181" fontId="28" fillId="27" borderId="169" xfId="0" applyNumberFormat="1" applyFont="1" applyFill="1" applyBorder="1" applyAlignment="1" applyProtection="1">
      <alignment horizontal="left" vertical="center" wrapText="1"/>
      <protection hidden="1"/>
    </xf>
    <xf numFmtId="0" fontId="0" fillId="0" borderId="171" xfId="0" applyBorder="1" applyAlignment="1">
      <alignment horizontal="left" vertical="center" wrapText="1"/>
    </xf>
    <xf numFmtId="0" fontId="0" fillId="0" borderId="170" xfId="0" applyBorder="1" applyAlignment="1">
      <alignment horizontal="left" vertical="center" wrapText="1"/>
    </xf>
    <xf numFmtId="181" fontId="28" fillId="27" borderId="12" xfId="0" applyNumberFormat="1" applyFont="1" applyFill="1" applyBorder="1" applyAlignment="1" applyProtection="1">
      <alignment horizontal="left" vertical="center" wrapText="1"/>
      <protection hidden="1"/>
    </xf>
    <xf numFmtId="181" fontId="28" fillId="27" borderId="13" xfId="0" applyNumberFormat="1" applyFont="1" applyFill="1" applyBorder="1" applyAlignment="1" applyProtection="1">
      <alignment horizontal="left" vertical="center" wrapText="1"/>
      <protection hidden="1"/>
    </xf>
    <xf numFmtId="181" fontId="28" fillId="27" borderId="14" xfId="0" applyNumberFormat="1" applyFont="1" applyFill="1" applyBorder="1" applyAlignment="1" applyProtection="1">
      <alignment horizontal="left" vertical="center" wrapText="1"/>
      <protection hidden="1"/>
    </xf>
    <xf numFmtId="181" fontId="28" fillId="27" borderId="170" xfId="0" applyNumberFormat="1" applyFont="1" applyFill="1" applyBorder="1" applyAlignment="1" applyProtection="1">
      <alignment horizontal="left" vertical="center" wrapText="1"/>
      <protection hidden="1"/>
    </xf>
    <xf numFmtId="181" fontId="28" fillId="27" borderId="164" xfId="0" applyNumberFormat="1" applyFont="1" applyFill="1" applyBorder="1" applyAlignment="1" applyProtection="1">
      <alignment horizontal="left" vertical="center" wrapText="1"/>
      <protection hidden="1"/>
    </xf>
    <xf numFmtId="181" fontId="28" fillId="27" borderId="166" xfId="0" applyNumberFormat="1" applyFont="1" applyFill="1" applyBorder="1" applyAlignment="1" applyProtection="1">
      <alignment horizontal="left" vertical="center" wrapText="1"/>
      <protection hidden="1"/>
    </xf>
    <xf numFmtId="0" fontId="6" fillId="38" borderId="166" xfId="0" applyFont="1" applyFill="1" applyBorder="1" applyAlignment="1">
      <alignment horizontal="left" vertical="center" wrapText="1"/>
    </xf>
    <xf numFmtId="0" fontId="6" fillId="38" borderId="14" xfId="0" applyFont="1" applyFill="1" applyBorder="1" applyAlignment="1">
      <alignment horizontal="left" vertical="center" wrapText="1"/>
    </xf>
    <xf numFmtId="181" fontId="28" fillId="42" borderId="12" xfId="0" applyNumberFormat="1" applyFont="1" applyFill="1" applyBorder="1" applyAlignment="1" applyProtection="1">
      <alignment horizontal="left" vertical="center" wrapText="1"/>
      <protection hidden="1"/>
    </xf>
    <xf numFmtId="181" fontId="28" fillId="42" borderId="14" xfId="0" applyNumberFormat="1" applyFont="1" applyFill="1" applyBorder="1" applyAlignment="1" applyProtection="1">
      <alignment horizontal="left" vertical="center" wrapText="1"/>
      <protection hidden="1"/>
    </xf>
    <xf numFmtId="0" fontId="6" fillId="48" borderId="14" xfId="0" applyFont="1" applyFill="1" applyBorder="1" applyAlignment="1">
      <alignment horizontal="left" vertical="center" wrapText="1"/>
    </xf>
    <xf numFmtId="181" fontId="28" fillId="42" borderId="164" xfId="0" applyNumberFormat="1" applyFont="1" applyFill="1" applyBorder="1" applyAlignment="1" applyProtection="1">
      <alignment horizontal="left" vertical="center" wrapText="1"/>
      <protection hidden="1"/>
    </xf>
    <xf numFmtId="181" fontId="28" fillId="42" borderId="166" xfId="0" applyNumberFormat="1" applyFont="1" applyFill="1" applyBorder="1" applyAlignment="1" applyProtection="1">
      <alignment horizontal="left" vertical="center" wrapText="1"/>
      <protection hidden="1"/>
    </xf>
    <xf numFmtId="0" fontId="6" fillId="48" borderId="166" xfId="0" applyFont="1" applyFill="1" applyBorder="1" applyAlignment="1">
      <alignment horizontal="left" vertical="center" wrapText="1"/>
    </xf>
    <xf numFmtId="181" fontId="28" fillId="42" borderId="12" xfId="0" applyNumberFormat="1" applyFont="1" applyFill="1" applyBorder="1" applyAlignment="1" applyProtection="1">
      <alignment vertical="center" wrapText="1"/>
      <protection hidden="1"/>
    </xf>
    <xf numFmtId="0" fontId="6" fillId="48" borderId="14" xfId="0" applyFont="1" applyFill="1" applyBorder="1" applyAlignment="1">
      <alignment vertical="center" wrapText="1"/>
    </xf>
    <xf numFmtId="0" fontId="6" fillId="38" borderId="170" xfId="0" applyFont="1" applyFill="1" applyBorder="1" applyAlignment="1">
      <alignment horizontal="left" vertical="center"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0" fillId="0" borderId="165" xfId="0" applyBorder="1" applyAlignment="1">
      <alignment horizontal="left" vertical="center" wrapText="1"/>
    </xf>
    <xf numFmtId="0" fontId="0" fillId="0" borderId="166" xfId="0" applyBorder="1" applyAlignment="1">
      <alignment horizontal="left" vertical="center" wrapText="1"/>
    </xf>
    <xf numFmtId="0" fontId="28" fillId="27" borderId="164" xfId="0" applyFont="1" applyFill="1" applyBorder="1" applyAlignment="1">
      <alignment horizontal="left" vertical="center" wrapText="1"/>
    </xf>
    <xf numFmtId="0" fontId="28" fillId="27" borderId="166" xfId="0" applyFont="1" applyFill="1" applyBorder="1" applyAlignment="1">
      <alignment horizontal="left" vertical="center" wrapText="1"/>
    </xf>
    <xf numFmtId="0" fontId="28" fillId="27" borderId="12" xfId="0" applyFont="1" applyFill="1" applyBorder="1" applyAlignment="1">
      <alignment horizontal="left" vertical="center" wrapText="1"/>
    </xf>
    <xf numFmtId="0" fontId="0" fillId="38" borderId="14" xfId="0" applyFill="1" applyBorder="1" applyAlignment="1">
      <alignment horizontal="left" vertical="center" wrapText="1"/>
    </xf>
    <xf numFmtId="0" fontId="6" fillId="38" borderId="13" xfId="0" applyFont="1" applyFill="1" applyBorder="1" applyAlignment="1">
      <alignment horizontal="left" vertical="center" wrapText="1"/>
    </xf>
    <xf numFmtId="0" fontId="6" fillId="38" borderId="171" xfId="0" applyFont="1" applyFill="1" applyBorder="1" applyAlignment="1">
      <alignment horizontal="left" vertical="center" wrapText="1"/>
    </xf>
    <xf numFmtId="181" fontId="28" fillId="27" borderId="169" xfId="0" applyNumberFormat="1" applyFont="1" applyFill="1" applyBorder="1" applyAlignment="1" applyProtection="1">
      <alignment vertical="center" wrapText="1"/>
      <protection hidden="1"/>
    </xf>
    <xf numFmtId="0" fontId="6" fillId="38" borderId="171" xfId="0" applyFont="1" applyFill="1" applyBorder="1" applyAlignment="1">
      <alignment vertical="center" wrapText="1"/>
    </xf>
    <xf numFmtId="0" fontId="6" fillId="38" borderId="170" xfId="0" applyFont="1" applyFill="1" applyBorder="1" applyAlignment="1">
      <alignment vertical="center" wrapText="1"/>
    </xf>
    <xf numFmtId="181" fontId="28" fillId="27" borderId="165" xfId="0" applyNumberFormat="1" applyFont="1" applyFill="1" applyBorder="1" applyAlignment="1" applyProtection="1">
      <alignment horizontal="left" vertical="center" wrapText="1"/>
      <protection hidden="1"/>
    </xf>
    <xf numFmtId="181" fontId="28" fillId="27" borderId="12" xfId="0" applyNumberFormat="1" applyFont="1" applyFill="1" applyBorder="1" applyAlignment="1" applyProtection="1">
      <alignment vertical="center" wrapText="1"/>
      <protection hidden="1"/>
    </xf>
    <xf numFmtId="0" fontId="6" fillId="38" borderId="13" xfId="0" applyFont="1" applyFill="1" applyBorder="1" applyAlignment="1">
      <alignment vertical="center" wrapText="1"/>
    </xf>
    <xf numFmtId="0" fontId="6" fillId="38" borderId="14" xfId="0" applyFont="1" applyFill="1" applyBorder="1" applyAlignment="1">
      <alignment vertical="center" wrapText="1"/>
    </xf>
    <xf numFmtId="181" fontId="28" fillId="27" borderId="56" xfId="0" applyNumberFormat="1" applyFont="1" applyFill="1" applyBorder="1" applyAlignment="1" applyProtection="1">
      <alignment horizontal="left" vertical="center" wrapText="1"/>
      <protection hidden="1"/>
    </xf>
    <xf numFmtId="181" fontId="28" fillId="27" borderId="58" xfId="0" applyNumberFormat="1" applyFont="1" applyFill="1" applyBorder="1" applyAlignment="1" applyProtection="1">
      <alignment horizontal="left" vertical="center" wrapText="1"/>
      <protection hidden="1"/>
    </xf>
    <xf numFmtId="0" fontId="0" fillId="38" borderId="13" xfId="0" applyFill="1" applyBorder="1">
      <alignment vertical="center"/>
    </xf>
    <xf numFmtId="0" fontId="0" fillId="38" borderId="14" xfId="0" applyFill="1" applyBorder="1">
      <alignment vertical="center"/>
    </xf>
    <xf numFmtId="181" fontId="28" fillId="42" borderId="169" xfId="0" applyNumberFormat="1" applyFont="1" applyFill="1" applyBorder="1" applyAlignment="1" applyProtection="1">
      <alignment horizontal="left" vertical="center" wrapText="1"/>
      <protection hidden="1"/>
    </xf>
    <xf numFmtId="0" fontId="6" fillId="48" borderId="170" xfId="0" applyFont="1" applyFill="1" applyBorder="1" applyAlignment="1">
      <alignment horizontal="left" vertical="center" wrapText="1"/>
    </xf>
    <xf numFmtId="0" fontId="6" fillId="48" borderId="14" xfId="0" applyFont="1" applyFill="1" applyBorder="1">
      <alignment vertical="center"/>
    </xf>
    <xf numFmtId="181" fontId="28" fillId="42" borderId="13" xfId="0" applyNumberFormat="1" applyFont="1" applyFill="1" applyBorder="1" applyAlignment="1" applyProtection="1">
      <alignment horizontal="left" vertical="center" wrapText="1"/>
      <protection hidden="1"/>
    </xf>
    <xf numFmtId="181" fontId="28" fillId="27" borderId="52" xfId="0" applyNumberFormat="1" applyFont="1" applyFill="1" applyBorder="1" applyAlignment="1" applyProtection="1">
      <alignment horizontal="left" vertical="center" wrapText="1"/>
      <protection hidden="1"/>
    </xf>
    <xf numFmtId="181" fontId="28" fillId="27" borderId="54" xfId="0" applyNumberFormat="1" applyFont="1" applyFill="1" applyBorder="1" applyAlignment="1" applyProtection="1">
      <alignment horizontal="left" vertical="center" wrapText="1"/>
      <protection hidden="1"/>
    </xf>
    <xf numFmtId="0" fontId="20" fillId="38" borderId="14" xfId="0" applyFont="1" applyFill="1" applyBorder="1">
      <alignment vertical="center"/>
    </xf>
    <xf numFmtId="0" fontId="20" fillId="38" borderId="170" xfId="0" applyFont="1" applyFill="1" applyBorder="1" applyAlignment="1">
      <alignment horizontal="left" vertical="center" wrapText="1"/>
    </xf>
    <xf numFmtId="0" fontId="20" fillId="38" borderId="171" xfId="0" applyFont="1" applyFill="1" applyBorder="1" applyAlignment="1">
      <alignment vertical="center" wrapText="1"/>
    </xf>
    <xf numFmtId="0" fontId="20" fillId="38" borderId="170" xfId="0" applyFont="1" applyFill="1" applyBorder="1" applyAlignment="1">
      <alignment vertical="center" wrapText="1"/>
    </xf>
    <xf numFmtId="0" fontId="20" fillId="38" borderId="13" xfId="0" applyFont="1" applyFill="1" applyBorder="1" applyAlignment="1">
      <alignment vertical="center" wrapText="1"/>
    </xf>
    <xf numFmtId="0" fontId="20" fillId="38" borderId="14" xfId="0" applyFont="1" applyFill="1" applyBorder="1" applyAlignment="1">
      <alignment vertical="center" wrapText="1"/>
    </xf>
    <xf numFmtId="181" fontId="118" fillId="27" borderId="165" xfId="0" applyNumberFormat="1" applyFont="1" applyFill="1" applyBorder="1" applyAlignment="1" applyProtection="1">
      <alignment horizontal="left" vertical="center" wrapText="1"/>
      <protection hidden="1"/>
    </xf>
    <xf numFmtId="181" fontId="118" fillId="27" borderId="166" xfId="0" applyNumberFormat="1" applyFont="1" applyFill="1" applyBorder="1" applyAlignment="1" applyProtection="1">
      <alignment horizontal="left" vertical="center" wrapText="1"/>
      <protection hidden="1"/>
    </xf>
    <xf numFmtId="181" fontId="37" fillId="27" borderId="15" xfId="0" applyNumberFormat="1" applyFont="1" applyFill="1" applyBorder="1" applyAlignment="1" applyProtection="1">
      <alignment horizontal="left" vertical="center" wrapText="1"/>
      <protection hidden="1"/>
    </xf>
    <xf numFmtId="181" fontId="28" fillId="27" borderId="171" xfId="0" applyNumberFormat="1" applyFont="1" applyFill="1" applyBorder="1" applyAlignment="1" applyProtection="1">
      <alignment horizontal="left" vertical="center" wrapText="1"/>
      <protection hidden="1"/>
    </xf>
    <xf numFmtId="181" fontId="28" fillId="31" borderId="80" xfId="0" applyNumberFormat="1" applyFont="1" applyFill="1" applyBorder="1" applyAlignment="1" applyProtection="1">
      <alignment horizontal="center" vertical="center" wrapText="1"/>
      <protection hidden="1"/>
    </xf>
    <xf numFmtId="181" fontId="28" fillId="31" borderId="27" xfId="0" applyNumberFormat="1" applyFont="1" applyFill="1" applyBorder="1" applyAlignment="1" applyProtection="1">
      <alignment horizontal="center" vertical="center" wrapText="1"/>
      <protection hidden="1"/>
    </xf>
    <xf numFmtId="203" fontId="26" fillId="31" borderId="92" xfId="0" applyNumberFormat="1" applyFont="1" applyFill="1" applyBorder="1" applyAlignment="1" applyProtection="1">
      <alignment horizontal="center" vertical="center"/>
      <protection locked="0" hidden="1"/>
    </xf>
    <xf numFmtId="203" fontId="26" fillId="31" borderId="115" xfId="0" applyNumberFormat="1" applyFont="1" applyFill="1" applyBorder="1" applyAlignment="1" applyProtection="1">
      <alignment horizontal="center" vertical="center"/>
      <protection locked="0" hidden="1"/>
    </xf>
    <xf numFmtId="181" fontId="28" fillId="27" borderId="12" xfId="0" applyNumberFormat="1" applyFont="1" applyFill="1" applyBorder="1" applyAlignment="1" applyProtection="1">
      <alignment vertical="center" shrinkToFit="1"/>
      <protection hidden="1"/>
    </xf>
    <xf numFmtId="0" fontId="6" fillId="38" borderId="13" xfId="0" applyFont="1" applyFill="1" applyBorder="1" applyAlignment="1">
      <alignment vertical="center" shrinkToFit="1"/>
    </xf>
    <xf numFmtId="0" fontId="6" fillId="38" borderId="14" xfId="0" applyFont="1" applyFill="1" applyBorder="1" applyAlignment="1">
      <alignment vertical="center" shrinkToFit="1"/>
    </xf>
    <xf numFmtId="181" fontId="28" fillId="42" borderId="170" xfId="0" applyNumberFormat="1" applyFont="1" applyFill="1" applyBorder="1" applyAlignment="1" applyProtection="1">
      <alignment horizontal="left" vertical="center" wrapText="1"/>
      <protection hidden="1"/>
    </xf>
    <xf numFmtId="0" fontId="6" fillId="38" borderId="165" xfId="0" applyFont="1" applyFill="1" applyBorder="1" applyAlignment="1">
      <alignment horizontal="left" vertical="center" wrapText="1"/>
    </xf>
    <xf numFmtId="181" fontId="28" fillId="31" borderId="10" xfId="0" applyNumberFormat="1" applyFont="1" applyFill="1" applyBorder="1" applyAlignment="1" applyProtection="1">
      <alignment horizontal="center" vertical="center" wrapText="1"/>
      <protection hidden="1"/>
    </xf>
    <xf numFmtId="181" fontId="28" fillId="27" borderId="169" xfId="0" applyNumberFormat="1" applyFont="1" applyFill="1" applyBorder="1" applyAlignment="1" applyProtection="1">
      <alignment horizontal="left" vertical="center" shrinkToFit="1"/>
      <protection hidden="1"/>
    </xf>
    <xf numFmtId="0" fontId="6" fillId="38" borderId="171" xfId="0" applyFont="1" applyFill="1" applyBorder="1" applyAlignment="1">
      <alignment horizontal="left" vertical="center" shrinkToFit="1"/>
    </xf>
    <xf numFmtId="0" fontId="6" fillId="38" borderId="170" xfId="0" applyFont="1" applyFill="1" applyBorder="1" applyAlignment="1">
      <alignment horizontal="left" vertical="center" shrinkToFit="1"/>
    </xf>
    <xf numFmtId="0" fontId="37" fillId="27" borderId="183" xfId="0" applyFont="1" applyFill="1" applyBorder="1" applyAlignment="1" applyProtection="1">
      <alignment horizontal="left" vertical="center" wrapText="1"/>
      <protection hidden="1"/>
    </xf>
    <xf numFmtId="0" fontId="37" fillId="38" borderId="14" xfId="0" applyFont="1" applyFill="1" applyBorder="1" applyAlignment="1">
      <alignment horizontal="left" vertical="center" wrapText="1"/>
    </xf>
    <xf numFmtId="0" fontId="37" fillId="27" borderId="218" xfId="0" applyFont="1" applyFill="1" applyBorder="1" applyAlignment="1" applyProtection="1">
      <alignment horizontal="left" vertical="center" wrapText="1"/>
      <protection hidden="1"/>
    </xf>
    <xf numFmtId="0" fontId="37" fillId="38" borderId="170" xfId="0" applyFont="1" applyFill="1" applyBorder="1" applyAlignment="1">
      <alignment horizontal="left" vertical="center" wrapText="1"/>
    </xf>
    <xf numFmtId="0" fontId="37" fillId="27" borderId="219" xfId="0" applyFont="1" applyFill="1" applyBorder="1" applyAlignment="1" applyProtection="1">
      <alignment horizontal="left" vertical="center" wrapText="1"/>
      <protection hidden="1"/>
    </xf>
    <xf numFmtId="0" fontId="37" fillId="38" borderId="166" xfId="0" applyFont="1" applyFill="1" applyBorder="1" applyAlignment="1">
      <alignment horizontal="left" vertical="center" wrapText="1"/>
    </xf>
    <xf numFmtId="0" fontId="6" fillId="0" borderId="171" xfId="0" applyFont="1" applyBorder="1" applyAlignment="1">
      <alignment horizontal="left" vertical="center" wrapText="1"/>
    </xf>
    <xf numFmtId="0" fontId="6" fillId="0" borderId="170" xfId="0" applyFont="1" applyBorder="1" applyAlignment="1">
      <alignment horizontal="left" vertical="center" wrapText="1"/>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6" fillId="0" borderId="171" xfId="0" applyFont="1" applyBorder="1" applyAlignment="1">
      <alignment vertical="center" wrapText="1"/>
    </xf>
    <xf numFmtId="0" fontId="6" fillId="0" borderId="170" xfId="0" applyFont="1" applyBorder="1" applyAlignment="1">
      <alignment vertical="center" wrapText="1"/>
    </xf>
    <xf numFmtId="0" fontId="37" fillId="27" borderId="26" xfId="0" applyFont="1" applyFill="1" applyBorder="1" applyAlignment="1" applyProtection="1">
      <alignment horizontal="left" vertical="center" wrapText="1"/>
      <protection hidden="1"/>
    </xf>
    <xf numFmtId="0" fontId="6" fillId="38" borderId="27" xfId="0" applyFont="1" applyFill="1" applyBorder="1" applyAlignment="1">
      <alignment horizontal="left" vertical="center" wrapText="1"/>
    </xf>
    <xf numFmtId="201" fontId="26" fillId="31" borderId="15" xfId="0" applyNumberFormat="1" applyFont="1" applyFill="1" applyBorder="1" applyAlignment="1" applyProtection="1">
      <alignment horizontal="center" vertical="center"/>
      <protection hidden="1"/>
    </xf>
    <xf numFmtId="0" fontId="37" fillId="27" borderId="80" xfId="0" applyFont="1" applyFill="1" applyBorder="1" applyAlignment="1" applyProtection="1">
      <alignment horizontal="left" vertical="center" wrapText="1"/>
      <protection hidden="1"/>
    </xf>
    <xf numFmtId="0" fontId="37" fillId="27" borderId="27" xfId="0" applyFont="1" applyFill="1" applyBorder="1" applyAlignment="1" applyProtection="1">
      <alignment horizontal="left" vertical="center" wrapText="1"/>
      <protection hidden="1"/>
    </xf>
    <xf numFmtId="0" fontId="37" fillId="27" borderId="50" xfId="0" applyFont="1" applyFill="1" applyBorder="1" applyAlignment="1" applyProtection="1">
      <alignment horizontal="left" vertical="center" wrapText="1"/>
      <protection hidden="1"/>
    </xf>
    <xf numFmtId="0" fontId="6" fillId="27" borderId="27" xfId="0" applyFont="1" applyFill="1" applyBorder="1" applyAlignment="1">
      <alignment horizontal="left" vertical="center" wrapText="1"/>
    </xf>
    <xf numFmtId="0" fontId="28" fillId="27" borderId="51" xfId="0" applyFont="1" applyFill="1" applyBorder="1" applyAlignment="1">
      <alignment horizontal="left" vertical="top" wrapText="1"/>
    </xf>
    <xf numFmtId="0" fontId="28" fillId="27" borderId="55" xfId="0" applyFont="1" applyFill="1" applyBorder="1" applyAlignment="1">
      <alignment horizontal="left" vertical="top" wrapText="1"/>
    </xf>
    <xf numFmtId="0" fontId="28" fillId="27" borderId="15" xfId="0" applyFont="1" applyFill="1" applyBorder="1" applyAlignment="1">
      <alignment horizontal="left" vertical="center"/>
    </xf>
    <xf numFmtId="0" fontId="28" fillId="27" borderId="55" xfId="0" applyFont="1" applyFill="1" applyBorder="1" applyAlignment="1">
      <alignment horizontal="left" vertical="center"/>
    </xf>
    <xf numFmtId="181" fontId="28" fillId="31" borderId="26" xfId="0" applyNumberFormat="1" applyFont="1" applyFill="1" applyBorder="1" applyAlignment="1" applyProtection="1">
      <alignment horizontal="center" vertical="center"/>
      <protection hidden="1"/>
    </xf>
    <xf numFmtId="181" fontId="28" fillId="31" borderId="27" xfId="0" applyNumberFormat="1" applyFont="1" applyFill="1" applyBorder="1" applyAlignment="1" applyProtection="1">
      <alignment horizontal="center" vertical="center"/>
      <protection hidden="1"/>
    </xf>
    <xf numFmtId="181" fontId="28" fillId="31" borderId="26" xfId="0" applyNumberFormat="1" applyFont="1" applyFill="1" applyBorder="1" applyAlignment="1" applyProtection="1">
      <alignment horizontal="center" vertical="center" shrinkToFit="1"/>
      <protection hidden="1"/>
    </xf>
    <xf numFmtId="0" fontId="6" fillId="0" borderId="82" xfId="0" applyFont="1" applyBorder="1" applyAlignment="1">
      <alignment horizontal="center" vertical="center" shrinkToFit="1"/>
    </xf>
    <xf numFmtId="0" fontId="37" fillId="31" borderId="68" xfId="0" applyFont="1" applyFill="1" applyBorder="1" applyAlignment="1" applyProtection="1">
      <alignment horizontal="center" vertical="center" wrapText="1"/>
      <protection locked="0" hidden="1"/>
    </xf>
    <xf numFmtId="0" fontId="0" fillId="0" borderId="69" xfId="0" applyBorder="1" applyAlignment="1" applyProtection="1">
      <alignment horizontal="center" vertical="center" wrapText="1"/>
      <protection locked="0" hidden="1"/>
    </xf>
    <xf numFmtId="0" fontId="0" fillId="0" borderId="71" xfId="0" applyBorder="1" applyAlignment="1" applyProtection="1">
      <alignment horizontal="center" vertical="center" wrapText="1"/>
      <protection locked="0" hidden="1"/>
    </xf>
    <xf numFmtId="195" fontId="45" fillId="27" borderId="50" xfId="0" applyNumberFormat="1" applyFont="1" applyFill="1" applyBorder="1" applyAlignment="1" applyProtection="1">
      <alignment horizontal="center" vertical="center" wrapText="1"/>
      <protection hidden="1"/>
    </xf>
    <xf numFmtId="0" fontId="28" fillId="27" borderId="26" xfId="0" applyFont="1" applyFill="1" applyBorder="1" applyAlignment="1" applyProtection="1">
      <alignment horizontal="left" vertical="center" wrapText="1"/>
      <protection hidden="1"/>
    </xf>
    <xf numFmtId="0" fontId="28" fillId="27" borderId="50" xfId="0" applyFont="1" applyFill="1" applyBorder="1" applyAlignment="1" applyProtection="1">
      <alignment horizontal="left" vertical="center" wrapText="1"/>
      <protection hidden="1"/>
    </xf>
    <xf numFmtId="0" fontId="28" fillId="27" borderId="27" xfId="0" applyFont="1" applyFill="1" applyBorder="1" applyAlignment="1" applyProtection="1">
      <alignment horizontal="left" vertical="center" wrapText="1"/>
      <protection hidden="1"/>
    </xf>
    <xf numFmtId="0" fontId="28" fillId="27" borderId="52" xfId="0" applyFont="1" applyFill="1" applyBorder="1" applyAlignment="1" applyProtection="1">
      <alignment horizontal="left" vertical="center"/>
      <protection hidden="1"/>
    </xf>
    <xf numFmtId="0" fontId="28" fillId="27" borderId="54" xfId="0" applyFont="1" applyFill="1" applyBorder="1" applyAlignment="1" applyProtection="1">
      <alignment horizontal="left" vertical="center"/>
      <protection hidden="1"/>
    </xf>
    <xf numFmtId="0" fontId="0" fillId="0" borderId="50" xfId="0" applyBorder="1" applyAlignment="1">
      <alignment horizontal="left" vertical="center" wrapText="1"/>
    </xf>
    <xf numFmtId="0" fontId="0" fillId="0" borderId="27" xfId="0" applyBorder="1" applyAlignment="1">
      <alignment horizontal="left" vertical="center" wrapText="1"/>
    </xf>
    <xf numFmtId="0" fontId="6" fillId="38" borderId="165" xfId="0" applyFont="1" applyFill="1" applyBorder="1" applyAlignment="1">
      <alignment vertical="center" wrapText="1"/>
    </xf>
    <xf numFmtId="0" fontId="6" fillId="38" borderId="166" xfId="0" applyFont="1" applyFill="1" applyBorder="1" applyAlignment="1">
      <alignment vertical="center" wrapText="1"/>
    </xf>
    <xf numFmtId="181" fontId="28" fillId="27" borderId="169" xfId="0" applyNumberFormat="1" applyFont="1" applyFill="1" applyBorder="1" applyAlignment="1" applyProtection="1">
      <alignment horizontal="left" vertical="center"/>
      <protection hidden="1"/>
    </xf>
    <xf numFmtId="0" fontId="6" fillId="38" borderId="171" xfId="0" applyFont="1" applyFill="1" applyBorder="1" applyAlignment="1">
      <alignment horizontal="left" vertical="center"/>
    </xf>
    <xf numFmtId="181" fontId="28" fillId="27" borderId="171" xfId="0" applyNumberFormat="1" applyFont="1" applyFill="1" applyBorder="1" applyAlignment="1" applyProtection="1">
      <alignment horizontal="left" vertical="center"/>
      <protection hidden="1"/>
    </xf>
    <xf numFmtId="0" fontId="6" fillId="38" borderId="170" xfId="0" applyFont="1" applyFill="1" applyBorder="1" applyAlignment="1">
      <alignment horizontal="left" vertical="center"/>
    </xf>
    <xf numFmtId="0" fontId="28" fillId="27" borderId="185" xfId="0" applyFont="1" applyFill="1" applyBorder="1" applyAlignment="1" applyProtection="1">
      <alignment horizontal="left" vertical="center" wrapText="1"/>
      <protection hidden="1"/>
    </xf>
    <xf numFmtId="0" fontId="6" fillId="38" borderId="13" xfId="0" applyFont="1" applyFill="1" applyBorder="1">
      <alignment vertical="center"/>
    </xf>
    <xf numFmtId="0" fontId="6" fillId="38" borderId="14" xfId="0" applyFont="1" applyFill="1" applyBorder="1">
      <alignment vertical="center"/>
    </xf>
    <xf numFmtId="0" fontId="6" fillId="0" borderId="27" xfId="0" applyFont="1" applyBorder="1" applyAlignment="1">
      <alignment horizontal="center" vertical="center" shrinkToFit="1"/>
    </xf>
    <xf numFmtId="181" fontId="28" fillId="27" borderId="26" xfId="0" applyNumberFormat="1" applyFont="1" applyFill="1" applyBorder="1" applyAlignment="1" applyProtection="1">
      <alignment horizontal="center" vertical="top" shrinkToFit="1"/>
      <protection hidden="1"/>
    </xf>
    <xf numFmtId="181" fontId="28" fillId="27" borderId="165" xfId="0" applyNumberFormat="1" applyFont="1" applyFill="1" applyBorder="1" applyAlignment="1" applyProtection="1">
      <alignment horizontal="left" vertical="center"/>
      <protection hidden="1"/>
    </xf>
    <xf numFmtId="0" fontId="6" fillId="38" borderId="166" xfId="0" applyFont="1" applyFill="1" applyBorder="1" applyAlignment="1">
      <alignment horizontal="left" vertical="center"/>
    </xf>
    <xf numFmtId="181" fontId="28" fillId="27" borderId="164" xfId="0" applyNumberFormat="1" applyFont="1" applyFill="1" applyBorder="1" applyAlignment="1" applyProtection="1">
      <alignment horizontal="left" vertical="center"/>
      <protection hidden="1"/>
    </xf>
    <xf numFmtId="0" fontId="28" fillId="27" borderId="186" xfId="0" applyFont="1" applyFill="1" applyBorder="1" applyAlignment="1" applyProtection="1">
      <alignment horizontal="left" vertical="center" wrapText="1"/>
      <protection hidden="1"/>
    </xf>
    <xf numFmtId="0" fontId="6" fillId="38" borderId="171" xfId="0" applyFont="1" applyFill="1" applyBorder="1">
      <alignment vertical="center"/>
    </xf>
    <xf numFmtId="0" fontId="6" fillId="38" borderId="170" xfId="0" applyFont="1" applyFill="1" applyBorder="1">
      <alignment vertical="center"/>
    </xf>
    <xf numFmtId="0" fontId="28" fillId="27" borderId="77" xfId="0" applyFont="1" applyFill="1" applyBorder="1" applyAlignment="1" applyProtection="1">
      <alignment horizontal="left" vertical="center" wrapText="1"/>
      <protection hidden="1"/>
    </xf>
    <xf numFmtId="0" fontId="6" fillId="38" borderId="57" xfId="0" applyFont="1" applyFill="1" applyBorder="1">
      <alignment vertical="center"/>
    </xf>
    <xf numFmtId="0" fontId="6" fillId="38" borderId="58" xfId="0" applyFont="1" applyFill="1" applyBorder="1">
      <alignment vertical="center"/>
    </xf>
    <xf numFmtId="206" fontId="23" fillId="27" borderId="188" xfId="0" applyNumberFormat="1" applyFont="1" applyFill="1" applyBorder="1" applyAlignment="1" applyProtection="1">
      <alignment horizontal="center" vertical="center"/>
      <protection locked="0" hidden="1"/>
    </xf>
    <xf numFmtId="0" fontId="0" fillId="38" borderId="115" xfId="0" applyFill="1" applyBorder="1" applyAlignment="1">
      <alignment horizontal="center" vertical="center"/>
    </xf>
    <xf numFmtId="0" fontId="28" fillId="27" borderId="12" xfId="0" applyFont="1" applyFill="1" applyBorder="1" applyAlignment="1" applyProtection="1">
      <alignment horizontal="left" vertical="center" wrapText="1"/>
      <protection hidden="1"/>
    </xf>
    <xf numFmtId="0" fontId="0" fillId="38" borderId="13" xfId="0" applyFill="1" applyBorder="1" applyAlignment="1">
      <alignment horizontal="left" vertical="center" wrapText="1"/>
    </xf>
    <xf numFmtId="0" fontId="28" fillId="27" borderId="169" xfId="0" applyFont="1" applyFill="1" applyBorder="1" applyAlignment="1" applyProtection="1">
      <alignment horizontal="left" vertical="center" wrapText="1"/>
      <protection hidden="1"/>
    </xf>
    <xf numFmtId="0" fontId="0" fillId="38" borderId="171" xfId="0" applyFill="1" applyBorder="1" applyAlignment="1">
      <alignment horizontal="left" vertical="center" wrapText="1"/>
    </xf>
    <xf numFmtId="0" fontId="0" fillId="38" borderId="170" xfId="0" applyFill="1" applyBorder="1" applyAlignment="1">
      <alignment horizontal="left" vertical="center" wrapText="1"/>
    </xf>
    <xf numFmtId="0" fontId="28" fillId="27" borderId="89" xfId="0" applyFont="1" applyFill="1" applyBorder="1" applyAlignment="1" applyProtection="1">
      <alignment horizontal="left" vertical="center" wrapText="1"/>
      <protection hidden="1"/>
    </xf>
    <xf numFmtId="0" fontId="0" fillId="38" borderId="54" xfId="0" applyFill="1" applyBorder="1" applyAlignment="1">
      <alignment horizontal="left" vertical="center" wrapText="1"/>
    </xf>
    <xf numFmtId="0" fontId="0" fillId="38" borderId="62" xfId="0" applyFill="1" applyBorder="1" applyAlignment="1">
      <alignment horizontal="left" vertical="center" wrapText="1"/>
    </xf>
    <xf numFmtId="0" fontId="0" fillId="38" borderId="17" xfId="0" applyFill="1" applyBorder="1" applyAlignment="1">
      <alignment horizontal="left" vertical="center" wrapText="1"/>
    </xf>
    <xf numFmtId="0" fontId="0" fillId="38" borderId="77" xfId="0" applyFill="1" applyBorder="1" applyAlignment="1">
      <alignment horizontal="left" vertical="center" wrapText="1"/>
    </xf>
    <xf numFmtId="0" fontId="0" fillId="38" borderId="58" xfId="0" applyFill="1" applyBorder="1" applyAlignment="1">
      <alignment horizontal="left" vertical="center" wrapText="1"/>
    </xf>
    <xf numFmtId="0" fontId="28" fillId="27" borderId="164" xfId="0" applyFont="1" applyFill="1" applyBorder="1" applyAlignment="1" applyProtection="1">
      <alignment horizontal="left" vertical="center" wrapText="1"/>
      <protection hidden="1"/>
    </xf>
    <xf numFmtId="0" fontId="0" fillId="38" borderId="165" xfId="0" applyFill="1" applyBorder="1" applyAlignment="1">
      <alignment horizontal="left" vertical="center" wrapText="1"/>
    </xf>
    <xf numFmtId="0" fontId="0" fillId="38" borderId="166" xfId="0" applyFill="1" applyBorder="1" applyAlignment="1">
      <alignment horizontal="left" vertical="center" wrapText="1"/>
    </xf>
    <xf numFmtId="206" fontId="23" fillId="27" borderId="220" xfId="0" applyNumberFormat="1" applyFont="1" applyFill="1" applyBorder="1" applyAlignment="1" applyProtection="1">
      <alignment horizontal="center" vertical="center"/>
      <protection locked="0" hidden="1"/>
    </xf>
    <xf numFmtId="0" fontId="28" fillId="27" borderId="89" xfId="0" applyFont="1" applyFill="1" applyBorder="1" applyAlignment="1" applyProtection="1">
      <alignment horizontal="left" vertical="center"/>
      <protection hidden="1"/>
    </xf>
    <xf numFmtId="0" fontId="0" fillId="38" borderId="54" xfId="0" applyFill="1" applyBorder="1" applyAlignment="1">
      <alignment horizontal="left" vertical="center"/>
    </xf>
    <xf numFmtId="0" fontId="0" fillId="38" borderId="62" xfId="0" applyFill="1" applyBorder="1" applyAlignment="1">
      <alignment horizontal="left" vertical="center"/>
    </xf>
    <xf numFmtId="0" fontId="0" fillId="38" borderId="17" xfId="0" applyFill="1" applyBorder="1" applyAlignment="1">
      <alignment horizontal="left" vertical="center"/>
    </xf>
    <xf numFmtId="0" fontId="0" fillId="38" borderId="77" xfId="0" applyFill="1" applyBorder="1" applyAlignment="1">
      <alignment horizontal="left" vertical="center"/>
    </xf>
    <xf numFmtId="0" fontId="0" fillId="38" borderId="58" xfId="0" applyFill="1" applyBorder="1" applyAlignment="1">
      <alignment horizontal="left" vertical="center"/>
    </xf>
    <xf numFmtId="181" fontId="28" fillId="27" borderId="64" xfId="0" applyNumberFormat="1" applyFont="1" applyFill="1" applyBorder="1" applyAlignment="1" applyProtection="1">
      <alignment horizontal="left" vertical="center" wrapText="1"/>
      <protection hidden="1"/>
    </xf>
    <xf numFmtId="0" fontId="0" fillId="38" borderId="64" xfId="0" applyFill="1" applyBorder="1" applyAlignment="1">
      <alignment horizontal="left" vertical="center" wrapText="1"/>
    </xf>
    <xf numFmtId="0" fontId="0" fillId="38" borderId="56" xfId="0" applyFill="1" applyBorder="1" applyAlignment="1">
      <alignment horizontal="left" vertical="center" wrapText="1"/>
    </xf>
    <xf numFmtId="0" fontId="28" fillId="27" borderId="10" xfId="0" applyFont="1" applyFill="1" applyBorder="1" applyAlignment="1" applyProtection="1">
      <alignment horizontal="left" vertical="center" wrapText="1"/>
      <protection hidden="1"/>
    </xf>
    <xf numFmtId="0" fontId="28" fillId="27" borderId="169" xfId="0" applyFont="1" applyFill="1" applyBorder="1" applyAlignment="1">
      <alignment horizontal="left" vertical="center" wrapText="1"/>
    </xf>
    <xf numFmtId="181" fontId="28" fillId="27" borderId="13" xfId="0" applyNumberFormat="1" applyFont="1" applyFill="1" applyBorder="1" applyAlignment="1" applyProtection="1">
      <alignment horizontal="left" vertical="center"/>
      <protection hidden="1"/>
    </xf>
    <xf numFmtId="0" fontId="6" fillId="38" borderId="14" xfId="0" applyFont="1" applyFill="1" applyBorder="1" applyAlignment="1">
      <alignment horizontal="left" vertical="center"/>
    </xf>
    <xf numFmtId="0" fontId="28" fillId="27" borderId="184" xfId="0" applyFont="1" applyFill="1" applyBorder="1" applyAlignment="1" applyProtection="1">
      <alignment horizontal="left" vertical="center" wrapText="1"/>
      <protection hidden="1"/>
    </xf>
    <xf numFmtId="0" fontId="28" fillId="27" borderId="165" xfId="0" applyFont="1" applyFill="1" applyBorder="1" applyAlignment="1" applyProtection="1">
      <alignment horizontal="left" vertical="center" wrapText="1"/>
      <protection hidden="1"/>
    </xf>
    <xf numFmtId="0" fontId="28" fillId="27" borderId="166" xfId="0" applyFont="1" applyFill="1" applyBorder="1" applyAlignment="1" applyProtection="1">
      <alignment horizontal="left" vertical="center" wrapText="1"/>
      <protection hidden="1"/>
    </xf>
    <xf numFmtId="181" fontId="28" fillId="27" borderId="12" xfId="0" applyNumberFormat="1" applyFont="1" applyFill="1" applyBorder="1" applyAlignment="1" applyProtection="1">
      <alignment horizontal="left" vertical="center"/>
      <protection hidden="1"/>
    </xf>
    <xf numFmtId="0" fontId="6" fillId="38" borderId="13" xfId="0" applyFont="1" applyFill="1" applyBorder="1" applyAlignment="1">
      <alignment horizontal="left" vertical="center"/>
    </xf>
    <xf numFmtId="0" fontId="28" fillId="27" borderId="185" xfId="0" applyFont="1" applyFill="1" applyBorder="1" applyAlignment="1" applyProtection="1">
      <alignment vertical="center" wrapText="1"/>
      <protection hidden="1"/>
    </xf>
    <xf numFmtId="0" fontId="28" fillId="27" borderId="184" xfId="0" applyFont="1" applyFill="1" applyBorder="1" applyAlignment="1" applyProtection="1">
      <alignment horizontal="left" vertical="center"/>
      <protection hidden="1"/>
    </xf>
    <xf numFmtId="0" fontId="6" fillId="38" borderId="165" xfId="0" applyFont="1" applyFill="1" applyBorder="1">
      <alignment vertical="center"/>
    </xf>
    <xf numFmtId="0" fontId="6" fillId="38" borderId="166" xfId="0" applyFont="1" applyFill="1" applyBorder="1">
      <alignment vertical="center"/>
    </xf>
    <xf numFmtId="0" fontId="28" fillId="27" borderId="185" xfId="0" applyFont="1" applyFill="1" applyBorder="1" applyAlignment="1" applyProtection="1">
      <alignment horizontal="left" vertical="center"/>
      <protection hidden="1"/>
    </xf>
    <xf numFmtId="0" fontId="28" fillId="38" borderId="171" xfId="0" applyFont="1" applyFill="1" applyBorder="1" applyAlignment="1">
      <alignment vertical="center" wrapText="1"/>
    </xf>
    <xf numFmtId="0" fontId="28" fillId="38" borderId="170" xfId="0" applyFont="1" applyFill="1" applyBorder="1" applyAlignment="1">
      <alignment vertical="center" wrapText="1"/>
    </xf>
    <xf numFmtId="0" fontId="28" fillId="27" borderId="80" xfId="0" applyFont="1" applyFill="1" applyBorder="1" applyAlignment="1">
      <alignment horizontal="left" vertical="center" wrapText="1"/>
    </xf>
    <xf numFmtId="0" fontId="28" fillId="27" borderId="50" xfId="0" applyFont="1" applyFill="1" applyBorder="1" applyAlignment="1">
      <alignment horizontal="left" vertical="center" wrapText="1"/>
    </xf>
    <xf numFmtId="0" fontId="28" fillId="27" borderId="27" xfId="0" applyFont="1" applyFill="1" applyBorder="1" applyAlignment="1">
      <alignment horizontal="left" vertical="center" wrapText="1"/>
    </xf>
    <xf numFmtId="0" fontId="6" fillId="38" borderId="50" xfId="0" applyFont="1" applyFill="1" applyBorder="1" applyAlignment="1">
      <alignment horizontal="left" vertical="center" wrapText="1"/>
    </xf>
    <xf numFmtId="0" fontId="28" fillId="27" borderId="175" xfId="0" applyFont="1" applyFill="1" applyBorder="1" applyAlignment="1" applyProtection="1">
      <alignment horizontal="left" vertical="center" wrapText="1"/>
      <protection hidden="1"/>
    </xf>
    <xf numFmtId="0" fontId="28" fillId="27" borderId="13" xfId="0" applyFont="1" applyFill="1" applyBorder="1" applyAlignment="1" applyProtection="1">
      <alignment horizontal="left" vertical="center"/>
      <protection hidden="1"/>
    </xf>
    <xf numFmtId="0" fontId="28" fillId="27" borderId="14" xfId="0" applyFont="1" applyFill="1" applyBorder="1" applyAlignment="1" applyProtection="1">
      <alignment horizontal="left" vertical="center"/>
      <protection hidden="1"/>
    </xf>
    <xf numFmtId="207" fontId="23" fillId="31" borderId="188" xfId="0" applyNumberFormat="1" applyFont="1" applyFill="1" applyBorder="1" applyAlignment="1" applyProtection="1">
      <alignment horizontal="center" vertical="center"/>
      <protection locked="0" hidden="1"/>
    </xf>
    <xf numFmtId="207" fontId="23" fillId="31" borderId="220" xfId="0" applyNumberFormat="1" applyFont="1" applyFill="1" applyBorder="1" applyAlignment="1" applyProtection="1">
      <alignment horizontal="center" vertical="center"/>
      <protection locked="0" hidden="1"/>
    </xf>
    <xf numFmtId="0" fontId="28" fillId="27" borderId="87" xfId="0" applyFont="1" applyFill="1" applyBorder="1" applyAlignment="1" applyProtection="1">
      <alignment horizontal="left" vertical="center" wrapText="1"/>
      <protection hidden="1"/>
    </xf>
    <xf numFmtId="0" fontId="28" fillId="27" borderId="196" xfId="0" applyFont="1" applyFill="1" applyBorder="1" applyAlignment="1" applyProtection="1">
      <alignment horizontal="left" vertical="center" wrapText="1"/>
      <protection hidden="1"/>
    </xf>
    <xf numFmtId="0" fontId="28" fillId="27" borderId="176" xfId="0" applyFont="1" applyFill="1" applyBorder="1" applyAlignment="1" applyProtection="1">
      <alignment horizontal="left" vertical="center" wrapText="1"/>
      <protection hidden="1"/>
    </xf>
    <xf numFmtId="0" fontId="28" fillId="27" borderId="181" xfId="0" applyFont="1" applyFill="1" applyBorder="1" applyAlignment="1" applyProtection="1">
      <alignment horizontal="left" vertical="center" wrapText="1"/>
      <protection hidden="1"/>
    </xf>
    <xf numFmtId="0" fontId="28" fillId="27" borderId="182" xfId="0" applyFont="1" applyFill="1" applyBorder="1" applyAlignment="1" applyProtection="1">
      <alignment horizontal="left" vertical="center" wrapText="1"/>
      <protection hidden="1"/>
    </xf>
    <xf numFmtId="0" fontId="28" fillId="27" borderId="202" xfId="0" applyFont="1" applyFill="1" applyBorder="1" applyAlignment="1" applyProtection="1">
      <alignment horizontal="center" vertical="center" wrapText="1"/>
      <protection hidden="1"/>
    </xf>
    <xf numFmtId="0" fontId="28" fillId="27" borderId="181" xfId="0" applyFont="1" applyFill="1" applyBorder="1" applyAlignment="1" applyProtection="1">
      <alignment horizontal="center" vertical="center" wrapText="1"/>
      <protection hidden="1"/>
    </xf>
    <xf numFmtId="0" fontId="28" fillId="27" borderId="62" xfId="0" applyFont="1" applyFill="1" applyBorder="1" applyAlignment="1" applyProtection="1">
      <alignment horizontal="center" vertical="center" wrapText="1"/>
      <protection hidden="1"/>
    </xf>
    <xf numFmtId="0" fontId="28" fillId="27" borderId="0" xfId="0" applyFont="1" applyFill="1" applyAlignment="1" applyProtection="1">
      <alignment horizontal="center" vertical="center" wrapText="1"/>
      <protection hidden="1"/>
    </xf>
    <xf numFmtId="0" fontId="28" fillId="27" borderId="86" xfId="0" applyFont="1" applyFill="1" applyBorder="1" applyAlignment="1" applyProtection="1">
      <alignment horizontal="center" vertical="center" wrapText="1"/>
      <protection hidden="1"/>
    </xf>
    <xf numFmtId="0" fontId="28" fillId="27" borderId="87" xfId="0" applyFont="1" applyFill="1" applyBorder="1" applyAlignment="1" applyProtection="1">
      <alignment horizontal="center" vertical="center" wrapText="1"/>
      <protection hidden="1"/>
    </xf>
    <xf numFmtId="0" fontId="6" fillId="27" borderId="11" xfId="0" applyFont="1" applyFill="1" applyBorder="1" applyAlignment="1">
      <alignment horizontal="center" vertical="center" wrapText="1"/>
    </xf>
    <xf numFmtId="0" fontId="6" fillId="27" borderId="177" xfId="0" applyFont="1" applyFill="1" applyBorder="1" applyAlignment="1" applyProtection="1">
      <alignment horizontal="center" vertical="center" wrapText="1"/>
      <protection hidden="1"/>
    </xf>
    <xf numFmtId="0" fontId="6" fillId="27" borderId="15" xfId="0" applyFont="1" applyFill="1" applyBorder="1" applyAlignment="1" applyProtection="1">
      <alignment horizontal="center" vertical="center" wrapText="1"/>
      <protection hidden="1"/>
    </xf>
    <xf numFmtId="0" fontId="6" fillId="27" borderId="167" xfId="0" applyFont="1" applyFill="1" applyBorder="1" applyAlignment="1" applyProtection="1">
      <alignment horizontal="center" vertical="center" wrapText="1"/>
      <protection hidden="1"/>
    </xf>
    <xf numFmtId="0" fontId="28" fillId="27" borderId="64" xfId="0" applyFont="1" applyFill="1" applyBorder="1" applyAlignment="1" applyProtection="1">
      <alignment horizontal="left" vertical="center" wrapText="1"/>
      <protection hidden="1"/>
    </xf>
    <xf numFmtId="0" fontId="28" fillId="27" borderId="0" xfId="0" applyFont="1" applyFill="1" applyAlignment="1" applyProtection="1">
      <alignment horizontal="left" vertical="center" wrapText="1"/>
      <protection hidden="1"/>
    </xf>
    <xf numFmtId="0" fontId="28" fillId="27" borderId="17" xfId="0" applyFont="1" applyFill="1" applyBorder="1" applyAlignment="1" applyProtection="1">
      <alignment horizontal="left" vertical="center" wrapText="1"/>
      <protection hidden="1"/>
    </xf>
    <xf numFmtId="0" fontId="28" fillId="27" borderId="13" xfId="0" applyFont="1" applyFill="1" applyBorder="1" applyAlignment="1" applyProtection="1">
      <alignment horizontal="left" vertical="center" wrapText="1"/>
      <protection hidden="1"/>
    </xf>
    <xf numFmtId="0" fontId="28" fillId="27" borderId="14" xfId="0" applyFont="1" applyFill="1" applyBorder="1" applyAlignment="1" applyProtection="1">
      <alignment horizontal="left" vertical="center" wrapText="1"/>
      <protection hidden="1"/>
    </xf>
    <xf numFmtId="0" fontId="28" fillId="27" borderId="185" xfId="0" applyFont="1" applyFill="1" applyBorder="1" applyAlignment="1" applyProtection="1">
      <alignment horizontal="center" vertical="center" wrapText="1"/>
      <protection hidden="1"/>
    </xf>
    <xf numFmtId="0" fontId="28" fillId="27" borderId="13" xfId="0" applyFont="1" applyFill="1" applyBorder="1" applyAlignment="1" applyProtection="1">
      <alignment horizontal="center" vertical="center" wrapText="1"/>
      <protection hidden="1"/>
    </xf>
    <xf numFmtId="206" fontId="23" fillId="31" borderId="188" xfId="0" applyNumberFormat="1" applyFont="1" applyFill="1" applyBorder="1" applyAlignment="1" applyProtection="1">
      <alignment horizontal="center" vertical="center"/>
      <protection locked="0" hidden="1"/>
    </xf>
    <xf numFmtId="0" fontId="0" fillId="0" borderId="220" xfId="0" applyBorder="1">
      <alignment vertical="center"/>
    </xf>
    <xf numFmtId="0" fontId="28" fillId="31" borderId="50" xfId="0" applyFont="1" applyFill="1" applyBorder="1" applyAlignment="1" applyProtection="1">
      <alignment horizontal="center" vertical="center"/>
      <protection hidden="1"/>
    </xf>
    <xf numFmtId="181" fontId="28" fillId="31" borderId="80" xfId="0" applyNumberFormat="1" applyFont="1" applyFill="1" applyBorder="1" applyAlignment="1" applyProtection="1">
      <alignment horizontal="center" vertical="center"/>
      <protection hidden="1"/>
    </xf>
    <xf numFmtId="181" fontId="28" fillId="31" borderId="50" xfId="0" applyNumberFormat="1" applyFont="1" applyFill="1" applyBorder="1" applyAlignment="1" applyProtection="1">
      <alignment horizontal="center" vertical="center"/>
      <protection hidden="1"/>
    </xf>
    <xf numFmtId="181" fontId="28" fillId="0" borderId="53" xfId="0" applyNumberFormat="1" applyFont="1" applyBorder="1" applyAlignment="1" applyProtection="1">
      <alignment horizontal="left" vertical="center" wrapText="1"/>
      <protection hidden="1"/>
    </xf>
    <xf numFmtId="181" fontId="28" fillId="29" borderId="53" xfId="0" applyNumberFormat="1" applyFont="1" applyFill="1" applyBorder="1" applyAlignment="1" applyProtection="1">
      <alignment horizontal="left" vertical="center" wrapText="1"/>
      <protection hidden="1"/>
    </xf>
    <xf numFmtId="0" fontId="6" fillId="0" borderId="13" xfId="0" applyFont="1" applyBorder="1" applyAlignment="1">
      <alignment vertical="center" wrapText="1"/>
    </xf>
    <xf numFmtId="0" fontId="6" fillId="0" borderId="14" xfId="0" applyFont="1" applyBorder="1">
      <alignment vertical="center"/>
    </xf>
    <xf numFmtId="0" fontId="0" fillId="0" borderId="14" xfId="0" applyBorder="1">
      <alignment vertical="center"/>
    </xf>
    <xf numFmtId="207" fontId="23" fillId="27" borderId="188" xfId="0" applyNumberFormat="1" applyFont="1" applyFill="1" applyBorder="1" applyAlignment="1" applyProtection="1">
      <alignment horizontal="center" vertical="center"/>
      <protection locked="0" hidden="1"/>
    </xf>
    <xf numFmtId="0" fontId="6" fillId="0" borderId="115" xfId="0" applyFont="1" applyBorder="1" applyAlignment="1" applyProtection="1">
      <alignment horizontal="center" vertical="center"/>
      <protection locked="0"/>
    </xf>
    <xf numFmtId="0" fontId="28" fillId="27" borderId="202" xfId="0" applyFont="1" applyFill="1" applyBorder="1" applyAlignment="1" applyProtection="1">
      <alignment horizontal="left" vertical="center" wrapText="1"/>
      <protection hidden="1"/>
    </xf>
    <xf numFmtId="0" fontId="6" fillId="0" borderId="181" xfId="0" applyFont="1" applyBorder="1" applyAlignment="1">
      <alignment vertical="center" wrapText="1"/>
    </xf>
    <xf numFmtId="0" fontId="6" fillId="0" borderId="77" xfId="0" applyFont="1" applyBorder="1" applyAlignment="1">
      <alignment vertical="center" wrapText="1"/>
    </xf>
    <xf numFmtId="0" fontId="6" fillId="0" borderId="57" xfId="0" applyFont="1" applyBorder="1" applyAlignment="1">
      <alignment vertical="center" wrapText="1"/>
    </xf>
    <xf numFmtId="0" fontId="28" fillId="0" borderId="55" xfId="0" applyFont="1" applyBorder="1" applyAlignment="1" applyProtection="1">
      <alignment horizontal="center" vertical="center" wrapText="1"/>
      <protection hidden="1"/>
    </xf>
    <xf numFmtId="0" fontId="28" fillId="27" borderId="56" xfId="0" applyFont="1" applyFill="1" applyBorder="1" applyAlignment="1" applyProtection="1">
      <alignment horizontal="left" vertical="center" wrapText="1"/>
      <protection locked="0"/>
    </xf>
    <xf numFmtId="0" fontId="28" fillId="27" borderId="57" xfId="0" applyFont="1" applyFill="1" applyBorder="1" applyAlignment="1" applyProtection="1">
      <alignment horizontal="left" vertical="center" wrapText="1"/>
      <protection locked="0"/>
    </xf>
    <xf numFmtId="0" fontId="28" fillId="27" borderId="58" xfId="0" applyFont="1" applyFill="1" applyBorder="1" applyAlignment="1" applyProtection="1">
      <alignment horizontal="left" vertical="center" wrapText="1"/>
      <protection locked="0"/>
    </xf>
    <xf numFmtId="0" fontId="6" fillId="0" borderId="166" xfId="0" applyFont="1" applyBorder="1" applyAlignment="1">
      <alignment vertical="center" wrapText="1"/>
    </xf>
    <xf numFmtId="0" fontId="0" fillId="0" borderId="182" xfId="0" applyBorder="1">
      <alignment vertical="center"/>
    </xf>
    <xf numFmtId="0" fontId="28" fillId="27" borderId="62" xfId="0" applyFont="1" applyFill="1" applyBorder="1" applyAlignment="1" applyProtection="1">
      <alignment horizontal="left" vertical="center" wrapText="1"/>
      <protection hidden="1"/>
    </xf>
    <xf numFmtId="0" fontId="0" fillId="0" borderId="17" xfId="0" applyBorder="1">
      <alignment vertical="center"/>
    </xf>
    <xf numFmtId="0" fontId="0" fillId="0" borderId="86" xfId="0" applyBorder="1">
      <alignment vertical="center"/>
    </xf>
    <xf numFmtId="0" fontId="0" fillId="0" borderId="196" xfId="0" applyBorder="1">
      <alignment vertical="center"/>
    </xf>
    <xf numFmtId="0" fontId="28" fillId="27" borderId="165" xfId="0" applyFont="1" applyFill="1" applyBorder="1" applyAlignment="1">
      <alignment vertical="center" wrapText="1"/>
    </xf>
    <xf numFmtId="0" fontId="28" fillId="27" borderId="166" xfId="0" applyFont="1" applyFill="1" applyBorder="1" applyAlignment="1">
      <alignment vertical="center" wrapText="1"/>
    </xf>
    <xf numFmtId="0" fontId="28" fillId="27" borderId="26" xfId="0" applyFont="1" applyFill="1" applyBorder="1" applyAlignment="1" applyProtection="1">
      <alignment horizontal="center" vertical="center"/>
      <protection hidden="1"/>
    </xf>
    <xf numFmtId="0" fontId="28" fillId="27" borderId="50" xfId="0" applyFont="1" applyFill="1" applyBorder="1" applyAlignment="1" applyProtection="1">
      <alignment horizontal="center" vertical="center"/>
      <protection hidden="1"/>
    </xf>
    <xf numFmtId="0" fontId="28" fillId="27" borderId="27" xfId="0" applyFont="1" applyFill="1" applyBorder="1" applyAlignment="1" applyProtection="1">
      <alignment horizontal="center" vertical="center"/>
      <protection hidden="1"/>
    </xf>
    <xf numFmtId="0" fontId="28" fillId="27" borderId="89" xfId="0" applyFont="1" applyFill="1" applyBorder="1" applyAlignment="1" applyProtection="1">
      <alignment horizontal="center" vertical="center" wrapText="1"/>
      <protection hidden="1"/>
    </xf>
    <xf numFmtId="0" fontId="6" fillId="0" borderId="54" xfId="0" applyFont="1" applyBorder="1">
      <alignment vertical="center"/>
    </xf>
    <xf numFmtId="0" fontId="6" fillId="0" borderId="86" xfId="0" applyFont="1" applyBorder="1">
      <alignment vertical="center"/>
    </xf>
    <xf numFmtId="0" fontId="6" fillId="0" borderId="196" xfId="0" applyFont="1" applyBorder="1">
      <alignment vertical="center"/>
    </xf>
    <xf numFmtId="181" fontId="28" fillId="31" borderId="58" xfId="0" applyNumberFormat="1" applyFont="1" applyFill="1" applyBorder="1" applyAlignment="1" applyProtection="1">
      <alignment horizontal="center" vertical="center"/>
      <protection hidden="1"/>
    </xf>
    <xf numFmtId="181" fontId="28" fillId="31" borderId="55" xfId="0" applyNumberFormat="1" applyFont="1" applyFill="1" applyBorder="1" applyAlignment="1" applyProtection="1">
      <alignment horizontal="center" vertical="center"/>
      <protection hidden="1"/>
    </xf>
    <xf numFmtId="0" fontId="28" fillId="27" borderId="202" xfId="0" applyFont="1" applyFill="1" applyBorder="1">
      <alignment vertical="center"/>
    </xf>
    <xf numFmtId="0" fontId="28" fillId="27" borderId="182" xfId="0" applyFont="1" applyFill="1" applyBorder="1">
      <alignment vertical="center"/>
    </xf>
    <xf numFmtId="0" fontId="28" fillId="27" borderId="62" xfId="0" applyFont="1" applyFill="1" applyBorder="1">
      <alignment vertical="center"/>
    </xf>
    <xf numFmtId="0" fontId="28" fillId="27" borderId="17" xfId="0" applyFont="1" applyFill="1" applyBorder="1">
      <alignment vertical="center"/>
    </xf>
    <xf numFmtId="0" fontId="28" fillId="27" borderId="86" xfId="0" applyFont="1" applyFill="1" applyBorder="1">
      <alignment vertical="center"/>
    </xf>
    <xf numFmtId="0" fontId="28" fillId="27" borderId="196" xfId="0" applyFont="1" applyFill="1" applyBorder="1">
      <alignment vertical="center"/>
    </xf>
    <xf numFmtId="0" fontId="6" fillId="27" borderId="177" xfId="0" quotePrefix="1" applyFont="1" applyFill="1" applyBorder="1" applyAlignment="1" applyProtection="1">
      <alignment horizontal="center" vertical="center" wrapText="1"/>
      <protection hidden="1"/>
    </xf>
    <xf numFmtId="0" fontId="6" fillId="27" borderId="15" xfId="0" quotePrefix="1" applyFont="1" applyFill="1" applyBorder="1" applyAlignment="1" applyProtection="1">
      <alignment horizontal="center" vertical="center" wrapText="1"/>
      <protection hidden="1"/>
    </xf>
    <xf numFmtId="0" fontId="6" fillId="27" borderId="167" xfId="0" quotePrefix="1" applyFont="1" applyFill="1" applyBorder="1" applyAlignment="1" applyProtection="1">
      <alignment horizontal="center" vertical="center" wrapText="1"/>
      <protection hidden="1"/>
    </xf>
    <xf numFmtId="0" fontId="0" fillId="0" borderId="62" xfId="0" applyBorder="1">
      <alignment vertical="center"/>
    </xf>
    <xf numFmtId="0" fontId="0" fillId="0" borderId="100" xfId="0" applyBorder="1">
      <alignment vertical="center"/>
    </xf>
    <xf numFmtId="0" fontId="28" fillId="27" borderId="171" xfId="0" applyFont="1" applyFill="1" applyBorder="1" applyAlignment="1" applyProtection="1">
      <alignment horizontal="left" vertical="center" wrapText="1"/>
      <protection hidden="1"/>
    </xf>
    <xf numFmtId="0" fontId="28" fillId="27" borderId="170" xfId="0" applyFont="1" applyFill="1" applyBorder="1" applyAlignment="1" applyProtection="1">
      <alignment horizontal="left" vertical="center" wrapText="1"/>
      <protection hidden="1"/>
    </xf>
    <xf numFmtId="0" fontId="28" fillId="0" borderId="0" xfId="0" applyFont="1" applyAlignment="1" applyProtection="1">
      <alignment horizontal="left" vertical="center" wrapText="1"/>
      <protection hidden="1"/>
    </xf>
    <xf numFmtId="0" fontId="28" fillId="29" borderId="0" xfId="0" applyFont="1" applyFill="1" applyAlignment="1" applyProtection="1">
      <alignment horizontal="left" vertical="center" wrapText="1"/>
      <protection hidden="1"/>
    </xf>
    <xf numFmtId="207" fontId="23" fillId="31" borderId="100" xfId="0" applyNumberFormat="1" applyFont="1" applyFill="1" applyBorder="1" applyAlignment="1" applyProtection="1">
      <alignment horizontal="center" vertical="center"/>
      <protection locked="0" hidden="1"/>
    </xf>
    <xf numFmtId="176" fontId="6" fillId="27" borderId="177" xfId="0" applyNumberFormat="1" applyFont="1" applyFill="1" applyBorder="1" applyAlignment="1" applyProtection="1">
      <alignment horizontal="center" vertical="center" wrapText="1"/>
      <protection hidden="1"/>
    </xf>
    <xf numFmtId="176" fontId="6" fillId="27" borderId="15" xfId="0" applyNumberFormat="1" applyFont="1" applyFill="1" applyBorder="1" applyAlignment="1" applyProtection="1">
      <alignment horizontal="center" vertical="center" wrapText="1"/>
      <protection hidden="1"/>
    </xf>
    <xf numFmtId="176" fontId="6" fillId="27" borderId="167" xfId="0" applyNumberFormat="1" applyFont="1" applyFill="1" applyBorder="1" applyAlignment="1" applyProtection="1">
      <alignment horizontal="center" vertical="center" wrapText="1"/>
      <protection hidden="1"/>
    </xf>
    <xf numFmtId="0" fontId="28" fillId="27" borderId="182" xfId="0" applyFont="1" applyFill="1" applyBorder="1" applyAlignment="1" applyProtection="1">
      <alignment horizontal="center" vertical="center" wrapText="1"/>
      <protection hidden="1"/>
    </xf>
    <xf numFmtId="0" fontId="28" fillId="27" borderId="17" xfId="0" applyFont="1" applyFill="1" applyBorder="1" applyAlignment="1" applyProtection="1">
      <alignment horizontal="center" vertical="center" wrapText="1"/>
      <protection hidden="1"/>
    </xf>
    <xf numFmtId="0" fontId="28" fillId="27" borderId="196" xfId="0" applyFont="1" applyFill="1" applyBorder="1" applyAlignment="1" applyProtection="1">
      <alignment horizontal="center" vertical="center" wrapText="1"/>
      <protection hidden="1"/>
    </xf>
    <xf numFmtId="207" fontId="23" fillId="31" borderId="115" xfId="0" applyNumberFormat="1" applyFont="1" applyFill="1" applyBorder="1" applyAlignment="1" applyProtection="1">
      <alignment horizontal="center" vertical="center"/>
      <protection locked="0" hidden="1"/>
    </xf>
    <xf numFmtId="0" fontId="28" fillId="27" borderId="77" xfId="0" applyFont="1" applyFill="1" applyBorder="1" applyAlignment="1" applyProtection="1">
      <alignment horizontal="center" vertical="center" wrapText="1"/>
      <protection hidden="1"/>
    </xf>
    <xf numFmtId="0" fontId="28" fillId="27" borderId="57" xfId="0" applyFont="1" applyFill="1" applyBorder="1" applyAlignment="1" applyProtection="1">
      <alignment horizontal="center" vertical="center" wrapText="1"/>
      <protection hidden="1"/>
    </xf>
    <xf numFmtId="0" fontId="6" fillId="27" borderId="177" xfId="0" applyFont="1" applyFill="1" applyBorder="1" applyAlignment="1" applyProtection="1">
      <alignment horizontal="center" vertical="center"/>
      <protection hidden="1"/>
    </xf>
    <xf numFmtId="0" fontId="6" fillId="27" borderId="55" xfId="0" applyFont="1" applyFill="1" applyBorder="1" applyAlignment="1" applyProtection="1">
      <alignment horizontal="center" vertical="center"/>
      <protection hidden="1"/>
    </xf>
    <xf numFmtId="0" fontId="166" fillId="0" borderId="171" xfId="0" applyFont="1" applyBorder="1" applyAlignment="1">
      <alignment horizontal="left" vertical="center" wrapText="1"/>
    </xf>
    <xf numFmtId="0" fontId="166" fillId="0" borderId="170" xfId="0" applyFont="1" applyBorder="1" applyAlignment="1">
      <alignment horizontal="left" vertical="center" wrapText="1"/>
    </xf>
    <xf numFmtId="0" fontId="166" fillId="0" borderId="54" xfId="0" applyFont="1" applyBorder="1" applyAlignment="1">
      <alignment horizontal="left" vertical="center" wrapText="1"/>
    </xf>
    <xf numFmtId="0" fontId="166" fillId="0" borderId="64" xfId="0" applyFont="1" applyBorder="1" applyAlignment="1">
      <alignment horizontal="left" vertical="center" wrapText="1"/>
    </xf>
    <xf numFmtId="0" fontId="166" fillId="0" borderId="17" xfId="0" applyFont="1" applyBorder="1" applyAlignment="1">
      <alignment horizontal="left" vertical="center" wrapText="1"/>
    </xf>
    <xf numFmtId="0" fontId="166" fillId="0" borderId="56" xfId="0" applyFont="1" applyBorder="1" applyAlignment="1">
      <alignment horizontal="left" vertical="center" wrapText="1"/>
    </xf>
    <xf numFmtId="0" fontId="166" fillId="0" borderId="58" xfId="0" applyFont="1" applyBorder="1" applyAlignment="1">
      <alignment horizontal="left" vertical="center" wrapText="1"/>
    </xf>
    <xf numFmtId="0" fontId="28" fillId="27" borderId="26" xfId="0" applyFont="1" applyFill="1" applyBorder="1" applyAlignment="1">
      <alignment horizontal="center" vertical="center" wrapText="1"/>
    </xf>
    <xf numFmtId="0" fontId="28" fillId="27" borderId="27" xfId="0" applyFont="1" applyFill="1" applyBorder="1" applyAlignment="1">
      <alignment horizontal="center" vertical="center" wrapText="1"/>
    </xf>
    <xf numFmtId="0" fontId="28" fillId="27" borderId="10" xfId="0" applyFont="1" applyFill="1" applyBorder="1" applyAlignment="1">
      <alignment horizontal="center" vertical="center" wrapText="1"/>
    </xf>
    <xf numFmtId="0" fontId="28" fillId="27" borderId="51" xfId="0" applyFont="1" applyFill="1" applyBorder="1" applyAlignment="1">
      <alignment horizontal="center" vertical="center" wrapText="1"/>
    </xf>
    <xf numFmtId="0" fontId="28" fillId="27" borderId="15" xfId="0" applyFont="1" applyFill="1" applyBorder="1" applyAlignment="1">
      <alignment horizontal="center" vertical="center" wrapText="1"/>
    </xf>
    <xf numFmtId="0" fontId="166" fillId="0" borderId="55" xfId="0" applyFont="1" applyBorder="1" applyAlignment="1">
      <alignment horizontal="center" vertical="center" wrapText="1"/>
    </xf>
    <xf numFmtId="0" fontId="166" fillId="0" borderId="10" xfId="0" applyFont="1" applyBorder="1" applyAlignment="1">
      <alignment horizontal="center" vertical="center" wrapText="1"/>
    </xf>
    <xf numFmtId="181" fontId="28" fillId="31" borderId="26" xfId="0" applyNumberFormat="1" applyFont="1" applyFill="1" applyBorder="1" applyAlignment="1" applyProtection="1">
      <alignment horizontal="left" vertical="center" wrapText="1"/>
      <protection hidden="1"/>
    </xf>
    <xf numFmtId="0" fontId="166" fillId="0" borderId="27" xfId="0" applyFont="1" applyBorder="1" applyAlignment="1">
      <alignment horizontal="left" vertical="center" wrapText="1"/>
    </xf>
    <xf numFmtId="0" fontId="166" fillId="0" borderId="165" xfId="0" applyFont="1" applyBorder="1" applyAlignment="1">
      <alignment horizontal="left" vertical="center" wrapText="1"/>
    </xf>
    <xf numFmtId="0" fontId="166" fillId="0" borderId="166" xfId="0" applyFont="1" applyBorder="1" applyAlignment="1">
      <alignment horizontal="left" vertical="center" wrapText="1"/>
    </xf>
    <xf numFmtId="0" fontId="166" fillId="0" borderId="13" xfId="0" applyFont="1" applyBorder="1" applyAlignment="1">
      <alignment horizontal="left" vertical="center" wrapText="1"/>
    </xf>
    <xf numFmtId="0" fontId="166" fillId="0" borderId="14" xfId="0" applyFont="1" applyBorder="1" applyAlignment="1">
      <alignment horizontal="left" vertical="center" wrapText="1"/>
    </xf>
    <xf numFmtId="0" fontId="28" fillId="27" borderId="56" xfId="0" quotePrefix="1" applyFont="1" applyFill="1" applyBorder="1" applyAlignment="1" applyProtection="1">
      <alignment horizontal="left" vertical="center" wrapText="1"/>
      <protection hidden="1"/>
    </xf>
    <xf numFmtId="0" fontId="28" fillId="27" borderId="57" xfId="0" quotePrefix="1" applyFont="1" applyFill="1" applyBorder="1" applyAlignment="1" applyProtection="1">
      <alignment horizontal="left" vertical="center" wrapText="1"/>
      <protection hidden="1"/>
    </xf>
    <xf numFmtId="0" fontId="28" fillId="27" borderId="221" xfId="0" quotePrefix="1" applyFont="1" applyFill="1" applyBorder="1" applyAlignment="1" applyProtection="1">
      <alignment horizontal="left" vertical="center" wrapText="1"/>
      <protection hidden="1"/>
    </xf>
    <xf numFmtId="0" fontId="6" fillId="0" borderId="13" xfId="0" applyFont="1" applyBorder="1" applyAlignment="1">
      <alignment horizontal="left" vertical="center"/>
    </xf>
    <xf numFmtId="0" fontId="6" fillId="0" borderId="14" xfId="0" applyFont="1" applyBorder="1" applyAlignment="1">
      <alignment horizontal="left" vertical="center"/>
    </xf>
    <xf numFmtId="0" fontId="28" fillId="27" borderId="64" xfId="0" quotePrefix="1" applyFont="1" applyFill="1" applyBorder="1" applyAlignment="1" applyProtection="1">
      <alignment horizontal="left" vertical="center" wrapText="1"/>
      <protection hidden="1"/>
    </xf>
    <xf numFmtId="0" fontId="28" fillId="27" borderId="0" xfId="0" quotePrefix="1" applyFont="1" applyFill="1" applyAlignment="1" applyProtection="1">
      <alignment horizontal="left" vertical="center" wrapText="1"/>
      <protection hidden="1"/>
    </xf>
    <xf numFmtId="0" fontId="28" fillId="27" borderId="224" xfId="0" quotePrefix="1" applyFont="1" applyFill="1" applyBorder="1" applyAlignment="1" applyProtection="1">
      <alignment horizontal="left" vertical="center" wrapText="1"/>
      <protection hidden="1"/>
    </xf>
    <xf numFmtId="0" fontId="6" fillId="0" borderId="54" xfId="0" applyFont="1" applyBorder="1" applyAlignment="1">
      <alignment horizontal="left" vertical="center" wrapText="1"/>
    </xf>
    <xf numFmtId="0" fontId="6" fillId="0" borderId="64" xfId="0" applyFont="1" applyBorder="1" applyAlignment="1">
      <alignment horizontal="left" vertical="center" wrapText="1"/>
    </xf>
    <xf numFmtId="0" fontId="6" fillId="0" borderId="17" xfId="0" applyFont="1" applyBorder="1" applyAlignment="1">
      <alignment horizontal="left" vertical="center" wrapText="1"/>
    </xf>
    <xf numFmtId="0" fontId="6" fillId="0" borderId="56" xfId="0" applyFont="1" applyBorder="1" applyAlignment="1">
      <alignment horizontal="left" vertical="center" wrapText="1"/>
    </xf>
    <xf numFmtId="0" fontId="6" fillId="0" borderId="58" xfId="0" applyFont="1" applyBorder="1" applyAlignment="1">
      <alignment horizontal="left" vertical="center" wrapText="1"/>
    </xf>
    <xf numFmtId="181" fontId="188" fillId="27" borderId="169" xfId="0" applyNumberFormat="1" applyFont="1" applyFill="1" applyBorder="1" applyAlignment="1" applyProtection="1">
      <alignment vertical="center" wrapText="1"/>
      <protection hidden="1"/>
    </xf>
    <xf numFmtId="0" fontId="189" fillId="0" borderId="171" xfId="0" applyFont="1" applyBorder="1" applyAlignment="1">
      <alignment vertical="center" wrapText="1"/>
    </xf>
    <xf numFmtId="0" fontId="189" fillId="0" borderId="170" xfId="0" applyFont="1" applyBorder="1" applyAlignment="1">
      <alignment vertical="center" wrapText="1"/>
    </xf>
    <xf numFmtId="0" fontId="188" fillId="27" borderId="52" xfId="0" quotePrefix="1" applyFont="1" applyFill="1" applyBorder="1" applyAlignment="1" applyProtection="1">
      <alignment horizontal="left" vertical="center" wrapText="1"/>
      <protection hidden="1"/>
    </xf>
    <xf numFmtId="0" fontId="188" fillId="27" borderId="54" xfId="0" quotePrefix="1" applyFont="1" applyFill="1" applyBorder="1" applyAlignment="1" applyProtection="1">
      <alignment horizontal="left" vertical="center" wrapText="1"/>
      <protection hidden="1"/>
    </xf>
    <xf numFmtId="0" fontId="188" fillId="27" borderId="64" xfId="0" quotePrefix="1" applyFont="1" applyFill="1" applyBorder="1" applyAlignment="1" applyProtection="1">
      <alignment horizontal="left" vertical="center" wrapText="1"/>
      <protection hidden="1"/>
    </xf>
    <xf numFmtId="0" fontId="188" fillId="27" borderId="17" xfId="0" quotePrefix="1" applyFont="1" applyFill="1" applyBorder="1" applyAlignment="1" applyProtection="1">
      <alignment horizontal="left" vertical="center" wrapText="1"/>
      <protection hidden="1"/>
    </xf>
    <xf numFmtId="0" fontId="188" fillId="27" borderId="56" xfId="0" quotePrefix="1" applyFont="1" applyFill="1" applyBorder="1" applyAlignment="1" applyProtection="1">
      <alignment horizontal="left" vertical="center" wrapText="1"/>
      <protection hidden="1"/>
    </xf>
    <xf numFmtId="0" fontId="188" fillId="27" borderId="58" xfId="0" quotePrefix="1" applyFont="1" applyFill="1" applyBorder="1" applyAlignment="1" applyProtection="1">
      <alignment horizontal="left" vertical="center" wrapText="1"/>
      <protection hidden="1"/>
    </xf>
    <xf numFmtId="0" fontId="166" fillId="38" borderId="14" xfId="0" applyFont="1" applyFill="1" applyBorder="1" applyAlignment="1">
      <alignment horizontal="left" vertical="center" wrapText="1"/>
    </xf>
    <xf numFmtId="201" fontId="184" fillId="31" borderId="51" xfId="0" applyNumberFormat="1" applyFont="1" applyFill="1" applyBorder="1" applyAlignment="1" applyProtection="1">
      <alignment horizontal="center" vertical="center"/>
      <protection hidden="1"/>
    </xf>
    <xf numFmtId="201" fontId="184" fillId="31" borderId="15" xfId="0" applyNumberFormat="1" applyFont="1" applyFill="1" applyBorder="1" applyAlignment="1" applyProtection="1">
      <alignment horizontal="center" vertical="center"/>
      <protection hidden="1"/>
    </xf>
    <xf numFmtId="201" fontId="184" fillId="31" borderId="55" xfId="0" applyNumberFormat="1" applyFont="1" applyFill="1" applyBorder="1" applyAlignment="1" applyProtection="1">
      <alignment horizontal="center" vertical="center"/>
      <protection hidden="1"/>
    </xf>
    <xf numFmtId="0" fontId="166" fillId="0" borderId="13" xfId="0" applyFont="1" applyBorder="1" applyAlignment="1">
      <alignment vertical="center" wrapText="1"/>
    </xf>
    <xf numFmtId="0" fontId="166" fillId="0" borderId="196" xfId="0" applyFont="1" applyBorder="1" applyAlignment="1">
      <alignment vertical="center" wrapText="1"/>
    </xf>
    <xf numFmtId="0" fontId="166" fillId="0" borderId="14" xfId="0" applyFont="1" applyBorder="1" applyAlignment="1">
      <alignment vertical="center" wrapText="1"/>
    </xf>
    <xf numFmtId="199" fontId="184" fillId="31" borderId="51" xfId="0" applyNumberFormat="1" applyFont="1" applyFill="1" applyBorder="1" applyAlignment="1" applyProtection="1">
      <alignment horizontal="center" vertical="center"/>
      <protection hidden="1"/>
    </xf>
    <xf numFmtId="199" fontId="184" fillId="31" borderId="15" xfId="0" applyNumberFormat="1" applyFont="1" applyFill="1" applyBorder="1" applyAlignment="1" applyProtection="1">
      <alignment horizontal="center" vertical="center"/>
      <protection hidden="1"/>
    </xf>
    <xf numFmtId="199" fontId="184" fillId="31" borderId="55" xfId="0" applyNumberFormat="1" applyFont="1" applyFill="1" applyBorder="1" applyAlignment="1" applyProtection="1">
      <alignment horizontal="center" vertical="center"/>
      <protection hidden="1"/>
    </xf>
    <xf numFmtId="201" fontId="184" fillId="31" borderId="51" xfId="0" applyNumberFormat="1" applyFont="1" applyFill="1" applyBorder="1" applyAlignment="1" applyProtection="1">
      <alignment horizontal="center" vertical="center"/>
      <protection locked="0"/>
    </xf>
    <xf numFmtId="201" fontId="184" fillId="31" borderId="55" xfId="0" applyNumberFormat="1" applyFont="1" applyFill="1" applyBorder="1" applyAlignment="1" applyProtection="1">
      <alignment horizontal="center" vertical="center"/>
      <protection locked="0"/>
    </xf>
    <xf numFmtId="181" fontId="28" fillId="27" borderId="12" xfId="0" applyNumberFormat="1" applyFont="1" applyFill="1" applyBorder="1" applyAlignment="1" applyProtection="1">
      <alignment horizontal="left" vertical="top" wrapText="1"/>
      <protection hidden="1"/>
    </xf>
    <xf numFmtId="181" fontId="28" fillId="27" borderId="13" xfId="0" applyNumberFormat="1" applyFont="1" applyFill="1" applyBorder="1" applyAlignment="1" applyProtection="1">
      <alignment horizontal="left" vertical="top" wrapText="1"/>
      <protection hidden="1"/>
    </xf>
    <xf numFmtId="181" fontId="28" fillId="27" borderId="14" xfId="0" applyNumberFormat="1" applyFont="1" applyFill="1" applyBorder="1" applyAlignment="1" applyProtection="1">
      <alignment horizontal="left" vertical="top" wrapText="1"/>
      <protection hidden="1"/>
    </xf>
    <xf numFmtId="0" fontId="28" fillId="27" borderId="0" xfId="0" applyFont="1" applyFill="1" applyAlignment="1">
      <alignment horizontal="left" vertical="top" wrapText="1"/>
    </xf>
    <xf numFmtId="0" fontId="37" fillId="27" borderId="0" xfId="0" applyFont="1" applyFill="1" applyAlignment="1">
      <alignment horizontal="left" vertical="top" wrapText="1"/>
    </xf>
    <xf numFmtId="0" fontId="33" fillId="27" borderId="0" xfId="0" applyFont="1" applyFill="1" applyAlignment="1">
      <alignment horizontal="left" vertical="center" wrapText="1"/>
    </xf>
    <xf numFmtId="203" fontId="126" fillId="39" borderId="68" xfId="0" applyNumberFormat="1" applyFont="1" applyFill="1" applyBorder="1" applyAlignment="1" applyProtection="1">
      <alignment horizontal="center" vertical="center"/>
      <protection locked="0"/>
    </xf>
    <xf numFmtId="203" fontId="126" fillId="39" borderId="69" xfId="0" applyNumberFormat="1" applyFont="1" applyFill="1" applyBorder="1" applyAlignment="1" applyProtection="1">
      <alignment horizontal="center" vertical="center"/>
      <protection locked="0"/>
    </xf>
    <xf numFmtId="203" fontId="126" fillId="39" borderId="71" xfId="0" applyNumberFormat="1" applyFont="1" applyFill="1" applyBorder="1" applyAlignment="1" applyProtection="1">
      <alignment horizontal="center" vertical="center"/>
      <protection locked="0"/>
    </xf>
    <xf numFmtId="0" fontId="166" fillId="38" borderId="171" xfId="0" applyFont="1" applyFill="1" applyBorder="1" applyAlignment="1">
      <alignment horizontal="left" vertical="center" wrapText="1"/>
    </xf>
    <xf numFmtId="0" fontId="166" fillId="38" borderId="170" xfId="0" applyFont="1" applyFill="1" applyBorder="1" applyAlignment="1">
      <alignment horizontal="left" vertical="center" wrapText="1"/>
    </xf>
    <xf numFmtId="0" fontId="166" fillId="38" borderId="165" xfId="0" applyFont="1" applyFill="1" applyBorder="1" applyAlignment="1">
      <alignment horizontal="left" vertical="center" wrapText="1"/>
    </xf>
    <xf numFmtId="0" fontId="166" fillId="38" borderId="166" xfId="0" applyFont="1" applyFill="1" applyBorder="1" applyAlignment="1">
      <alignment horizontal="left" vertical="center" wrapText="1"/>
    </xf>
    <xf numFmtId="0" fontId="166" fillId="38" borderId="13" xfId="0" applyFont="1" applyFill="1" applyBorder="1" applyAlignment="1">
      <alignment horizontal="left" vertical="center" wrapText="1"/>
    </xf>
    <xf numFmtId="0" fontId="28" fillId="27" borderId="53" xfId="0" applyFont="1" applyFill="1" applyBorder="1" applyAlignment="1" applyProtection="1">
      <alignment horizontal="left" vertical="center" wrapText="1"/>
      <protection hidden="1"/>
    </xf>
    <xf numFmtId="0" fontId="28" fillId="27" borderId="54" xfId="0" applyFont="1" applyFill="1" applyBorder="1" applyAlignment="1" applyProtection="1">
      <alignment horizontal="left" vertical="center" wrapText="1"/>
      <protection hidden="1"/>
    </xf>
    <xf numFmtId="0" fontId="28" fillId="27" borderId="86" xfId="0" applyFont="1" applyFill="1" applyBorder="1" applyAlignment="1" applyProtection="1">
      <alignment horizontal="left" vertical="center" wrapText="1"/>
      <protection hidden="1"/>
    </xf>
    <xf numFmtId="207" fontId="23" fillId="31" borderId="188" xfId="0" applyNumberFormat="1" applyFont="1" applyFill="1" applyBorder="1" applyAlignment="1" applyProtection="1">
      <alignment horizontal="center" vertical="center"/>
      <protection locked="0"/>
    </xf>
    <xf numFmtId="0" fontId="166" fillId="0" borderId="115" xfId="0" applyFont="1" applyBorder="1" applyAlignment="1" applyProtection="1">
      <alignment horizontal="center" vertical="center"/>
      <protection locked="0"/>
    </xf>
    <xf numFmtId="0" fontId="28" fillId="27" borderId="57" xfId="0" applyFont="1" applyFill="1" applyBorder="1" applyAlignment="1" applyProtection="1">
      <alignment horizontal="left" vertical="center" wrapText="1"/>
      <protection hidden="1"/>
    </xf>
    <xf numFmtId="0" fontId="28" fillId="27" borderId="58" xfId="0" applyFont="1" applyFill="1" applyBorder="1" applyAlignment="1" applyProtection="1">
      <alignment horizontal="left" vertical="center" wrapText="1"/>
      <protection hidden="1"/>
    </xf>
    <xf numFmtId="181" fontId="28" fillId="27" borderId="51" xfId="0" applyNumberFormat="1" applyFont="1" applyFill="1" applyBorder="1" applyAlignment="1" applyProtection="1">
      <alignment horizontal="left" vertical="center" wrapText="1"/>
      <protection hidden="1"/>
    </xf>
    <xf numFmtId="0" fontId="6" fillId="0" borderId="15" xfId="0" applyFont="1" applyBorder="1" applyAlignment="1">
      <alignment horizontal="left" vertical="center" wrapText="1"/>
    </xf>
    <xf numFmtId="0" fontId="6" fillId="0" borderId="55" xfId="0" applyFont="1" applyBorder="1" applyAlignment="1">
      <alignment horizontal="left" vertical="center" wrapText="1"/>
    </xf>
    <xf numFmtId="0" fontId="166" fillId="48" borderId="14" xfId="0" applyFont="1" applyFill="1" applyBorder="1" applyAlignment="1">
      <alignment horizontal="left" vertical="center" wrapText="1"/>
    </xf>
    <xf numFmtId="0" fontId="166" fillId="48" borderId="170" xfId="0" applyFont="1" applyFill="1" applyBorder="1" applyAlignment="1">
      <alignment horizontal="left" vertical="center" wrapText="1"/>
    </xf>
    <xf numFmtId="0" fontId="28" fillId="27" borderId="26" xfId="0" applyFont="1" applyFill="1" applyBorder="1" applyAlignment="1" applyProtection="1">
      <alignment horizontal="left" vertical="center"/>
      <protection locked="0" hidden="1"/>
    </xf>
    <xf numFmtId="0" fontId="28" fillId="27" borderId="50" xfId="0" applyFont="1" applyFill="1" applyBorder="1" applyAlignment="1" applyProtection="1">
      <alignment horizontal="left" vertical="center"/>
      <protection locked="0" hidden="1"/>
    </xf>
    <xf numFmtId="0" fontId="28" fillId="27" borderId="27" xfId="0" applyFont="1" applyFill="1" applyBorder="1" applyAlignment="1" applyProtection="1">
      <alignment horizontal="left" vertical="center"/>
      <protection locked="0" hidden="1"/>
    </xf>
    <xf numFmtId="0" fontId="28" fillId="27" borderId="51" xfId="0" applyFont="1" applyFill="1" applyBorder="1" applyAlignment="1" applyProtection="1">
      <alignment horizontal="center" vertical="center" wrapText="1"/>
      <protection hidden="1"/>
    </xf>
    <xf numFmtId="0" fontId="28" fillId="27" borderId="55" xfId="0" applyFont="1" applyFill="1" applyBorder="1" applyAlignment="1" applyProtection="1">
      <alignment horizontal="center" vertical="center" wrapText="1"/>
      <protection hidden="1"/>
    </xf>
    <xf numFmtId="207" fontId="23" fillId="31" borderId="92" xfId="0" applyNumberFormat="1" applyFont="1" applyFill="1" applyBorder="1" applyAlignment="1" applyProtection="1">
      <alignment horizontal="center" vertical="center"/>
      <protection locked="0"/>
    </xf>
    <xf numFmtId="0" fontId="166" fillId="0" borderId="100" xfId="0" applyFont="1" applyBorder="1" applyAlignment="1" applyProtection="1">
      <alignment horizontal="center" vertical="center"/>
      <protection locked="0"/>
    </xf>
    <xf numFmtId="0" fontId="166" fillId="0" borderId="220" xfId="0" applyFont="1" applyBorder="1" applyAlignment="1" applyProtection="1">
      <alignment horizontal="center" vertical="center"/>
      <protection locked="0"/>
    </xf>
    <xf numFmtId="0" fontId="6" fillId="0" borderId="165" xfId="0" applyFont="1" applyBorder="1" applyAlignment="1">
      <alignment horizontal="left" vertical="center" wrapText="1"/>
    </xf>
    <xf numFmtId="0" fontId="6" fillId="0" borderId="166" xfId="0" applyFont="1" applyBorder="1" applyAlignment="1">
      <alignment horizontal="left" vertical="center" wrapText="1"/>
    </xf>
    <xf numFmtId="0" fontId="28" fillId="27" borderId="176" xfId="0" applyFont="1" applyFill="1" applyBorder="1" applyAlignment="1">
      <alignment vertical="center" wrapText="1"/>
    </xf>
    <xf numFmtId="0" fontId="166" fillId="0" borderId="181" xfId="0" applyFont="1" applyBorder="1" applyAlignment="1">
      <alignment vertical="center" wrapText="1"/>
    </xf>
    <xf numFmtId="0" fontId="166" fillId="0" borderId="182" xfId="0" applyFont="1" applyBorder="1" applyAlignment="1">
      <alignment vertical="center" wrapText="1"/>
    </xf>
    <xf numFmtId="0" fontId="28" fillId="27" borderId="12" xfId="0" applyFont="1" applyFill="1" applyBorder="1" applyAlignment="1">
      <alignment vertical="center" wrapText="1"/>
    </xf>
    <xf numFmtId="0" fontId="28" fillId="27" borderId="177" xfId="0" applyFont="1" applyFill="1" applyBorder="1" applyAlignment="1">
      <alignment horizontal="center" vertical="center" wrapText="1"/>
    </xf>
    <xf numFmtId="0" fontId="28" fillId="0" borderId="167" xfId="0" applyFont="1" applyBorder="1" applyAlignment="1">
      <alignment horizontal="center" vertical="center" wrapText="1"/>
    </xf>
    <xf numFmtId="0" fontId="28" fillId="27" borderId="175" xfId="0" applyFont="1" applyFill="1" applyBorder="1" applyAlignment="1">
      <alignment vertical="center" wrapText="1"/>
    </xf>
    <xf numFmtId="0" fontId="166" fillId="0" borderId="87" xfId="0" applyFont="1" applyBorder="1" applyAlignment="1">
      <alignment vertical="center" wrapText="1"/>
    </xf>
    <xf numFmtId="0" fontId="28" fillId="27" borderId="222" xfId="0" applyFont="1" applyFill="1" applyBorder="1" applyAlignment="1">
      <alignment vertical="center" wrapText="1"/>
    </xf>
    <xf numFmtId="0" fontId="166" fillId="0" borderId="118" xfId="0" applyFont="1" applyBorder="1" applyAlignment="1">
      <alignment vertical="center" wrapText="1"/>
    </xf>
    <xf numFmtId="0" fontId="166" fillId="0" borderId="223" xfId="0" applyFont="1" applyBorder="1" applyAlignment="1">
      <alignment vertical="center" wrapText="1"/>
    </xf>
    <xf numFmtId="0" fontId="28" fillId="27" borderId="167" xfId="0" applyFont="1" applyFill="1" applyBorder="1" applyAlignment="1">
      <alignment horizontal="center" vertical="center" wrapText="1"/>
    </xf>
    <xf numFmtId="176" fontId="28" fillId="27" borderId="12" xfId="0" applyNumberFormat="1" applyFont="1" applyFill="1" applyBorder="1" applyAlignment="1" applyProtection="1">
      <alignment horizontal="left" vertical="center" wrapText="1"/>
      <protection hidden="1"/>
    </xf>
    <xf numFmtId="0" fontId="28" fillId="27" borderId="26" xfId="0" applyFont="1" applyFill="1" applyBorder="1" applyAlignment="1">
      <alignment horizontal="center" vertical="center"/>
    </xf>
    <xf numFmtId="0" fontId="28" fillId="27" borderId="50" xfId="0" applyFont="1" applyFill="1" applyBorder="1" applyAlignment="1">
      <alignment horizontal="center" vertical="center"/>
    </xf>
    <xf numFmtId="0" fontId="28" fillId="27" borderId="27" xfId="0" applyFont="1" applyFill="1" applyBorder="1" applyAlignment="1">
      <alignment horizontal="center" vertical="center"/>
    </xf>
    <xf numFmtId="0" fontId="28" fillId="27" borderId="164" xfId="0" applyFont="1" applyFill="1" applyBorder="1" applyAlignment="1">
      <alignment vertical="center" wrapText="1"/>
    </xf>
    <xf numFmtId="0" fontId="0" fillId="0" borderId="165" xfId="0" applyBorder="1" applyAlignment="1">
      <alignment vertical="center" wrapText="1"/>
    </xf>
    <xf numFmtId="0" fontId="0" fillId="0" borderId="166" xfId="0" applyBorder="1" applyAlignment="1">
      <alignment vertical="center" wrapText="1"/>
    </xf>
    <xf numFmtId="0" fontId="28" fillId="27" borderId="52" xfId="0" applyFont="1" applyFill="1" applyBorder="1" applyAlignment="1">
      <alignment vertical="center" wrapText="1"/>
    </xf>
    <xf numFmtId="0" fontId="0" fillId="0" borderId="54" xfId="0" applyBorder="1" applyAlignment="1">
      <alignment vertical="center" wrapText="1"/>
    </xf>
    <xf numFmtId="0" fontId="0" fillId="0" borderId="175" xfId="0" applyBorder="1" applyAlignment="1">
      <alignment vertical="center" wrapText="1"/>
    </xf>
    <xf numFmtId="0" fontId="0" fillId="0" borderId="196" xfId="0" applyBorder="1" applyAlignment="1">
      <alignment vertical="center" wrapText="1"/>
    </xf>
    <xf numFmtId="0" fontId="166" fillId="0" borderId="64" xfId="0" applyFont="1" applyBorder="1" applyAlignment="1">
      <alignment vertical="center" wrapText="1"/>
    </xf>
    <xf numFmtId="0" fontId="166" fillId="0" borderId="17" xfId="0" applyFont="1" applyBorder="1" applyAlignment="1">
      <alignment vertical="center" wrapText="1"/>
    </xf>
    <xf numFmtId="0" fontId="166" fillId="0" borderId="175" xfId="0" applyFont="1" applyBorder="1" applyAlignment="1">
      <alignment vertical="center" wrapText="1"/>
    </xf>
    <xf numFmtId="207" fontId="23" fillId="31" borderId="92" xfId="0" applyNumberFormat="1" applyFont="1" applyFill="1" applyBorder="1" applyAlignment="1" applyProtection="1">
      <alignment horizontal="center" vertical="center"/>
      <protection locked="0" hidden="1"/>
    </xf>
    <xf numFmtId="0" fontId="28" fillId="27" borderId="187" xfId="0" applyFont="1" applyFill="1" applyBorder="1" applyAlignment="1">
      <alignment vertical="center" wrapText="1"/>
    </xf>
    <xf numFmtId="208" fontId="45" fillId="27" borderId="50" xfId="0" applyNumberFormat="1" applyFont="1" applyFill="1" applyBorder="1" applyAlignment="1" applyProtection="1">
      <alignment horizontal="center" vertical="center" wrapText="1"/>
      <protection hidden="1"/>
    </xf>
    <xf numFmtId="181" fontId="28" fillId="31" borderId="26" xfId="0" applyNumberFormat="1" applyFont="1" applyFill="1" applyBorder="1" applyAlignment="1" applyProtection="1">
      <alignment horizontal="center" vertical="center" wrapText="1"/>
      <protection hidden="1"/>
    </xf>
    <xf numFmtId="0" fontId="28" fillId="27" borderId="181" xfId="0" applyFont="1" applyFill="1" applyBorder="1" applyAlignment="1">
      <alignment horizontal="left" vertical="center" wrapText="1"/>
    </xf>
    <xf numFmtId="0" fontId="28" fillId="27" borderId="182" xfId="0" applyFont="1" applyFill="1" applyBorder="1" applyAlignment="1">
      <alignment horizontal="left" vertical="center" wrapText="1"/>
    </xf>
    <xf numFmtId="0" fontId="28" fillId="27" borderId="0" xfId="0" applyFont="1" applyFill="1" applyAlignment="1">
      <alignment horizontal="left" vertical="center" wrapText="1"/>
    </xf>
    <xf numFmtId="0" fontId="28" fillId="27" borderId="17" xfId="0" applyFont="1" applyFill="1" applyBorder="1" applyAlignment="1">
      <alignment horizontal="left" vertical="center" wrapText="1"/>
    </xf>
    <xf numFmtId="0" fontId="28" fillId="27" borderId="57" xfId="0" applyFont="1" applyFill="1" applyBorder="1" applyAlignment="1">
      <alignment horizontal="left" vertical="center" wrapText="1"/>
    </xf>
    <xf numFmtId="0" fontId="28" fillId="27" borderId="58" xfId="0" applyFont="1" applyFill="1" applyBorder="1" applyAlignment="1">
      <alignment horizontal="left" vertical="center" wrapText="1"/>
    </xf>
    <xf numFmtId="0" fontId="28" fillId="27" borderId="64" xfId="0" applyFont="1" applyFill="1" applyBorder="1" applyAlignment="1">
      <alignment horizontal="left" vertical="center" wrapText="1"/>
    </xf>
    <xf numFmtId="0" fontId="28" fillId="27" borderId="13" xfId="0" applyFont="1" applyFill="1" applyBorder="1" applyAlignment="1">
      <alignment horizontal="left" vertical="center" wrapText="1"/>
    </xf>
    <xf numFmtId="0" fontId="166" fillId="0" borderId="120" xfId="0" applyFont="1" applyBorder="1" applyAlignment="1">
      <alignment vertical="center" wrapText="1"/>
    </xf>
    <xf numFmtId="0" fontId="166" fillId="0" borderId="56" xfId="0" applyFont="1" applyBorder="1" applyAlignment="1">
      <alignment vertical="center" wrapText="1"/>
    </xf>
    <xf numFmtId="0" fontId="166" fillId="0" borderId="58" xfId="0" applyFont="1" applyBorder="1" applyAlignment="1">
      <alignment vertical="center" wrapText="1"/>
    </xf>
    <xf numFmtId="0" fontId="28" fillId="27" borderId="52" xfId="0" applyFont="1" applyFill="1" applyBorder="1" applyAlignment="1">
      <alignment horizontal="center" vertical="center"/>
    </xf>
    <xf numFmtId="0" fontId="28" fillId="27" borderId="54" xfId="0" applyFont="1" applyFill="1" applyBorder="1" applyAlignment="1">
      <alignment horizontal="center" vertical="center"/>
    </xf>
    <xf numFmtId="0" fontId="28" fillId="27" borderId="64" xfId="0" applyFont="1" applyFill="1" applyBorder="1" applyAlignment="1">
      <alignment horizontal="center" vertical="center"/>
    </xf>
    <xf numFmtId="0" fontId="28" fillId="27" borderId="17" xfId="0" applyFont="1" applyFill="1" applyBorder="1" applyAlignment="1">
      <alignment horizontal="center" vertical="center"/>
    </xf>
    <xf numFmtId="0" fontId="28" fillId="27" borderId="56" xfId="0" applyFont="1" applyFill="1" applyBorder="1" applyAlignment="1">
      <alignment horizontal="center" vertical="center"/>
    </xf>
    <xf numFmtId="0" fontId="28" fillId="27" borderId="58" xfId="0" applyFont="1" applyFill="1" applyBorder="1" applyAlignment="1">
      <alignment horizontal="center" vertical="center"/>
    </xf>
    <xf numFmtId="0" fontId="28" fillId="27" borderId="165" xfId="0" applyFont="1" applyFill="1" applyBorder="1" applyAlignment="1">
      <alignment horizontal="left" vertical="center" wrapText="1"/>
    </xf>
    <xf numFmtId="0" fontId="166" fillId="27" borderId="11" xfId="0" applyFont="1" applyFill="1" applyBorder="1" applyAlignment="1">
      <alignment horizontal="center" vertical="center" wrapText="1"/>
    </xf>
    <xf numFmtId="0" fontId="166" fillId="27" borderId="168" xfId="0" applyFont="1" applyFill="1" applyBorder="1" applyAlignment="1">
      <alignment horizontal="center" vertical="center" wrapText="1"/>
    </xf>
    <xf numFmtId="0" fontId="28" fillId="27" borderId="175" xfId="0" applyFont="1" applyFill="1" applyBorder="1" applyAlignment="1" applyProtection="1">
      <alignment horizontal="left" vertical="center" wrapText="1"/>
      <protection locked="0"/>
    </xf>
    <xf numFmtId="0" fontId="28" fillId="27" borderId="87" xfId="0" applyFont="1" applyFill="1" applyBorder="1" applyAlignment="1" applyProtection="1">
      <alignment horizontal="left" vertical="center" wrapText="1"/>
      <protection locked="0"/>
    </xf>
    <xf numFmtId="0" fontId="28" fillId="27" borderId="55" xfId="0" applyFont="1" applyFill="1" applyBorder="1" applyAlignment="1">
      <alignment horizontal="center" vertical="center" wrapText="1"/>
    </xf>
    <xf numFmtId="0" fontId="28" fillId="27" borderId="202" xfId="0" applyFont="1" applyFill="1" applyBorder="1" applyAlignment="1">
      <alignment horizontal="left" vertical="center" wrapText="1"/>
    </xf>
    <xf numFmtId="0" fontId="166" fillId="0" borderId="181" xfId="0" applyFont="1" applyBorder="1" applyAlignment="1">
      <alignment horizontal="left" vertical="center" wrapText="1"/>
    </xf>
    <xf numFmtId="0" fontId="28" fillId="27" borderId="62" xfId="0" applyFont="1" applyFill="1" applyBorder="1" applyAlignment="1">
      <alignment horizontal="left" vertical="center" wrapText="1"/>
    </xf>
    <xf numFmtId="0" fontId="166" fillId="0" borderId="0" xfId="0" applyFont="1" applyAlignment="1">
      <alignment horizontal="left" vertical="center" wrapText="1"/>
    </xf>
    <xf numFmtId="0" fontId="28" fillId="27" borderId="86" xfId="0" applyFont="1" applyFill="1" applyBorder="1" applyAlignment="1">
      <alignment horizontal="left" vertical="center" wrapText="1"/>
    </xf>
    <xf numFmtId="0" fontId="166" fillId="0" borderId="87" xfId="0" applyFont="1" applyBorder="1" applyAlignment="1">
      <alignment horizontal="left" vertical="center" wrapText="1"/>
    </xf>
    <xf numFmtId="0" fontId="28" fillId="27" borderId="164" xfId="0" applyFont="1" applyFill="1" applyBorder="1" applyAlignment="1" applyProtection="1">
      <alignment horizontal="center" vertical="center" shrinkToFit="1"/>
      <protection hidden="1"/>
    </xf>
    <xf numFmtId="0" fontId="28" fillId="27" borderId="165" xfId="0" applyFont="1" applyFill="1" applyBorder="1" applyAlignment="1" applyProtection="1">
      <alignment horizontal="center" vertical="center" shrinkToFit="1"/>
      <protection hidden="1"/>
    </xf>
    <xf numFmtId="0" fontId="28" fillId="27" borderId="166" xfId="0" applyFont="1" applyFill="1" applyBorder="1" applyAlignment="1" applyProtection="1">
      <alignment horizontal="center" vertical="center" shrinkToFit="1"/>
      <protection hidden="1"/>
    </xf>
    <xf numFmtId="0" fontId="28" fillId="27" borderId="54" xfId="0" applyFont="1" applyFill="1" applyBorder="1" applyAlignment="1" applyProtection="1">
      <alignment horizontal="center" vertical="center" wrapText="1"/>
      <protection hidden="1"/>
    </xf>
    <xf numFmtId="0" fontId="28" fillId="27" borderId="64" xfId="0" applyFont="1" applyFill="1" applyBorder="1" applyAlignment="1" applyProtection="1">
      <alignment horizontal="center" vertical="center" wrapText="1"/>
      <protection hidden="1"/>
    </xf>
    <xf numFmtId="0" fontId="28" fillId="27" borderId="56" xfId="0" applyFont="1" applyFill="1" applyBorder="1" applyAlignment="1" applyProtection="1">
      <alignment horizontal="center" vertical="center" wrapText="1"/>
      <protection hidden="1"/>
    </xf>
    <xf numFmtId="0" fontId="28" fillId="27" borderId="58" xfId="0" applyFont="1" applyFill="1" applyBorder="1" applyAlignment="1" applyProtection="1">
      <alignment horizontal="center" vertical="center" wrapText="1"/>
      <protection hidden="1"/>
    </xf>
    <xf numFmtId="0" fontId="28" fillId="27" borderId="53" xfId="0" applyFont="1" applyFill="1" applyBorder="1" applyAlignment="1">
      <alignment horizontal="left" vertical="center" wrapText="1"/>
    </xf>
    <xf numFmtId="0" fontId="28" fillId="0" borderId="53" xfId="0" applyFont="1" applyBorder="1" applyAlignment="1">
      <alignment horizontal="left" vertical="center" wrapText="1"/>
    </xf>
    <xf numFmtId="0" fontId="28" fillId="0" borderId="54" xfId="0" applyFont="1" applyBorder="1" applyAlignment="1">
      <alignment horizontal="left" vertical="center" wrapText="1"/>
    </xf>
    <xf numFmtId="0" fontId="166" fillId="0" borderId="87" xfId="0" applyFont="1" applyBorder="1">
      <alignment vertical="center"/>
    </xf>
    <xf numFmtId="0" fontId="166" fillId="0" borderId="196" xfId="0" applyFont="1" applyBorder="1">
      <alignment vertical="center"/>
    </xf>
    <xf numFmtId="0" fontId="28" fillId="0" borderId="53" xfId="0" applyFont="1" applyBorder="1" applyAlignment="1">
      <alignment horizontal="left" vertical="top" wrapText="1"/>
    </xf>
    <xf numFmtId="0" fontId="28" fillId="27" borderId="10" xfId="0" applyFont="1" applyFill="1" applyBorder="1" applyAlignment="1" applyProtection="1">
      <alignment horizontal="center" vertical="center" wrapText="1"/>
      <protection hidden="1"/>
    </xf>
    <xf numFmtId="0" fontId="28" fillId="27" borderId="89" xfId="0" applyFont="1" applyFill="1" applyBorder="1" applyAlignment="1">
      <alignment horizontal="left" vertical="center" wrapText="1"/>
    </xf>
    <xf numFmtId="0" fontId="166" fillId="27" borderId="16" xfId="0" applyFont="1" applyFill="1" applyBorder="1" applyAlignment="1">
      <alignment horizontal="center" vertical="center" wrapText="1"/>
    </xf>
    <xf numFmtId="0" fontId="67" fillId="0" borderId="53" xfId="0" applyFont="1" applyBorder="1" applyAlignment="1">
      <alignment horizontal="left" vertical="top" wrapText="1"/>
    </xf>
    <xf numFmtId="0" fontId="37" fillId="0" borderId="53" xfId="0" applyFont="1" applyBorder="1" applyAlignment="1">
      <alignment horizontal="left" vertical="top" wrapText="1"/>
    </xf>
    <xf numFmtId="0" fontId="28" fillId="27" borderId="52" xfId="0" applyFont="1" applyFill="1" applyBorder="1" applyAlignment="1" applyProtection="1">
      <alignment horizontal="center" vertical="center"/>
      <protection hidden="1"/>
    </xf>
    <xf numFmtId="0" fontId="28" fillId="27" borderId="54" xfId="0" applyFont="1" applyFill="1" applyBorder="1" applyAlignment="1" applyProtection="1">
      <alignment horizontal="center" vertical="center"/>
      <protection hidden="1"/>
    </xf>
    <xf numFmtId="0" fontId="28" fillId="27" borderId="64" xfId="0" applyFont="1" applyFill="1" applyBorder="1" applyAlignment="1" applyProtection="1">
      <alignment horizontal="center" vertical="center"/>
      <protection hidden="1"/>
    </xf>
    <xf numFmtId="0" fontId="28" fillId="27" borderId="17" xfId="0" applyFont="1" applyFill="1" applyBorder="1" applyAlignment="1" applyProtection="1">
      <alignment horizontal="center" vertical="center"/>
      <protection hidden="1"/>
    </xf>
    <xf numFmtId="0" fontId="28" fillId="27" borderId="56" xfId="0" applyFont="1" applyFill="1" applyBorder="1" applyAlignment="1" applyProtection="1">
      <alignment horizontal="center" vertical="center"/>
      <protection hidden="1"/>
    </xf>
    <xf numFmtId="0" fontId="28" fillId="27" borderId="58" xfId="0" applyFont="1" applyFill="1" applyBorder="1" applyAlignment="1" applyProtection="1">
      <alignment horizontal="center" vertical="center"/>
      <protection hidden="1"/>
    </xf>
    <xf numFmtId="0" fontId="28" fillId="27" borderId="14" xfId="0" applyFont="1" applyFill="1" applyBorder="1" applyAlignment="1">
      <alignment horizontal="left" vertical="center" wrapText="1"/>
    </xf>
    <xf numFmtId="0" fontId="28" fillId="27" borderId="77" xfId="0" applyFont="1" applyFill="1" applyBorder="1" applyAlignment="1">
      <alignment horizontal="left" vertical="center" wrapText="1"/>
    </xf>
    <xf numFmtId="0" fontId="28" fillId="27" borderId="54" xfId="0" applyFont="1" applyFill="1" applyBorder="1" applyAlignment="1">
      <alignment horizontal="left" vertical="center" wrapText="1"/>
    </xf>
    <xf numFmtId="0" fontId="28" fillId="27" borderId="87" xfId="0" applyFont="1" applyFill="1" applyBorder="1" applyAlignment="1">
      <alignment horizontal="left" vertical="center" wrapText="1"/>
    </xf>
    <xf numFmtId="0" fontId="28" fillId="27" borderId="196" xfId="0" applyFont="1" applyFill="1" applyBorder="1" applyAlignment="1">
      <alignment horizontal="left" vertical="center" wrapText="1"/>
    </xf>
    <xf numFmtId="0" fontId="28" fillId="27" borderId="184" xfId="0" applyFont="1" applyFill="1" applyBorder="1" applyAlignment="1">
      <alignment horizontal="left" vertical="center" wrapText="1"/>
    </xf>
    <xf numFmtId="0" fontId="28" fillId="0" borderId="15" xfId="0" applyFont="1" applyBorder="1" applyAlignment="1">
      <alignment horizontal="center" vertical="center" wrapText="1"/>
    </xf>
    <xf numFmtId="0" fontId="28" fillId="27" borderId="52" xfId="0" applyFont="1" applyFill="1" applyBorder="1" applyAlignment="1" applyProtection="1">
      <alignment horizontal="left" vertical="center" wrapText="1"/>
      <protection hidden="1"/>
    </xf>
    <xf numFmtId="0" fontId="28" fillId="27" borderId="56" xfId="0" applyFont="1" applyFill="1" applyBorder="1" applyAlignment="1" applyProtection="1">
      <alignment horizontal="left" vertical="center" wrapText="1"/>
      <protection hidden="1"/>
    </xf>
    <xf numFmtId="0" fontId="166" fillId="0" borderId="220" xfId="0" applyFont="1" applyBorder="1" applyProtection="1">
      <alignment vertical="center"/>
      <protection locked="0"/>
    </xf>
    <xf numFmtId="0" fontId="166" fillId="0" borderId="100" xfId="0" applyFont="1" applyBorder="1" applyProtection="1">
      <alignment vertical="center"/>
      <protection locked="0"/>
    </xf>
    <xf numFmtId="0" fontId="166" fillId="0" borderId="115" xfId="0" applyFont="1" applyBorder="1" applyProtection="1">
      <alignment vertical="center"/>
      <protection locked="0"/>
    </xf>
    <xf numFmtId="0" fontId="166" fillId="0" borderId="181" xfId="0" applyFont="1" applyBorder="1">
      <alignment vertical="center"/>
    </xf>
    <xf numFmtId="0" fontId="166" fillId="0" borderId="182" xfId="0" applyFont="1" applyBorder="1">
      <alignment vertical="center"/>
    </xf>
    <xf numFmtId="0" fontId="166" fillId="0" borderId="62" xfId="0" applyFont="1" applyBorder="1">
      <alignment vertical="center"/>
    </xf>
    <xf numFmtId="0" fontId="166" fillId="0" borderId="0" xfId="0" applyFont="1">
      <alignment vertical="center"/>
    </xf>
    <xf numFmtId="0" fontId="166" fillId="0" borderId="17" xfId="0" applyFont="1" applyBorder="1">
      <alignment vertical="center"/>
    </xf>
    <xf numFmtId="0" fontId="166" fillId="0" borderId="77" xfId="0" applyFont="1" applyBorder="1">
      <alignment vertical="center"/>
    </xf>
    <xf numFmtId="0" fontId="166" fillId="0" borderId="57" xfId="0" applyFont="1" applyBorder="1">
      <alignment vertical="center"/>
    </xf>
    <xf numFmtId="0" fontId="166" fillId="0" borderId="58" xfId="0" applyFont="1" applyBorder="1">
      <alignment vertical="center"/>
    </xf>
    <xf numFmtId="0" fontId="28" fillId="27" borderId="171" xfId="0" applyFont="1" applyFill="1" applyBorder="1" applyAlignment="1">
      <alignment horizontal="left" vertical="center" wrapText="1"/>
    </xf>
    <xf numFmtId="0" fontId="28" fillId="27" borderId="170" xfId="0" applyFont="1" applyFill="1" applyBorder="1" applyAlignment="1">
      <alignment horizontal="left" vertical="center" wrapText="1"/>
    </xf>
    <xf numFmtId="0" fontId="28" fillId="0" borderId="0" xfId="0" applyFont="1" applyAlignment="1">
      <alignment horizontal="left" vertical="center"/>
    </xf>
    <xf numFmtId="0" fontId="28" fillId="0" borderId="0" xfId="0" applyFont="1" applyAlignment="1">
      <alignment horizontal="left" vertical="center" shrinkToFit="1"/>
    </xf>
    <xf numFmtId="0" fontId="0" fillId="0" borderId="0" xfId="0" applyAlignment="1">
      <alignment horizontal="left" vertical="center" shrinkToFit="1"/>
    </xf>
    <xf numFmtId="0" fontId="28" fillId="29" borderId="0" xfId="0" applyFont="1" applyFill="1" applyAlignment="1">
      <alignment horizontal="left" vertical="center"/>
    </xf>
    <xf numFmtId="2" fontId="33" fillId="35" borderId="10" xfId="0" applyNumberFormat="1" applyFont="1" applyFill="1" applyBorder="1" applyAlignment="1" applyProtection="1">
      <alignment horizontal="center"/>
      <protection hidden="1"/>
    </xf>
    <xf numFmtId="2" fontId="33" fillId="35" borderId="51" xfId="0" applyNumberFormat="1" applyFont="1" applyFill="1" applyBorder="1" applyAlignment="1" applyProtection="1">
      <alignment horizontal="center"/>
      <protection hidden="1"/>
    </xf>
    <xf numFmtId="0" fontId="33" fillId="27" borderId="26" xfId="0" applyFont="1" applyFill="1" applyBorder="1" applyAlignment="1">
      <alignment horizontal="center" vertical="center"/>
    </xf>
    <xf numFmtId="0" fontId="33" fillId="27" borderId="27" xfId="0" applyFont="1" applyFill="1" applyBorder="1" applyAlignment="1">
      <alignment horizontal="center" vertical="center"/>
    </xf>
    <xf numFmtId="0" fontId="33" fillId="27" borderId="51" xfId="0" applyFont="1" applyFill="1" applyBorder="1" applyAlignment="1">
      <alignment horizontal="center" vertical="center" wrapText="1"/>
    </xf>
    <xf numFmtId="0" fontId="33" fillId="27" borderId="15" xfId="0" applyFont="1" applyFill="1" applyBorder="1" applyAlignment="1">
      <alignment horizontal="center" vertical="center"/>
    </xf>
    <xf numFmtId="0" fontId="33" fillId="27" borderId="55" xfId="0" applyFont="1" applyFill="1" applyBorder="1" applyAlignment="1">
      <alignment horizontal="center" vertical="center"/>
    </xf>
    <xf numFmtId="0" fontId="33" fillId="27" borderId="15" xfId="0" applyFont="1" applyFill="1" applyBorder="1" applyAlignment="1">
      <alignment horizontal="center" vertical="center" wrapText="1"/>
    </xf>
    <xf numFmtId="0" fontId="33" fillId="27" borderId="64" xfId="0" applyFont="1" applyFill="1" applyBorder="1" applyAlignment="1">
      <alignment horizontal="center" vertical="center" wrapText="1"/>
    </xf>
    <xf numFmtId="0" fontId="33" fillId="41" borderId="51" xfId="0" applyFont="1" applyFill="1" applyBorder="1" applyAlignment="1" applyProtection="1">
      <alignment horizontal="center" vertical="center"/>
      <protection locked="0"/>
    </xf>
    <xf numFmtId="0" fontId="33" fillId="41" borderId="15" xfId="0" applyFont="1" applyFill="1" applyBorder="1" applyAlignment="1" applyProtection="1">
      <alignment horizontal="center" vertical="center"/>
      <protection locked="0"/>
    </xf>
    <xf numFmtId="0" fontId="33" fillId="41" borderId="55" xfId="0" applyFont="1" applyFill="1" applyBorder="1" applyAlignment="1" applyProtection="1">
      <alignment horizontal="center" vertical="center"/>
      <protection locked="0"/>
    </xf>
    <xf numFmtId="0" fontId="33" fillId="27" borderId="10" xfId="0" applyFont="1" applyFill="1" applyBorder="1" applyAlignment="1">
      <alignment horizontal="center" vertical="center"/>
    </xf>
  </cellXfs>
  <cellStyles count="48">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xfId="28" builtinId="5"/>
    <cellStyle name="ハイパーリンク" xfId="29" builtinId="8"/>
    <cellStyle name="メモ" xfId="30" builtinId="10" customBuiltin="1"/>
    <cellStyle name="リンク セル" xfId="31" builtinId="24" customBuiltin="1"/>
    <cellStyle name="悪い" xfId="32" builtinId="27" customBuiltin="1"/>
    <cellStyle name="計算" xfId="33" builtinId="22" customBuiltin="1"/>
    <cellStyle name="警告文" xfId="34" builtinId="11" customBuiltin="1"/>
    <cellStyle name="桁区切り" xfId="35" builtinId="6"/>
    <cellStyle name="見出し 1" xfId="36" builtinId="16" customBuiltin="1"/>
    <cellStyle name="見出し 2" xfId="37" builtinId="17" customBuiltin="1"/>
    <cellStyle name="見出し 3" xfId="38" builtinId="18" customBuiltin="1"/>
    <cellStyle name="見出し 4" xfId="39" builtinId="19" customBuiltin="1"/>
    <cellStyle name="集計" xfId="40" builtinId="25" customBuiltin="1"/>
    <cellStyle name="出力" xfId="41" builtinId="21" customBuiltin="1"/>
    <cellStyle name="説明文" xfId="42" builtinId="53" customBuiltin="1"/>
    <cellStyle name="入力" xfId="43" builtinId="20" customBuiltin="1"/>
    <cellStyle name="標準" xfId="0" builtinId="0"/>
    <cellStyle name="標準_070627LCCO2計算" xfId="44" xr:uid="{00000000-0005-0000-0000-00002C000000}"/>
    <cellStyle name="標準_070627LCCO2計算_100308事業者別CO2排出係数シート案" xfId="45" xr:uid="{00000000-0005-0000-0000-00002D000000}"/>
    <cellStyle name="標準_選定シートV1.0" xfId="46" xr:uid="{00000000-0005-0000-0000-00002E000000}"/>
    <cellStyle name="良い" xfId="47" builtinId="26" customBuiltin="1"/>
  </cellStyles>
  <dxfs count="162">
    <dxf>
      <fill>
        <patternFill>
          <bgColor indexed="41"/>
        </patternFill>
      </fill>
    </dxf>
    <dxf>
      <fill>
        <patternFill>
          <bgColor indexed="51"/>
        </patternFill>
      </fill>
    </dxf>
    <dxf>
      <fill>
        <patternFill>
          <bgColor indexed="10"/>
        </patternFill>
      </fill>
    </dxf>
    <dxf>
      <fill>
        <patternFill>
          <bgColor indexed="41"/>
        </patternFill>
      </fill>
    </dxf>
    <dxf>
      <fill>
        <patternFill>
          <bgColor indexed="51"/>
        </patternFill>
      </fill>
    </dxf>
    <dxf>
      <fill>
        <patternFill>
          <bgColor indexed="10"/>
        </patternFill>
      </fill>
    </dxf>
    <dxf>
      <fill>
        <patternFill>
          <bgColor indexed="27"/>
        </patternFill>
      </fill>
    </dxf>
    <dxf>
      <fill>
        <patternFill>
          <bgColor indexed="27"/>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14"/>
        </patternFill>
      </fill>
    </dxf>
    <dxf>
      <fill>
        <patternFill>
          <bgColor indexed="41"/>
        </patternFill>
      </fill>
    </dxf>
    <dxf>
      <fill>
        <patternFill>
          <bgColor indexed="41"/>
        </patternFill>
      </fill>
    </dxf>
    <dxf>
      <fill>
        <patternFill>
          <bgColor indexed="27"/>
        </patternFill>
      </fill>
    </dxf>
    <dxf>
      <fill>
        <patternFill>
          <bgColor indexed="27"/>
        </patternFill>
      </fill>
    </dxf>
    <dxf>
      <fill>
        <patternFill>
          <bgColor indexed="14"/>
        </patternFill>
      </fill>
    </dxf>
    <dxf>
      <fill>
        <patternFill>
          <bgColor indexed="41"/>
        </patternFill>
      </fill>
    </dxf>
    <dxf>
      <fill>
        <patternFill>
          <bgColor indexed="27"/>
        </patternFill>
      </fill>
    </dxf>
    <dxf>
      <fill>
        <patternFill>
          <bgColor indexed="14"/>
        </patternFill>
      </fill>
    </dxf>
    <dxf>
      <fill>
        <patternFill>
          <bgColor indexed="41"/>
        </patternFill>
      </fill>
    </dxf>
    <dxf>
      <fill>
        <patternFill>
          <bgColor indexed="22"/>
        </patternFill>
      </fill>
    </dxf>
    <dxf>
      <fill>
        <patternFill>
          <bgColor indexed="27"/>
        </patternFill>
      </fill>
    </dxf>
    <dxf>
      <fill>
        <patternFill>
          <bgColor indexed="27"/>
        </patternFill>
      </fill>
    </dxf>
    <dxf>
      <fill>
        <patternFill>
          <bgColor indexed="14"/>
        </patternFill>
      </fill>
    </dxf>
    <dxf>
      <fill>
        <patternFill>
          <bgColor indexed="10"/>
        </patternFill>
      </fill>
    </dxf>
    <dxf>
      <fill>
        <patternFill>
          <bgColor rgb="FFFFFF00"/>
        </patternFill>
      </fill>
    </dxf>
    <dxf>
      <fill>
        <patternFill>
          <bgColor indexed="10"/>
        </patternFill>
      </fill>
    </dxf>
    <dxf>
      <fill>
        <patternFill>
          <bgColor indexed="27"/>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theme="0" tint="-0.24994659260841701"/>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6"/>
        </patternFill>
      </fill>
    </dxf>
    <dxf>
      <fill>
        <patternFill>
          <bgColor indexed="14"/>
        </patternFill>
      </fill>
    </dxf>
    <dxf>
      <fill>
        <patternFill>
          <bgColor indexed="27"/>
        </patternFill>
      </fill>
    </dxf>
    <dxf>
      <fill>
        <patternFill>
          <bgColor indexed="27"/>
        </patternFill>
      </fill>
    </dxf>
    <dxf>
      <fill>
        <patternFill>
          <bgColor indexed="41"/>
        </patternFill>
      </fill>
    </dxf>
    <dxf>
      <fill>
        <patternFill>
          <bgColor indexed="41"/>
        </patternFill>
      </fill>
    </dxf>
    <dxf>
      <fill>
        <patternFill>
          <bgColor indexed="27"/>
        </patternFill>
      </fill>
    </dxf>
    <dxf>
      <fill>
        <patternFill>
          <bgColor indexed="14"/>
        </patternFill>
      </fill>
    </dxf>
    <dxf>
      <font>
        <b/>
        <i val="0"/>
        <condense val="0"/>
        <extend val="0"/>
        <color indexed="10"/>
      </font>
    </dxf>
    <dxf>
      <font>
        <b/>
        <i val="0"/>
        <condense val="0"/>
        <extend val="0"/>
        <color indexed="10"/>
      </font>
    </dxf>
    <dxf>
      <font>
        <b/>
        <i val="0"/>
        <condense val="0"/>
        <extend val="0"/>
        <color indexed="10"/>
      </font>
    </dxf>
    <dxf>
      <fill>
        <patternFill>
          <bgColor indexed="27"/>
        </patternFill>
      </fill>
    </dxf>
    <dxf>
      <fill>
        <patternFill>
          <bgColor indexed="14"/>
        </patternFill>
      </fill>
    </dxf>
    <dxf>
      <font>
        <condense val="0"/>
        <extend val="0"/>
        <u val="none"/>
        <color auto="1"/>
      </font>
      <fill>
        <patternFill>
          <bgColor indexed="27"/>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27"/>
        </patternFill>
      </fill>
    </dxf>
    <dxf>
      <fill>
        <patternFill>
          <bgColor indexed="14"/>
        </patternFill>
      </fill>
    </dxf>
    <dxf>
      <fill>
        <patternFill>
          <bgColor indexed="41"/>
        </patternFill>
      </fill>
    </dxf>
    <dxf>
      <fill>
        <patternFill>
          <bgColor indexed="41"/>
        </patternFill>
      </fill>
    </dxf>
    <dxf>
      <fill>
        <patternFill>
          <bgColor indexed="27"/>
        </patternFill>
      </fill>
    </dxf>
    <dxf>
      <font>
        <condense val="0"/>
        <extend val="0"/>
        <color auto="1"/>
      </font>
      <fill>
        <patternFill>
          <bgColor indexed="27"/>
        </patternFill>
      </fill>
    </dxf>
    <dxf>
      <fill>
        <patternFill>
          <bgColor indexed="27"/>
        </patternFill>
      </fill>
    </dxf>
    <dxf>
      <fill>
        <patternFill>
          <bgColor indexed="14"/>
        </patternFill>
      </fill>
    </dxf>
    <dxf>
      <fill>
        <patternFill>
          <bgColor indexed="14"/>
        </patternFill>
      </fill>
    </dxf>
    <dxf>
      <fill>
        <patternFill>
          <bgColor indexed="27"/>
        </patternFill>
      </fill>
    </dxf>
    <dxf>
      <fill>
        <patternFill>
          <bgColor indexed="27"/>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27"/>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indexed="41"/>
        </patternFill>
      </fill>
    </dxf>
    <dxf>
      <font>
        <condense val="0"/>
        <extend val="0"/>
        <color auto="1"/>
      </font>
      <fill>
        <patternFill>
          <bgColor indexed="26"/>
        </patternFill>
      </fill>
    </dxf>
    <dxf>
      <fill>
        <patternFill>
          <bgColor indexed="41"/>
        </patternFill>
      </fill>
    </dxf>
    <dxf>
      <fill>
        <patternFill>
          <bgColor indexed="41"/>
        </patternFill>
      </fill>
    </dxf>
    <dxf>
      <fill>
        <patternFill>
          <bgColor indexed="26"/>
        </patternFill>
      </fill>
    </dxf>
    <dxf>
      <font>
        <condense val="0"/>
        <extend val="0"/>
        <color auto="1"/>
      </font>
      <fill>
        <patternFill patternType="solid">
          <bgColor indexed="26"/>
        </patternFill>
      </fill>
    </dxf>
    <dxf>
      <fill>
        <patternFill>
          <bgColor indexed="41"/>
        </patternFill>
      </fill>
    </dxf>
    <dxf>
      <font>
        <condense val="0"/>
        <extend val="0"/>
        <color auto="1"/>
      </font>
      <fill>
        <patternFill>
          <bgColor indexed="27"/>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41"/>
        </patternFill>
      </fill>
    </dxf>
    <dxf>
      <fill>
        <patternFill>
          <bgColor indexed="41"/>
        </patternFill>
      </fill>
    </dxf>
    <dxf>
      <fill>
        <patternFill>
          <bgColor indexed="27"/>
        </patternFill>
      </fill>
    </dxf>
    <dxf>
      <fill>
        <patternFill>
          <bgColor indexed="26"/>
        </patternFill>
      </fill>
    </dxf>
    <dxf>
      <fill>
        <patternFill>
          <bgColor indexed="41"/>
        </patternFill>
      </fill>
    </dxf>
    <dxf>
      <fill>
        <patternFill>
          <bgColor indexed="14"/>
        </patternFill>
      </fill>
    </dxf>
    <dxf>
      <fill>
        <patternFill>
          <bgColor indexed="41"/>
        </patternFill>
      </fill>
    </dxf>
    <dxf>
      <fill>
        <patternFill>
          <bgColor indexed="14"/>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14"/>
        </patternFill>
      </fill>
    </dxf>
    <dxf>
      <fill>
        <patternFill>
          <bgColor indexed="27"/>
        </patternFill>
      </fill>
    </dxf>
    <dxf>
      <fill>
        <patternFill>
          <bgColor indexed="14"/>
        </patternFill>
      </fill>
    </dxf>
    <dxf>
      <fill>
        <patternFill>
          <bgColor indexed="41"/>
        </patternFill>
      </fill>
    </dxf>
    <dxf>
      <fill>
        <patternFill>
          <bgColor indexed="14"/>
        </patternFill>
      </fill>
    </dxf>
    <dxf>
      <fill>
        <patternFill>
          <bgColor indexed="27"/>
        </patternFill>
      </fill>
    </dxf>
    <dxf>
      <fill>
        <patternFill>
          <bgColor indexed="27"/>
        </patternFill>
      </fill>
    </dxf>
    <dxf>
      <fill>
        <patternFill>
          <bgColor indexed="14"/>
        </patternFill>
      </fill>
    </dxf>
    <dxf>
      <fill>
        <patternFill>
          <bgColor indexed="41"/>
        </patternFill>
      </fill>
    </dxf>
    <dxf>
      <fill>
        <patternFill>
          <bgColor indexed="41"/>
        </patternFill>
      </fill>
    </dxf>
    <dxf>
      <fill>
        <patternFill>
          <bgColor indexed="41"/>
        </patternFill>
      </fill>
    </dxf>
    <dxf>
      <fill>
        <patternFill>
          <bgColor indexed="41"/>
        </patternFill>
      </fill>
    </dxf>
    <dxf>
      <fill>
        <patternFill>
          <bgColor rgb="FFCCFFFF"/>
        </patternFill>
      </fill>
    </dxf>
    <dxf>
      <fill>
        <patternFill patternType="lightTrellis"/>
      </fill>
    </dxf>
    <dxf>
      <fill>
        <patternFill>
          <bgColor indexed="27"/>
        </patternFill>
      </fill>
    </dxf>
    <dxf>
      <fill>
        <patternFill>
          <bgColor indexed="27"/>
        </patternFill>
      </fill>
    </dxf>
    <dxf>
      <fill>
        <patternFill patternType="lightTrellis"/>
      </fill>
    </dxf>
    <dxf>
      <fill>
        <patternFill patternType="lightTrellis"/>
      </fill>
    </dxf>
    <dxf>
      <fill>
        <patternFill>
          <bgColor indexed="27"/>
        </patternFill>
      </fill>
    </dxf>
    <dxf>
      <fill>
        <patternFill patternType="lightTrellis"/>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ill>
        <patternFill>
          <bgColor indexed="27"/>
        </patternFill>
      </fill>
    </dxf>
    <dxf>
      <font>
        <condense val="0"/>
        <extend val="0"/>
        <color auto="1"/>
      </font>
      <fill>
        <patternFill>
          <bgColor indexed="47"/>
        </patternFill>
      </fill>
    </dxf>
    <dxf>
      <fill>
        <patternFill>
          <bgColor indexed="47"/>
        </patternFill>
      </fill>
    </dxf>
    <dxf>
      <font>
        <condense val="0"/>
        <extend val="0"/>
        <color auto="1"/>
      </font>
    </dxf>
    <dxf>
      <fill>
        <patternFill>
          <bgColor indexed="27"/>
        </patternFill>
      </fill>
    </dxf>
    <dxf>
      <fill>
        <patternFill>
          <bgColor indexed="27"/>
        </patternFill>
      </fill>
    </dxf>
    <dxf>
      <fill>
        <patternFill>
          <bgColor indexed="27"/>
        </patternFill>
      </fill>
    </dxf>
    <dxf>
      <fill>
        <patternFill>
          <bgColor indexed="27"/>
        </patternFill>
      </fill>
    </dxf>
  </dxfs>
  <tableStyles count="0" defaultTableStyle="TableStyleMedium2" defaultPivotStyle="PivotStyleLight16"/>
  <colors>
    <mruColors>
      <color rgb="FFFFFFCC"/>
      <color rgb="FFFFFF99"/>
      <color rgb="FFCCFFFF"/>
      <color rgb="FFFF66FF"/>
      <color rgb="FF99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charts/_rels/chart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6.png"/><Relationship Id="rId1" Type="http://schemas.openxmlformats.org/officeDocument/2006/relationships/image" Target="../media/image5.jpeg"/></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5.xml.rels><?xml version="1.0" encoding="UTF-8" standalone="yes"?>
<Relationships xmlns="http://schemas.openxmlformats.org/package/2006/relationships"><Relationship Id="rId1" Type="http://schemas.openxmlformats.org/officeDocument/2006/relationships/image" Target="../media/image7.png"/></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cat>
            <c:strRef>
              <c:f>結果!$R$15</c:f>
              <c:strCache>
                <c:ptCount val="1"/>
                <c:pt idx="0">
                  <c:v>Rank(red star)</c:v>
                </c:pt>
              </c:strCache>
            </c:strRef>
          </c:cat>
          <c:val>
            <c:numRef>
              <c:f>結果!$S$15</c:f>
              <c:numCache>
                <c:formatCode>#,##0.0;[Red]\-#,##0.0</c:formatCode>
                <c:ptCount val="1"/>
                <c:pt idx="0">
                  <c:v>#N/A</c:v>
                </c:pt>
              </c:numCache>
            </c:numRef>
          </c:val>
          <c:extLst>
            <c:ext xmlns:c16="http://schemas.microsoft.com/office/drawing/2014/chart" uri="{C3380CC4-5D6E-409C-BE32-E72D297353CC}">
              <c16:uniqueId val="{00000000-9EC1-4F2F-B261-6F475BB3E67D}"/>
            </c:ext>
          </c:extLst>
        </c:ser>
        <c:ser>
          <c:idx val="1"/>
          <c:order val="1"/>
          <c:spPr>
            <a:blipFill dpi="0" rotWithShape="0">
              <a:blip xmlns:r="http://schemas.openxmlformats.org/officeDocument/2006/relationships" r:embed="rId2"/>
              <a:srcRect/>
              <a:stretch>
                <a:fillRect/>
              </a:stretch>
            </a:blipFill>
            <a:ln w="25400">
              <a:noFill/>
            </a:ln>
          </c:spPr>
          <c:invertIfNegative val="0"/>
          <c:pictureOptions>
            <c:pictureFormat val="stackScale"/>
            <c:pictureStackUnit val="20"/>
          </c:pictureOptions>
          <c:cat>
            <c:strRef>
              <c:f>結果!$R$15</c:f>
              <c:strCache>
                <c:ptCount val="1"/>
                <c:pt idx="0">
                  <c:v>Rank(red star)</c:v>
                </c:pt>
              </c:strCache>
            </c:strRef>
          </c:cat>
          <c:val>
            <c:numRef>
              <c:f>結果!$S$16</c:f>
              <c:numCache>
                <c:formatCode>#,##0.0;[Red]\-#,##0.0</c:formatCode>
                <c:ptCount val="1"/>
                <c:pt idx="0">
                  <c:v>#N/A</c:v>
                </c:pt>
              </c:numCache>
            </c:numRef>
          </c:val>
          <c:extLst>
            <c:ext xmlns:c16="http://schemas.microsoft.com/office/drawing/2014/chart" uri="{C3380CC4-5D6E-409C-BE32-E72D297353CC}">
              <c16:uniqueId val="{00000001-9EC1-4F2F-B261-6F475BB3E67D}"/>
            </c:ext>
          </c:extLst>
        </c:ser>
        <c:dLbls>
          <c:showLegendKey val="0"/>
          <c:showVal val="0"/>
          <c:showCatName val="0"/>
          <c:showSerName val="0"/>
          <c:showPercent val="0"/>
          <c:showBubbleSize val="0"/>
        </c:dLbls>
        <c:gapWidth val="50"/>
        <c:overlap val="100"/>
        <c:axId val="226829328"/>
        <c:axId val="226825408"/>
      </c:barChart>
      <c:catAx>
        <c:axId val="226829328"/>
        <c:scaling>
          <c:orientation val="minMax"/>
        </c:scaling>
        <c:delete val="1"/>
        <c:axPos val="l"/>
        <c:numFmt formatCode="General" sourceLinked="1"/>
        <c:majorTickMark val="out"/>
        <c:minorTickMark val="none"/>
        <c:tickLblPos val="nextTo"/>
        <c:crossAx val="226825408"/>
        <c:crosses val="autoZero"/>
        <c:auto val="1"/>
        <c:lblAlgn val="ctr"/>
        <c:lblOffset val="100"/>
        <c:noMultiLvlLbl val="0"/>
      </c:catAx>
      <c:valAx>
        <c:axId val="226825408"/>
        <c:scaling>
          <c:orientation val="minMax"/>
        </c:scaling>
        <c:delete val="1"/>
        <c:axPos val="b"/>
        <c:numFmt formatCode="0%" sourceLinked="1"/>
        <c:majorTickMark val="out"/>
        <c:minorTickMark val="none"/>
        <c:tickLblPos val="nextTo"/>
        <c:crossAx val="226829328"/>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6891891891891893E-2"/>
          <c:y val="5.6818497084167946E-2"/>
          <c:w val="0.96283783783783783"/>
          <c:h val="0.84091375684568559"/>
        </c:manualLayout>
      </c:layout>
      <c:barChart>
        <c:barDir val="bar"/>
        <c:grouping val="percentStacked"/>
        <c:varyColors val="0"/>
        <c:ser>
          <c:idx val="0"/>
          <c:order val="0"/>
          <c:spPr>
            <a:blipFill dpi="0" rotWithShape="0">
              <a:blip xmlns:r="http://schemas.openxmlformats.org/officeDocument/2006/relationships" r:embed="rId1"/>
              <a:srcRect/>
              <a:stretch>
                <a:fillRect/>
              </a:stretch>
            </a:blipFill>
            <a:ln w="25400">
              <a:noFill/>
            </a:ln>
          </c:spPr>
          <c:invertIfNegative val="0"/>
          <c:pictureOptions>
            <c:pictureFormat val="stackScale"/>
            <c:pictureStackUnit val="20"/>
          </c:pictureOptions>
          <c:dPt>
            <c:idx val="0"/>
            <c:invertIfNegative val="0"/>
            <c:bubble3D val="0"/>
            <c:spPr>
              <a:blipFill dpi="0" rotWithShape="0">
                <a:blip xmlns:r="http://schemas.openxmlformats.org/officeDocument/2006/relationships" r:embed="rId2"/>
                <a:srcRect/>
                <a:stretch>
                  <a:fillRect/>
                </a:stretch>
              </a:blipFill>
              <a:ln w="25400">
                <a:noFill/>
              </a:ln>
            </c:spPr>
            <c:pictureOptions>
              <c:pictureFormat val="stackScale"/>
              <c:pictureStackUnit val="20"/>
            </c:pictureOptions>
            <c:extLst>
              <c:ext xmlns:c16="http://schemas.microsoft.com/office/drawing/2014/chart" uri="{C3380CC4-5D6E-409C-BE32-E72D297353CC}">
                <c16:uniqueId val="{00000001-8F23-4B8B-9D91-61EE284304CC}"/>
              </c:ext>
            </c:extLst>
          </c:dPt>
          <c:cat>
            <c:strRef>
              <c:f>結果!$R$35</c:f>
              <c:strCache>
                <c:ptCount val="1"/>
                <c:pt idx="0">
                  <c:v>Rank(green star)</c:v>
                </c:pt>
              </c:strCache>
            </c:strRef>
          </c:cat>
          <c:val>
            <c:numRef>
              <c:f>結果!$S$35</c:f>
              <c:numCache>
                <c:formatCode>#,##0.0;[Red]\-#,##0.0</c:formatCode>
                <c:ptCount val="1"/>
                <c:pt idx="0">
                  <c:v>#N/A</c:v>
                </c:pt>
              </c:numCache>
            </c:numRef>
          </c:val>
          <c:extLst>
            <c:ext xmlns:c16="http://schemas.microsoft.com/office/drawing/2014/chart" uri="{C3380CC4-5D6E-409C-BE32-E72D297353CC}">
              <c16:uniqueId val="{00000002-8F23-4B8B-9D91-61EE284304CC}"/>
            </c:ext>
          </c:extLst>
        </c:ser>
        <c:ser>
          <c:idx val="1"/>
          <c:order val="1"/>
          <c:spPr>
            <a:blipFill dpi="0" rotWithShape="0">
              <a:blip xmlns:r="http://schemas.openxmlformats.org/officeDocument/2006/relationships" r:embed="rId3"/>
              <a:srcRect/>
              <a:stretch>
                <a:fillRect/>
              </a:stretch>
            </a:blipFill>
            <a:ln w="25400">
              <a:noFill/>
            </a:ln>
          </c:spPr>
          <c:invertIfNegative val="0"/>
          <c:pictureOptions>
            <c:pictureFormat val="stackScale"/>
            <c:pictureStackUnit val="20"/>
          </c:pictureOptions>
          <c:cat>
            <c:strRef>
              <c:f>結果!$R$35</c:f>
              <c:strCache>
                <c:ptCount val="1"/>
                <c:pt idx="0">
                  <c:v>Rank(green star)</c:v>
                </c:pt>
              </c:strCache>
            </c:strRef>
          </c:cat>
          <c:val>
            <c:numRef>
              <c:f>結果!$S$36</c:f>
              <c:numCache>
                <c:formatCode>#,##0.0;[Red]\-#,##0.0</c:formatCode>
                <c:ptCount val="1"/>
                <c:pt idx="0">
                  <c:v>#N/A</c:v>
                </c:pt>
              </c:numCache>
            </c:numRef>
          </c:val>
          <c:extLst>
            <c:ext xmlns:c16="http://schemas.microsoft.com/office/drawing/2014/chart" uri="{C3380CC4-5D6E-409C-BE32-E72D297353CC}">
              <c16:uniqueId val="{00000003-8F23-4B8B-9D91-61EE284304CC}"/>
            </c:ext>
          </c:extLst>
        </c:ser>
        <c:dLbls>
          <c:showLegendKey val="0"/>
          <c:showVal val="0"/>
          <c:showCatName val="0"/>
          <c:showSerName val="0"/>
          <c:showPercent val="0"/>
          <c:showBubbleSize val="0"/>
        </c:dLbls>
        <c:gapWidth val="50"/>
        <c:overlap val="100"/>
        <c:axId val="226827368"/>
        <c:axId val="226828544"/>
      </c:barChart>
      <c:catAx>
        <c:axId val="226827368"/>
        <c:scaling>
          <c:orientation val="minMax"/>
        </c:scaling>
        <c:delete val="1"/>
        <c:axPos val="l"/>
        <c:numFmt formatCode="General" sourceLinked="1"/>
        <c:majorTickMark val="out"/>
        <c:minorTickMark val="none"/>
        <c:tickLblPos val="nextTo"/>
        <c:crossAx val="226828544"/>
        <c:crosses val="autoZero"/>
        <c:auto val="1"/>
        <c:lblAlgn val="ctr"/>
        <c:lblOffset val="100"/>
        <c:noMultiLvlLbl val="0"/>
      </c:catAx>
      <c:valAx>
        <c:axId val="226828544"/>
        <c:scaling>
          <c:orientation val="minMax"/>
        </c:scaling>
        <c:delete val="1"/>
        <c:axPos val="b"/>
        <c:numFmt formatCode="0%" sourceLinked="1"/>
        <c:majorTickMark val="out"/>
        <c:minorTickMark val="none"/>
        <c:tickLblPos val="nextTo"/>
        <c:crossAx val="226827368"/>
        <c:crosses val="autoZero"/>
        <c:crossBetween val="between"/>
      </c:valAx>
      <c:spPr>
        <a:noFill/>
        <a:ln w="25400">
          <a:noFill/>
        </a:ln>
      </c:spPr>
    </c:plotArea>
    <c:plotVisOnly val="0"/>
    <c:dispBlanksAs val="gap"/>
    <c:showDLblsOverMax val="0"/>
  </c:chart>
  <c:spPr>
    <a:noFill/>
    <a:ln w="6350">
      <a:noFill/>
    </a:ln>
  </c:spPr>
  <c:txPr>
    <a:bodyPr/>
    <a:lstStyle/>
    <a:p>
      <a:pPr>
        <a:defRPr sz="2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9795221843003413"/>
          <c:y val="9.8425196850393706E-2"/>
          <c:w val="0.69965870307167233"/>
          <c:h val="0.70078740157480313"/>
        </c:manualLayout>
      </c:layout>
      <c:areaChart>
        <c:grouping val="standard"/>
        <c:varyColors val="0"/>
        <c:ser>
          <c:idx val="4"/>
          <c:order val="3"/>
          <c:tx>
            <c:strRef>
              <c:f>結果!$S$29</c:f>
              <c:strCache>
                <c:ptCount val="1"/>
                <c:pt idx="0">
                  <c:v>S</c:v>
                </c:pt>
              </c:strCache>
            </c:strRef>
          </c:tx>
          <c:spPr>
            <a:pattFill prst="pct70">
              <a:fgClr>
                <a:srgbClr val="339966"/>
              </a:fgClr>
              <a:bgClr>
                <a:srgbClr val="FFFFFF"/>
              </a:bgClr>
            </a:pattFill>
            <a:ln w="12700">
              <a:solidFill>
                <a:srgbClr val="000000"/>
              </a:solidFill>
              <a:prstDash val="solid"/>
            </a:ln>
          </c:spPr>
          <c:cat>
            <c:numRef>
              <c:f>結果!$T$23:$U$23</c:f>
              <c:numCache>
                <c:formatCode>General</c:formatCode>
                <c:ptCount val="2"/>
                <c:pt idx="0" formatCode="#,##0_);[Red]\(#,##0\)">
                  <c:v>#N/A</c:v>
                </c:pt>
                <c:pt idx="1">
                  <c:v>0</c:v>
                </c:pt>
              </c:numCache>
            </c:numRef>
          </c:cat>
          <c:val>
            <c:numRef>
              <c:f>結果!$T$29:$Z$29</c:f>
              <c:numCache>
                <c:formatCode>General</c:formatCode>
                <c:ptCount val="7"/>
                <c:pt idx="0">
                  <c:v>100</c:v>
                </c:pt>
                <c:pt idx="1">
                  <c:v>100</c:v>
                </c:pt>
                <c:pt idx="2">
                  <c:v>100</c:v>
                </c:pt>
                <c:pt idx="3">
                  <c:v>100</c:v>
                </c:pt>
                <c:pt idx="4">
                  <c:v>100</c:v>
                </c:pt>
                <c:pt idx="5">
                  <c:v>100</c:v>
                </c:pt>
                <c:pt idx="6">
                  <c:v>100</c:v>
                </c:pt>
              </c:numCache>
            </c:numRef>
          </c:val>
          <c:extLst>
            <c:ext xmlns:c16="http://schemas.microsoft.com/office/drawing/2014/chart" uri="{C3380CC4-5D6E-409C-BE32-E72D297353CC}">
              <c16:uniqueId val="{00000000-1B82-4D6D-B9E6-8576015213BD}"/>
            </c:ext>
          </c:extLst>
        </c:ser>
        <c:ser>
          <c:idx val="3"/>
          <c:order val="4"/>
          <c:tx>
            <c:strRef>
              <c:f>結果!$S$30</c:f>
              <c:strCache>
                <c:ptCount val="1"/>
                <c:pt idx="0">
                  <c:v>A</c:v>
                </c:pt>
              </c:strCache>
            </c:strRef>
          </c:tx>
          <c:spPr>
            <a:pattFill prst="pct90">
              <a:fgClr>
                <a:srgbClr val="CCFFCC"/>
              </a:fgClr>
              <a:bgClr>
                <a:srgbClr val="FFFFFF"/>
              </a:bgClr>
            </a:pattFill>
            <a:ln w="12700">
              <a:solidFill>
                <a:srgbClr val="000000"/>
              </a:solidFill>
              <a:prstDash val="solid"/>
            </a:ln>
          </c:spPr>
          <c:cat>
            <c:numRef>
              <c:f>結果!$T$23:$U$23</c:f>
              <c:numCache>
                <c:formatCode>General</c:formatCode>
                <c:ptCount val="2"/>
                <c:pt idx="0" formatCode="#,##0_);[Red]\(#,##0\)">
                  <c:v>#N/A</c:v>
                </c:pt>
                <c:pt idx="1">
                  <c:v>0</c:v>
                </c:pt>
              </c:numCache>
            </c:numRef>
          </c:cat>
          <c:val>
            <c:numRef>
              <c:f>結果!$T$30:$Z$30</c:f>
              <c:numCache>
                <c:formatCode>General</c:formatCode>
                <c:ptCount val="7"/>
                <c:pt idx="0">
                  <c:v>50</c:v>
                </c:pt>
                <c:pt idx="1">
                  <c:v>50</c:v>
                </c:pt>
                <c:pt idx="2">
                  <c:v>100</c:v>
                </c:pt>
                <c:pt idx="3">
                  <c:v>100</c:v>
                </c:pt>
                <c:pt idx="4">
                  <c:v>100</c:v>
                </c:pt>
                <c:pt idx="5">
                  <c:v>100</c:v>
                </c:pt>
                <c:pt idx="6">
                  <c:v>100</c:v>
                </c:pt>
              </c:numCache>
            </c:numRef>
          </c:val>
          <c:extLst>
            <c:ext xmlns:c16="http://schemas.microsoft.com/office/drawing/2014/chart" uri="{C3380CC4-5D6E-409C-BE32-E72D297353CC}">
              <c16:uniqueId val="{00000001-1B82-4D6D-B9E6-8576015213BD}"/>
            </c:ext>
          </c:extLst>
        </c:ser>
        <c:ser>
          <c:idx val="2"/>
          <c:order val="5"/>
          <c:tx>
            <c:strRef>
              <c:f>結果!$S$31</c:f>
              <c:strCache>
                <c:ptCount val="1"/>
                <c:pt idx="0">
                  <c:v>B+</c:v>
                </c:pt>
              </c:strCache>
            </c:strRef>
          </c:tx>
          <c:spPr>
            <a:solidFill>
              <a:srgbClr val="FFFFCC"/>
            </a:solidFill>
            <a:ln w="12700">
              <a:solidFill>
                <a:srgbClr val="000000"/>
              </a:solidFill>
              <a:prstDash val="solid"/>
            </a:ln>
          </c:spPr>
          <c:cat>
            <c:numRef>
              <c:f>結果!$T$23:$U$23</c:f>
              <c:numCache>
                <c:formatCode>General</c:formatCode>
                <c:ptCount val="2"/>
                <c:pt idx="0" formatCode="#,##0_);[Red]\(#,##0\)">
                  <c:v>#N/A</c:v>
                </c:pt>
                <c:pt idx="1">
                  <c:v>0</c:v>
                </c:pt>
              </c:numCache>
            </c:numRef>
          </c:cat>
          <c:val>
            <c:numRef>
              <c:f>結果!$T$31:$Z$31</c:f>
              <c:numCache>
                <c:formatCode>General</c:formatCode>
                <c:ptCount val="7"/>
                <c:pt idx="0">
                  <c:v>0</c:v>
                </c:pt>
                <c:pt idx="1">
                  <c:v>25</c:v>
                </c:pt>
                <c:pt idx="2">
                  <c:v>50</c:v>
                </c:pt>
                <c:pt idx="3">
                  <c:v>75</c:v>
                </c:pt>
                <c:pt idx="4">
                  <c:v>100</c:v>
                </c:pt>
                <c:pt idx="5">
                  <c:v>100</c:v>
                </c:pt>
                <c:pt idx="6">
                  <c:v>100</c:v>
                </c:pt>
              </c:numCache>
            </c:numRef>
          </c:val>
          <c:extLst>
            <c:ext xmlns:c16="http://schemas.microsoft.com/office/drawing/2014/chart" uri="{C3380CC4-5D6E-409C-BE32-E72D297353CC}">
              <c16:uniqueId val="{00000002-1B82-4D6D-B9E6-8576015213BD}"/>
            </c:ext>
          </c:extLst>
        </c:ser>
        <c:ser>
          <c:idx val="1"/>
          <c:order val="6"/>
          <c:tx>
            <c:strRef>
              <c:f>結果!$S$33</c:f>
              <c:strCache>
                <c:ptCount val="1"/>
                <c:pt idx="0">
                  <c:v>B-</c:v>
                </c:pt>
              </c:strCache>
            </c:strRef>
          </c:tx>
          <c:spPr>
            <a:solidFill>
              <a:srgbClr val="FFFFFF"/>
            </a:solidFill>
            <a:ln w="12700">
              <a:solidFill>
                <a:srgbClr val="000000"/>
              </a:solidFill>
              <a:prstDash val="solid"/>
            </a:ln>
          </c:spPr>
          <c:cat>
            <c:numRef>
              <c:f>結果!$T$23:$U$23</c:f>
              <c:numCache>
                <c:formatCode>General</c:formatCode>
                <c:ptCount val="2"/>
                <c:pt idx="0" formatCode="#,##0_);[Red]\(#,##0\)">
                  <c:v>#N/A</c:v>
                </c:pt>
                <c:pt idx="1">
                  <c:v>0</c:v>
                </c:pt>
              </c:numCache>
            </c:numRef>
          </c:cat>
          <c:val>
            <c:numRef>
              <c:f>結果!$T$33:$Z$33</c:f>
              <c:numCache>
                <c:formatCode>General</c:formatCode>
                <c:ptCount val="7"/>
                <c:pt idx="0">
                  <c:v>0</c:v>
                </c:pt>
                <c:pt idx="1">
                  <c:v>8.3333333333333339</c:v>
                </c:pt>
                <c:pt idx="2">
                  <c:v>16.666666666666668</c:v>
                </c:pt>
                <c:pt idx="3">
                  <c:v>25</c:v>
                </c:pt>
                <c:pt idx="4">
                  <c:v>33.333333333333336</c:v>
                </c:pt>
                <c:pt idx="5">
                  <c:v>41.666666666666671</c:v>
                </c:pt>
                <c:pt idx="6">
                  <c:v>50</c:v>
                </c:pt>
              </c:numCache>
            </c:numRef>
          </c:val>
          <c:extLst>
            <c:ext xmlns:c16="http://schemas.microsoft.com/office/drawing/2014/chart" uri="{C3380CC4-5D6E-409C-BE32-E72D297353CC}">
              <c16:uniqueId val="{00000003-1B82-4D6D-B9E6-8576015213BD}"/>
            </c:ext>
          </c:extLst>
        </c:ser>
        <c:ser>
          <c:idx val="0"/>
          <c:order val="7"/>
          <c:tx>
            <c:strRef>
              <c:f>結果!$S$32</c:f>
              <c:strCache>
                <c:ptCount val="1"/>
                <c:pt idx="0">
                  <c:v>B</c:v>
                </c:pt>
              </c:strCache>
            </c:strRef>
          </c:tx>
          <c:spPr>
            <a:noFill/>
            <a:ln w="12700">
              <a:solidFill>
                <a:srgbClr val="000000"/>
              </a:solidFill>
              <a:prstDash val="solid"/>
            </a:ln>
          </c:spPr>
          <c:cat>
            <c:numRef>
              <c:f>結果!$T$23:$U$23</c:f>
              <c:numCache>
                <c:formatCode>General</c:formatCode>
                <c:ptCount val="2"/>
                <c:pt idx="0" formatCode="#,##0_);[Red]\(#,##0\)">
                  <c:v>#N/A</c:v>
                </c:pt>
                <c:pt idx="1">
                  <c:v>0</c:v>
                </c:pt>
              </c:numCache>
            </c:numRef>
          </c:cat>
          <c:val>
            <c:numRef>
              <c:f>結果!$T$32:$Z$32</c:f>
              <c:numCache>
                <c:formatCode>General</c:formatCode>
                <c:ptCount val="7"/>
                <c:pt idx="0">
                  <c:v>0</c:v>
                </c:pt>
                <c:pt idx="1">
                  <c:v>16.666666666666668</c:v>
                </c:pt>
                <c:pt idx="2">
                  <c:v>33.333333333333336</c:v>
                </c:pt>
                <c:pt idx="3">
                  <c:v>50</c:v>
                </c:pt>
                <c:pt idx="4">
                  <c:v>66.666666666666671</c:v>
                </c:pt>
                <c:pt idx="5">
                  <c:v>83.333333333333343</c:v>
                </c:pt>
                <c:pt idx="6">
                  <c:v>100</c:v>
                </c:pt>
              </c:numCache>
            </c:numRef>
          </c:val>
          <c:extLst>
            <c:ext xmlns:c16="http://schemas.microsoft.com/office/drawing/2014/chart" uri="{C3380CC4-5D6E-409C-BE32-E72D297353CC}">
              <c16:uniqueId val="{00000004-1B82-4D6D-B9E6-8576015213BD}"/>
            </c:ext>
          </c:extLst>
        </c:ser>
        <c:dLbls>
          <c:showLegendKey val="0"/>
          <c:showVal val="0"/>
          <c:showCatName val="0"/>
          <c:showSerName val="0"/>
          <c:showPercent val="0"/>
          <c:showBubbleSize val="0"/>
        </c:dLbls>
        <c:axId val="226830112"/>
        <c:axId val="226825800"/>
      </c:areaChart>
      <c:scatterChart>
        <c:scatterStyle val="lineMarker"/>
        <c:varyColors val="0"/>
        <c:ser>
          <c:idx val="7"/>
          <c:order val="0"/>
          <c:spPr>
            <a:ln w="25400">
              <a:solidFill>
                <a:srgbClr val="008000"/>
              </a:solidFill>
              <a:prstDash val="sysDash"/>
            </a:ln>
          </c:spPr>
          <c:marker>
            <c:symbol val="none"/>
          </c:marker>
          <c:dPt>
            <c:idx val="1"/>
            <c:bubble3D val="0"/>
            <c:spPr>
              <a:ln w="19050">
                <a:noFill/>
              </a:ln>
            </c:spPr>
            <c:extLst>
              <c:ext xmlns:c16="http://schemas.microsoft.com/office/drawing/2014/chart" uri="{C3380CC4-5D6E-409C-BE32-E72D297353CC}">
                <c16:uniqueId val="{00000006-1B82-4D6D-B9E6-8576015213BD}"/>
              </c:ext>
            </c:extLst>
          </c:dPt>
          <c:dLbls>
            <c:dLbl>
              <c:idx val="2"/>
              <c:layout>
                <c:manualLayout>
                  <c:x val="-2.3856744869349086E-3"/>
                  <c:y val="0.27926509186351711"/>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1B82-4D6D-B9E6-8576015213BD}"/>
                </c:ext>
              </c:extLst>
            </c:dLbl>
            <c:dLbl>
              <c:idx val="3"/>
              <c:layout>
                <c:manualLayout>
                  <c:x val="-5.2504187829763476E-3"/>
                  <c:y val="-3.9632545931758544E-2"/>
                </c:manualLayout>
              </c:layout>
              <c:spPr>
                <a:noFill/>
                <a:ln w="25400">
                  <a:noFill/>
                </a:ln>
              </c:spPr>
              <c:txPr>
                <a:bodyPr/>
                <a:lstStyle/>
                <a:p>
                  <a:pPr>
                    <a:defRPr sz="800" b="1" i="0" u="none" strike="noStrike" baseline="0">
                      <a:solidFill>
                        <a:srgbClr val="FF0000"/>
                      </a:solidFill>
                      <a:latin typeface="ＭＳ Ｐゴシック"/>
                      <a:ea typeface="ＭＳ Ｐゴシック"/>
                      <a:cs typeface="ＭＳ Ｐゴシック"/>
                    </a:defRPr>
                  </a:pPr>
                  <a:endParaRPr lang="ja-JP"/>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1B82-4D6D-B9E6-8576015213BD}"/>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結果!$R$25:$U$25</c:f>
              <c:numCache>
                <c:formatCode>General</c:formatCode>
                <c:ptCount val="4"/>
                <c:pt idx="0">
                  <c:v>0</c:v>
                </c:pt>
                <c:pt idx="1">
                  <c:v>#N/A</c:v>
                </c:pt>
                <c:pt idx="2" formatCode="#,##0_);[Red]\(#,##0\)">
                  <c:v>#N/A</c:v>
                </c:pt>
                <c:pt idx="3">
                  <c:v>0.1</c:v>
                </c:pt>
              </c:numCache>
            </c:numRef>
          </c:xVal>
          <c:yVal>
            <c:numRef>
              <c:f>結果!$R$26:$U$26</c:f>
              <c:numCache>
                <c:formatCode>General</c:formatCode>
                <c:ptCount val="4"/>
                <c:pt idx="0">
                  <c:v>0</c:v>
                </c:pt>
                <c:pt idx="1">
                  <c:v>0</c:v>
                </c:pt>
                <c:pt idx="2">
                  <c:v>50.318135245901644</c:v>
                </c:pt>
                <c:pt idx="3" formatCode="#,##0_);[Red]\(#,##0\)">
                  <c:v>50.318135245901644</c:v>
                </c:pt>
              </c:numCache>
            </c:numRef>
          </c:yVal>
          <c:smooth val="0"/>
          <c:extLst>
            <c:ext xmlns:c16="http://schemas.microsoft.com/office/drawing/2014/chart" uri="{C3380CC4-5D6E-409C-BE32-E72D297353CC}">
              <c16:uniqueId val="{00000009-1B82-4D6D-B9E6-8576015213BD}"/>
            </c:ext>
          </c:extLst>
        </c:ser>
        <c:ser>
          <c:idx val="8"/>
          <c:order val="1"/>
          <c:spPr>
            <a:ln w="19050">
              <a:noFill/>
            </a:ln>
          </c:spPr>
          <c:marker>
            <c:symbol val="none"/>
          </c:marker>
          <c:dPt>
            <c:idx val="1"/>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A-1B82-4D6D-B9E6-8576015213BD}"/>
              </c:ext>
            </c:extLst>
          </c:dPt>
          <c:dPt>
            <c:idx val="3"/>
            <c:marker>
              <c:symbol val="circle"/>
              <c:size val="6"/>
              <c:spPr>
                <a:solidFill>
                  <a:srgbClr val="008000"/>
                </a:solidFill>
                <a:ln>
                  <a:solidFill>
                    <a:srgbClr val="000000"/>
                  </a:solidFill>
                  <a:prstDash val="solid"/>
                </a:ln>
              </c:spPr>
            </c:marker>
            <c:bubble3D val="0"/>
            <c:extLst>
              <c:ext xmlns:c16="http://schemas.microsoft.com/office/drawing/2014/chart" uri="{C3380CC4-5D6E-409C-BE32-E72D297353CC}">
                <c16:uniqueId val="{0000000B-1B82-4D6D-B9E6-8576015213BD}"/>
              </c:ext>
            </c:extLst>
          </c:dPt>
          <c:xVal>
            <c:numRef>
              <c:f>結果!$R$25:$U$25</c:f>
              <c:numCache>
                <c:formatCode>General</c:formatCode>
                <c:ptCount val="4"/>
                <c:pt idx="0">
                  <c:v>0</c:v>
                </c:pt>
                <c:pt idx="1">
                  <c:v>#N/A</c:v>
                </c:pt>
                <c:pt idx="2" formatCode="#,##0_);[Red]\(#,##0\)">
                  <c:v>#N/A</c:v>
                </c:pt>
                <c:pt idx="3">
                  <c:v>0.1</c:v>
                </c:pt>
              </c:numCache>
            </c:numRef>
          </c:xVal>
          <c:yVal>
            <c:numRef>
              <c:f>結果!$R$26:$U$26</c:f>
              <c:numCache>
                <c:formatCode>General</c:formatCode>
                <c:ptCount val="4"/>
                <c:pt idx="0">
                  <c:v>0</c:v>
                </c:pt>
                <c:pt idx="1">
                  <c:v>0</c:v>
                </c:pt>
                <c:pt idx="2">
                  <c:v>50.318135245901644</c:v>
                </c:pt>
                <c:pt idx="3" formatCode="#,##0_);[Red]\(#,##0\)">
                  <c:v>50.318135245901644</c:v>
                </c:pt>
              </c:numCache>
            </c:numRef>
          </c:yVal>
          <c:smooth val="0"/>
          <c:extLst>
            <c:ext xmlns:c16="http://schemas.microsoft.com/office/drawing/2014/chart" uri="{C3380CC4-5D6E-409C-BE32-E72D297353CC}">
              <c16:uniqueId val="{0000000C-1B82-4D6D-B9E6-8576015213BD}"/>
            </c:ext>
          </c:extLst>
        </c:ser>
        <c:ser>
          <c:idx val="5"/>
          <c:order val="2"/>
          <c:tx>
            <c:strRef>
              <c:f>結果!$S$13</c:f>
              <c:strCache>
                <c:ptCount val="1"/>
                <c:pt idx="0">
                  <c:v>#N/A</c:v>
                </c:pt>
              </c:strCache>
            </c:strRef>
          </c:tx>
          <c:spPr>
            <a:ln w="12700">
              <a:solidFill>
                <a:srgbClr val="800000"/>
              </a:solidFill>
              <a:prstDash val="solid"/>
            </a:ln>
          </c:spPr>
          <c:marker>
            <c:symbol val="none"/>
          </c:marker>
          <c:dPt>
            <c:idx val="0"/>
            <c:marker>
              <c:symbol val="circle"/>
              <c:size val="20"/>
              <c:spPr>
                <a:noFill/>
                <a:ln>
                  <a:solidFill>
                    <a:srgbClr val="FF0000"/>
                  </a:solidFill>
                  <a:prstDash val="solid"/>
                </a:ln>
              </c:spPr>
            </c:marker>
            <c:bubble3D val="0"/>
            <c:extLst>
              <c:ext xmlns:c16="http://schemas.microsoft.com/office/drawing/2014/chart" uri="{C3380CC4-5D6E-409C-BE32-E72D297353CC}">
                <c16:uniqueId val="{0000000D-1B82-4D6D-B9E6-8576015213BD}"/>
              </c:ext>
            </c:extLst>
          </c:dPt>
          <c:dPt>
            <c:idx val="1"/>
            <c:marker>
              <c:symbol val="triangle"/>
              <c:size val="20"/>
              <c:spPr>
                <a:solidFill>
                  <a:srgbClr val="339966"/>
                </a:solidFill>
                <a:ln>
                  <a:solidFill>
                    <a:srgbClr val="000000"/>
                  </a:solidFill>
                  <a:prstDash val="solid"/>
                </a:ln>
              </c:spPr>
            </c:marker>
            <c:bubble3D val="0"/>
            <c:spPr>
              <a:ln w="19050">
                <a:noFill/>
              </a:ln>
            </c:spPr>
            <c:extLst>
              <c:ext xmlns:c16="http://schemas.microsoft.com/office/drawing/2014/chart" uri="{C3380CC4-5D6E-409C-BE32-E72D297353CC}">
                <c16:uniqueId val="{0000000F-1B82-4D6D-B9E6-8576015213BD}"/>
              </c:ext>
            </c:extLst>
          </c:dPt>
          <c:dPt>
            <c:idx val="2"/>
            <c:bubble3D val="0"/>
            <c:spPr>
              <a:ln w="38100">
                <a:solidFill>
                  <a:srgbClr val="008000"/>
                </a:solidFill>
                <a:prstDash val="solid"/>
              </a:ln>
            </c:spPr>
            <c:extLst>
              <c:ext xmlns:c16="http://schemas.microsoft.com/office/drawing/2014/chart" uri="{C3380CC4-5D6E-409C-BE32-E72D297353CC}">
                <c16:uniqueId val="{00000011-1B82-4D6D-B9E6-8576015213BD}"/>
              </c:ext>
            </c:extLst>
          </c:dPt>
          <c:dLbls>
            <c:dLbl>
              <c:idx val="1"/>
              <c:layout>
                <c:manualLayout>
                  <c:x val="-1.603755162004069E-2"/>
                  <c:y val="-5.0183727034120738E-2"/>
                </c:manualLayout>
              </c:layout>
              <c:spPr>
                <a:noFill/>
                <a:ln w="25400">
                  <a:noFill/>
                </a:ln>
              </c:spPr>
              <c:txPr>
                <a:bodyPr/>
                <a:lstStyle/>
                <a:p>
                  <a:pPr>
                    <a:defRPr sz="1875" b="1" i="0" u="none" strike="noStrike" baseline="0">
                      <a:solidFill>
                        <a:srgbClr val="FF0000"/>
                      </a:solidFill>
                      <a:latin typeface="ＭＳ Ｐゴシック"/>
                      <a:ea typeface="ＭＳ Ｐゴシック"/>
                      <a:cs typeface="ＭＳ Ｐゴシック"/>
                    </a:defRPr>
                  </a:pPr>
                  <a:endParaRPr lang="ja-JP"/>
                </a:p>
              </c:txPr>
              <c:dLblPos val="r"/>
              <c:showLegendKey val="0"/>
              <c:showVal val="0"/>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F-1B82-4D6D-B9E6-8576015213BD}"/>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0"/>
              </c:ext>
            </c:extLst>
          </c:dLbls>
          <c:xVal>
            <c:numRef>
              <c:f>結果!$S$23:$U$23</c:f>
              <c:numCache>
                <c:formatCode>#,##0_);[Red]\(#,##0\)</c:formatCode>
                <c:ptCount val="3"/>
                <c:pt idx="1">
                  <c:v>#N/A</c:v>
                </c:pt>
                <c:pt idx="2" formatCode="General">
                  <c:v>0</c:v>
                </c:pt>
              </c:numCache>
            </c:numRef>
          </c:xVal>
          <c:yVal>
            <c:numRef>
              <c:f>結果!$S$24:$U$24</c:f>
              <c:numCache>
                <c:formatCode>#,##0_);[Red]\(#,##0\)</c:formatCode>
                <c:ptCount val="3"/>
                <c:pt idx="1">
                  <c:v>50.318135245901644</c:v>
                </c:pt>
                <c:pt idx="2" formatCode="General">
                  <c:v>0</c:v>
                </c:pt>
              </c:numCache>
            </c:numRef>
          </c:yVal>
          <c:smooth val="0"/>
          <c:extLst>
            <c:ext xmlns:c16="http://schemas.microsoft.com/office/drawing/2014/chart" uri="{C3380CC4-5D6E-409C-BE32-E72D297353CC}">
              <c16:uniqueId val="{00000012-1B82-4D6D-B9E6-8576015213BD}"/>
            </c:ext>
          </c:extLst>
        </c:ser>
        <c:dLbls>
          <c:showLegendKey val="0"/>
          <c:showVal val="0"/>
          <c:showCatName val="0"/>
          <c:showSerName val="0"/>
          <c:showPercent val="0"/>
          <c:showBubbleSize val="0"/>
        </c:dLbls>
        <c:axId val="226822664"/>
        <c:axId val="226823448"/>
      </c:scatterChart>
      <c:catAx>
        <c:axId val="226830112"/>
        <c:scaling>
          <c:orientation val="minMax"/>
        </c:scaling>
        <c:delete val="0"/>
        <c:axPos val="b"/>
        <c:numFmt formatCode="#,##0_);[Red]\(#,##0\)" sourceLinked="1"/>
        <c:majorTickMark val="none"/>
        <c:minorTickMark val="none"/>
        <c:tickLblPos val="none"/>
        <c:spPr>
          <a:ln w="3175">
            <a:solidFill>
              <a:srgbClr val="000000"/>
            </a:solidFill>
            <a:prstDash val="solid"/>
          </a:ln>
        </c:spPr>
        <c:crossAx val="226825800"/>
        <c:crosses val="autoZero"/>
        <c:auto val="0"/>
        <c:lblAlgn val="ctr"/>
        <c:lblOffset val="100"/>
        <c:tickLblSkip val="50"/>
        <c:tickMarkSkip val="50"/>
        <c:noMultiLvlLbl val="0"/>
      </c:catAx>
      <c:valAx>
        <c:axId val="226825800"/>
        <c:scaling>
          <c:orientation val="minMax"/>
          <c:max val="100"/>
          <c:min val="0"/>
        </c:scaling>
        <c:delete val="0"/>
        <c:axPos val="l"/>
        <c:numFmt formatCode="General" sourceLinked="1"/>
        <c:majorTickMark val="none"/>
        <c:minorTickMark val="none"/>
        <c:tickLblPos val="nextTo"/>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226830112"/>
        <c:crosses val="autoZero"/>
        <c:crossBetween val="midCat"/>
        <c:majorUnit val="50"/>
      </c:valAx>
      <c:valAx>
        <c:axId val="226822664"/>
        <c:scaling>
          <c:orientation val="minMax"/>
          <c:max val="100"/>
          <c:min val="0"/>
        </c:scaling>
        <c:delete val="0"/>
        <c:axPos val="t"/>
        <c:numFmt formatCode="General" sourceLinked="1"/>
        <c:majorTickMark val="none"/>
        <c:minorTickMark val="none"/>
        <c:tickLblPos val="low"/>
        <c:spPr>
          <a:ln w="3175">
            <a:solidFill>
              <a:srgbClr val="000000"/>
            </a:solidFill>
            <a:prstDash val="solid"/>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226823448"/>
        <c:crosses val="max"/>
        <c:crossBetween val="midCat"/>
        <c:majorUnit val="50"/>
      </c:valAx>
      <c:valAx>
        <c:axId val="226823448"/>
        <c:scaling>
          <c:orientation val="minMax"/>
          <c:max val="100"/>
        </c:scaling>
        <c:delete val="0"/>
        <c:axPos val="r"/>
        <c:numFmt formatCode="General" sourceLinked="1"/>
        <c:majorTickMark val="in"/>
        <c:minorTickMark val="none"/>
        <c:tickLblPos val="none"/>
        <c:spPr>
          <a:ln w="3175">
            <a:solidFill>
              <a:srgbClr val="000000"/>
            </a:solidFill>
            <a:prstDash val="solid"/>
          </a:ln>
        </c:spPr>
        <c:crossAx val="226822664"/>
        <c:crosses val="max"/>
        <c:crossBetween val="midCat"/>
        <c:majorUnit val="50"/>
      </c:valAx>
      <c:spPr>
        <a:solidFill>
          <a:srgbClr val="C0C0C0"/>
        </a:solidFill>
        <a:ln w="12700">
          <a:solidFill>
            <a:srgbClr val="80808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3030499195442692E-2"/>
          <c:y val="0.12777847102035059"/>
          <c:w val="0.89773059352285123"/>
          <c:h val="0.69444821206712271"/>
        </c:manualLayout>
      </c:layout>
      <c:barChart>
        <c:barDir val="bar"/>
        <c:grouping val="stacked"/>
        <c:varyColors val="0"/>
        <c:ser>
          <c:idx val="0"/>
          <c:order val="0"/>
          <c:tx>
            <c:strRef>
              <c:f>結果!$S$38</c:f>
              <c:strCache>
                <c:ptCount val="1"/>
                <c:pt idx="0">
                  <c:v>建設</c:v>
                </c:pt>
              </c:strCache>
            </c:strRef>
          </c:tx>
          <c:spPr>
            <a:solidFill>
              <a:srgbClr val="9999FF"/>
            </a:solidFill>
            <a:ln w="12700">
              <a:solidFill>
                <a:srgbClr val="000000"/>
              </a:solidFill>
              <a:prstDash val="solid"/>
            </a:ln>
          </c:spPr>
          <c:invertIfNegative val="0"/>
          <c:dPt>
            <c:idx val="0"/>
            <c:invertIfNegative val="0"/>
            <c:bubble3D val="0"/>
            <c:spPr>
              <a:solidFill>
                <a:srgbClr val="9999FF"/>
              </a:solidFill>
              <a:ln w="12700">
                <a:solidFill>
                  <a:srgbClr val="000000"/>
                </a:solidFill>
                <a:prstDash val="sysDash"/>
              </a:ln>
            </c:spPr>
            <c:extLst>
              <c:ext xmlns:c16="http://schemas.microsoft.com/office/drawing/2014/chart" uri="{C3380CC4-5D6E-409C-BE32-E72D297353CC}">
                <c16:uniqueId val="{00000001-9328-4044-AD11-B915D68725A8}"/>
              </c:ext>
            </c:extLst>
          </c:dPt>
          <c:val>
            <c:numRef>
              <c:f>結果!$S$39:$S$42</c:f>
              <c:numCache>
                <c:formatCode>#,##0_);[Red]\(#,##0\)</c:formatCode>
                <c:ptCount val="4"/>
                <c:pt idx="0">
                  <c:v>13.77</c:v>
                </c:pt>
                <c:pt idx="1">
                  <c:v>13.77</c:v>
                </c:pt>
              </c:numCache>
            </c:numRef>
          </c:val>
          <c:extLst>
            <c:ext xmlns:c16="http://schemas.microsoft.com/office/drawing/2014/chart" uri="{C3380CC4-5D6E-409C-BE32-E72D297353CC}">
              <c16:uniqueId val="{00000002-9328-4044-AD11-B915D68725A8}"/>
            </c:ext>
          </c:extLst>
        </c:ser>
        <c:ser>
          <c:idx val="1"/>
          <c:order val="1"/>
          <c:tx>
            <c:strRef>
              <c:f>結果!$T$38</c:f>
              <c:strCache>
                <c:ptCount val="1"/>
                <c:pt idx="0">
                  <c:v>修繕・更新・解体</c:v>
                </c:pt>
              </c:strCache>
            </c:strRef>
          </c:tx>
          <c:spPr>
            <a:solidFill>
              <a:srgbClr val="99CC00"/>
            </a:solidFill>
            <a:ln w="12700">
              <a:solidFill>
                <a:srgbClr val="000000"/>
              </a:solidFill>
              <a:prstDash val="solid"/>
            </a:ln>
          </c:spPr>
          <c:invertIfNegative val="0"/>
          <c:dPt>
            <c:idx val="0"/>
            <c:invertIfNegative val="0"/>
            <c:bubble3D val="0"/>
            <c:spPr>
              <a:solidFill>
                <a:srgbClr val="99CC00"/>
              </a:solidFill>
              <a:ln w="12700">
                <a:solidFill>
                  <a:srgbClr val="000000"/>
                </a:solidFill>
                <a:prstDash val="sysDash"/>
              </a:ln>
            </c:spPr>
            <c:extLst>
              <c:ext xmlns:c16="http://schemas.microsoft.com/office/drawing/2014/chart" uri="{C3380CC4-5D6E-409C-BE32-E72D297353CC}">
                <c16:uniqueId val="{00000004-9328-4044-AD11-B915D68725A8}"/>
              </c:ext>
            </c:extLst>
          </c:dPt>
          <c:val>
            <c:numRef>
              <c:f>結果!$T$39:$T$42</c:f>
              <c:numCache>
                <c:formatCode>#,##0_);[Red]\(#,##0\)</c:formatCode>
                <c:ptCount val="4"/>
                <c:pt idx="0">
                  <c:v>13.322862068965517</c:v>
                </c:pt>
                <c:pt idx="1">
                  <c:v>13.322862068965517</c:v>
                </c:pt>
              </c:numCache>
            </c:numRef>
          </c:val>
          <c:extLst>
            <c:ext xmlns:c16="http://schemas.microsoft.com/office/drawing/2014/chart" uri="{C3380CC4-5D6E-409C-BE32-E72D297353CC}">
              <c16:uniqueId val="{00000005-9328-4044-AD11-B915D68725A8}"/>
            </c:ext>
          </c:extLst>
        </c:ser>
        <c:ser>
          <c:idx val="2"/>
          <c:order val="2"/>
          <c:tx>
            <c:strRef>
              <c:f>結果!$U$38</c:f>
              <c:strCache>
                <c:ptCount val="1"/>
                <c:pt idx="0">
                  <c:v>運用</c:v>
                </c:pt>
              </c:strCache>
            </c:strRef>
          </c:tx>
          <c:spPr>
            <a:solidFill>
              <a:srgbClr val="FFFFCC"/>
            </a:solidFill>
            <a:ln w="12700">
              <a:solidFill>
                <a:srgbClr val="000000"/>
              </a:solidFill>
              <a:prstDash val="solid"/>
            </a:ln>
          </c:spPr>
          <c:invertIfNegative val="0"/>
          <c:dPt>
            <c:idx val="0"/>
            <c:invertIfNegative val="0"/>
            <c:bubble3D val="0"/>
            <c:spPr>
              <a:solidFill>
                <a:srgbClr val="FFFFCC"/>
              </a:solidFill>
              <a:ln w="12700">
                <a:solidFill>
                  <a:srgbClr val="000000"/>
                </a:solidFill>
                <a:prstDash val="sysDash"/>
              </a:ln>
            </c:spPr>
            <c:extLst>
              <c:ext xmlns:c16="http://schemas.microsoft.com/office/drawing/2014/chart" uri="{C3380CC4-5D6E-409C-BE32-E72D297353CC}">
                <c16:uniqueId val="{00000007-9328-4044-AD11-B915D68725A8}"/>
              </c:ext>
            </c:extLst>
          </c:dPt>
          <c:val>
            <c:numRef>
              <c:f>結果!$U$39:$U$42</c:f>
              <c:numCache>
                <c:formatCode>#,##0_);[Red]\(#,##0\)</c:formatCode>
                <c:ptCount val="4"/>
                <c:pt idx="0">
                  <c:v>#N/A</c:v>
                </c:pt>
                <c:pt idx="1">
                  <c:v>0</c:v>
                </c:pt>
              </c:numCache>
            </c:numRef>
          </c:val>
          <c:extLst>
            <c:ext xmlns:c16="http://schemas.microsoft.com/office/drawing/2014/chart" uri="{C3380CC4-5D6E-409C-BE32-E72D297353CC}">
              <c16:uniqueId val="{00000008-9328-4044-AD11-B915D68725A8}"/>
            </c:ext>
          </c:extLst>
        </c:ser>
        <c:ser>
          <c:idx val="3"/>
          <c:order val="3"/>
          <c:tx>
            <c:strRef>
              <c:f>結果!$V$38</c:f>
              <c:strCache>
                <c:ptCount val="1"/>
                <c:pt idx="0">
                  <c:v>オンサイト</c:v>
                </c:pt>
              </c:strCache>
            </c:strRef>
          </c:tx>
          <c:spPr>
            <a:solidFill>
              <a:srgbClr val="C0C0C0"/>
            </a:solidFill>
            <a:ln w="12700">
              <a:solidFill>
                <a:srgbClr val="000000"/>
              </a:solidFill>
              <a:prstDash val="solid"/>
            </a:ln>
          </c:spPr>
          <c:invertIfNegative val="0"/>
          <c:val>
            <c:numRef>
              <c:f>結果!$V$39:$V$42</c:f>
              <c:numCache>
                <c:formatCode>General</c:formatCode>
                <c:ptCount val="4"/>
                <c:pt idx="2" formatCode="#,##0_);[Red]\(#,##0\)">
                  <c:v>0</c:v>
                </c:pt>
              </c:numCache>
            </c:numRef>
          </c:val>
          <c:extLst>
            <c:ext xmlns:c16="http://schemas.microsoft.com/office/drawing/2014/chart" uri="{C3380CC4-5D6E-409C-BE32-E72D297353CC}">
              <c16:uniqueId val="{00000009-9328-4044-AD11-B915D68725A8}"/>
            </c:ext>
          </c:extLst>
        </c:ser>
        <c:ser>
          <c:idx val="4"/>
          <c:order val="4"/>
          <c:tx>
            <c:strRef>
              <c:f>結果!$W$38</c:f>
              <c:strCache>
                <c:ptCount val="1"/>
                <c:pt idx="0">
                  <c:v>オフサイト</c:v>
                </c:pt>
              </c:strCache>
            </c:strRef>
          </c:tx>
          <c:spPr>
            <a:pattFill prst="pct60">
              <a:fgClr>
                <a:srgbClr val="C0C0C0"/>
              </a:fgClr>
              <a:bgClr>
                <a:srgbClr val="FFFFFF"/>
              </a:bgClr>
            </a:pattFill>
            <a:ln w="12700">
              <a:solidFill>
                <a:srgbClr val="000000"/>
              </a:solidFill>
              <a:prstDash val="solid"/>
            </a:ln>
          </c:spPr>
          <c:invertIfNegative val="0"/>
          <c:val>
            <c:numRef>
              <c:f>結果!$W$39:$W$42</c:f>
              <c:numCache>
                <c:formatCode>General</c:formatCode>
                <c:ptCount val="4"/>
                <c:pt idx="3" formatCode="#,##0_);[Red]\(#,##0\)">
                  <c:v>0</c:v>
                </c:pt>
              </c:numCache>
            </c:numRef>
          </c:val>
          <c:extLst>
            <c:ext xmlns:c16="http://schemas.microsoft.com/office/drawing/2014/chart" uri="{C3380CC4-5D6E-409C-BE32-E72D297353CC}">
              <c16:uniqueId val="{0000000A-9328-4044-AD11-B915D68725A8}"/>
            </c:ext>
          </c:extLst>
        </c:ser>
        <c:dLbls>
          <c:showLegendKey val="0"/>
          <c:showVal val="0"/>
          <c:showCatName val="0"/>
          <c:showSerName val="0"/>
          <c:showPercent val="0"/>
          <c:showBubbleSize val="0"/>
        </c:dLbls>
        <c:gapWidth val="50"/>
        <c:overlap val="100"/>
        <c:axId val="226824232"/>
        <c:axId val="226826192"/>
      </c:barChart>
      <c:catAx>
        <c:axId val="226824232"/>
        <c:scaling>
          <c:orientation val="maxMin"/>
        </c:scaling>
        <c:delete val="1"/>
        <c:axPos val="l"/>
        <c:majorTickMark val="out"/>
        <c:minorTickMark val="none"/>
        <c:tickLblPos val="nextTo"/>
        <c:crossAx val="226826192"/>
        <c:crosses val="autoZero"/>
        <c:auto val="1"/>
        <c:lblAlgn val="ctr"/>
        <c:lblOffset val="100"/>
        <c:noMultiLvlLbl val="0"/>
      </c:catAx>
      <c:valAx>
        <c:axId val="226826192"/>
        <c:scaling>
          <c:orientation val="minMax"/>
        </c:scaling>
        <c:delete val="0"/>
        <c:axPos val="b"/>
        <c:majorGridlines>
          <c:spPr>
            <a:ln w="3175">
              <a:solidFill>
                <a:srgbClr val="000000"/>
              </a:solidFill>
              <a:prstDash val="solid"/>
            </a:ln>
          </c:spPr>
        </c:majorGridlines>
        <c:numFmt formatCode="#,##0" sourceLinked="0"/>
        <c:majorTickMark val="in"/>
        <c:minorTickMark val="none"/>
        <c:tickLblPos val="nextTo"/>
        <c:spPr>
          <a:ln w="6350">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226824232"/>
        <c:crosses val="max"/>
        <c:crossBetween val="between"/>
        <c:majorUnit val="46.041617465962183"/>
      </c:valAx>
      <c:spPr>
        <a:noFill/>
        <a:ln w="3175">
          <a:solidFill>
            <a:srgbClr val="000000"/>
          </a:solidFill>
          <a:prstDash val="solid"/>
        </a:ln>
      </c:spPr>
    </c:plotArea>
    <c:legend>
      <c:legendPos val="r"/>
      <c:layout>
        <c:manualLayout>
          <c:xMode val="edge"/>
          <c:yMode val="edge"/>
          <c:x val="3.7878927996744777E-2"/>
          <c:y val="2.777792848268491E-2"/>
          <c:w val="0.89394270072317683"/>
          <c:h val="7.7778199751517743E-2"/>
        </c:manualLayout>
      </c:layout>
      <c:overlay val="0"/>
      <c:spPr>
        <a:noFill/>
        <a:ln w="25400">
          <a:noFill/>
        </a:ln>
      </c:spPr>
      <c:txPr>
        <a:bodyPr/>
        <a:lstStyle/>
        <a:p>
          <a:pPr>
            <a:defRPr sz="550" b="0" i="0" u="none" strike="noStrike" baseline="0">
              <a:solidFill>
                <a:srgbClr val="000000"/>
              </a:solidFill>
              <a:latin typeface="ＭＳ Ｐゴシック"/>
              <a:ea typeface="ＭＳ Ｐゴシック"/>
              <a:cs typeface="ＭＳ Ｐゴシック"/>
            </a:defRPr>
          </a:pPr>
          <a:endParaRPr lang="ja-JP"/>
        </a:p>
      </c:txPr>
    </c:legend>
    <c:plotVisOnly val="0"/>
    <c:dispBlanksAs val="gap"/>
    <c:showDLblsOverMax val="0"/>
  </c:chart>
  <c:spPr>
    <a:noFill/>
    <a:ln w="6350">
      <a:noFill/>
    </a:ln>
  </c:spPr>
  <c:txPr>
    <a:bodyPr/>
    <a:lstStyle/>
    <a:p>
      <a:pPr>
        <a:defRPr sz="5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verticalDpi="300"/>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20430161159487251"/>
          <c:y val="0.17088634000188513"/>
          <c:w val="0.58871122288522471"/>
          <c:h val="0.69303904556320084"/>
        </c:manualLayout>
      </c:layout>
      <c:radarChart>
        <c:radarStyle val="filled"/>
        <c:varyColors val="0"/>
        <c:ser>
          <c:idx val="0"/>
          <c:order val="0"/>
          <c:spPr>
            <a:blipFill dpi="0" rotWithShape="0">
              <a:blip xmlns:r="http://schemas.openxmlformats.org/officeDocument/2006/relationships" r:embed="rId1"/>
              <a:srcRect/>
              <a:stretch>
                <a:fillRect/>
              </a:stretch>
            </a:blipFill>
            <a:ln w="12700">
              <a:solidFill>
                <a:srgbClr val="000000"/>
              </a:solidFill>
              <a:prstDash val="solid"/>
            </a:ln>
          </c:spPr>
          <c:cat>
            <c:strRef>
              <c:f>結果!$V$9:$V$14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結果!$W$9:$W$14</c:f>
              <c:numCache>
                <c:formatCode>General</c:formatCode>
                <c:ptCount val="6"/>
                <c:pt idx="0">
                  <c:v>5</c:v>
                </c:pt>
                <c:pt idx="1">
                  <c:v>5</c:v>
                </c:pt>
                <c:pt idx="2">
                  <c:v>5</c:v>
                </c:pt>
                <c:pt idx="3">
                  <c:v>5</c:v>
                </c:pt>
                <c:pt idx="4">
                  <c:v>5</c:v>
                </c:pt>
                <c:pt idx="5">
                  <c:v>5</c:v>
                </c:pt>
              </c:numCache>
            </c:numRef>
          </c:val>
          <c:extLst>
            <c:ext xmlns:c16="http://schemas.microsoft.com/office/drawing/2014/chart" uri="{C3380CC4-5D6E-409C-BE32-E72D297353CC}">
              <c16:uniqueId val="{00000000-583E-4B5F-A084-25D72BE0751C}"/>
            </c:ext>
          </c:extLst>
        </c:ser>
        <c:ser>
          <c:idx val="1"/>
          <c:order val="1"/>
          <c:spPr>
            <a:noFill/>
            <a:ln w="12700">
              <a:solidFill>
                <a:srgbClr val="000000"/>
              </a:solidFill>
              <a:prstDash val="solid"/>
            </a:ln>
          </c:spPr>
          <c:cat>
            <c:strRef>
              <c:f>結果!$V$9:$V$14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結果!$X$9:$X$14</c:f>
              <c:numCache>
                <c:formatCode>General</c:formatCode>
                <c:ptCount val="6"/>
                <c:pt idx="0">
                  <c:v>4</c:v>
                </c:pt>
                <c:pt idx="1">
                  <c:v>4</c:v>
                </c:pt>
                <c:pt idx="2">
                  <c:v>4</c:v>
                </c:pt>
                <c:pt idx="3">
                  <c:v>4</c:v>
                </c:pt>
                <c:pt idx="4">
                  <c:v>4</c:v>
                </c:pt>
                <c:pt idx="5">
                  <c:v>4</c:v>
                </c:pt>
              </c:numCache>
            </c:numRef>
          </c:val>
          <c:extLst>
            <c:ext xmlns:c16="http://schemas.microsoft.com/office/drawing/2014/chart" uri="{C3380CC4-5D6E-409C-BE32-E72D297353CC}">
              <c16:uniqueId val="{00000001-583E-4B5F-A084-25D72BE0751C}"/>
            </c:ext>
          </c:extLst>
        </c:ser>
        <c:ser>
          <c:idx val="2"/>
          <c:order val="2"/>
          <c:spPr>
            <a:noFill/>
            <a:ln w="12700">
              <a:solidFill>
                <a:srgbClr val="000000"/>
              </a:solidFill>
              <a:prstDash val="solid"/>
            </a:ln>
          </c:spPr>
          <c:cat>
            <c:strRef>
              <c:f>結果!$V$9:$V$14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結果!$Y$9:$Y$14</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2-583E-4B5F-A084-25D72BE0751C}"/>
            </c:ext>
          </c:extLst>
        </c:ser>
        <c:ser>
          <c:idx val="3"/>
          <c:order val="3"/>
          <c:spPr>
            <a:pattFill prst="pct50">
              <a:fgClr>
                <a:srgbClr val="CCCCFF"/>
              </a:fgClr>
              <a:bgClr>
                <a:srgbClr val="FFFFFF"/>
              </a:bgClr>
            </a:pattFill>
            <a:ln w="12700">
              <a:solidFill>
                <a:srgbClr val="000000"/>
              </a:solidFill>
              <a:prstDash val="solid"/>
            </a:ln>
          </c:spPr>
          <c:cat>
            <c:strRef>
              <c:f>結果!$V$9:$V$14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結果!$Z$9:$Z$14</c:f>
              <c:numCache>
                <c:formatCode>General</c:formatCode>
                <c:ptCount val="6"/>
                <c:pt idx="0">
                  <c:v>3</c:v>
                </c:pt>
                <c:pt idx="1">
                  <c:v>3</c:v>
                </c:pt>
                <c:pt idx="2">
                  <c:v>#N/A</c:v>
                </c:pt>
                <c:pt idx="3">
                  <c:v>3</c:v>
                </c:pt>
                <c:pt idx="4">
                  <c:v>#N/A</c:v>
                </c:pt>
                <c:pt idx="5">
                  <c:v>3</c:v>
                </c:pt>
              </c:numCache>
            </c:numRef>
          </c:val>
          <c:extLst>
            <c:ext xmlns:c16="http://schemas.microsoft.com/office/drawing/2014/chart" uri="{C3380CC4-5D6E-409C-BE32-E72D297353CC}">
              <c16:uniqueId val="{00000003-583E-4B5F-A084-25D72BE0751C}"/>
            </c:ext>
          </c:extLst>
        </c:ser>
        <c:ser>
          <c:idx val="4"/>
          <c:order val="4"/>
          <c:spPr>
            <a:noFill/>
            <a:ln w="12700">
              <a:solidFill>
                <a:srgbClr val="FF0000"/>
              </a:solidFill>
              <a:prstDash val="solid"/>
            </a:ln>
          </c:spPr>
          <c:cat>
            <c:strRef>
              <c:f>結果!$V$9:$V$14</c:f>
              <c:strCache>
                <c:ptCount val="6"/>
                <c:pt idx="0">
                  <c:v>Q2 サービス性能</c:v>
                </c:pt>
                <c:pt idx="1">
                  <c:v>Q3 室外環境
(敷地内)</c:v>
                </c:pt>
                <c:pt idx="2">
                  <c:v>LR3 
敷地外環境</c:v>
                </c:pt>
                <c:pt idx="3">
                  <c:v>LR2 資源・
マテリアル</c:v>
                </c:pt>
                <c:pt idx="4">
                  <c:v>LR1 
エネルギー</c:v>
                </c:pt>
                <c:pt idx="5">
                  <c:v>Q1　
室内環境</c:v>
                </c:pt>
              </c:strCache>
            </c:strRef>
          </c:cat>
          <c:val>
            <c:numRef>
              <c:f>結果!$AA$9:$AA$14</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4-583E-4B5F-A084-25D72BE0751C}"/>
            </c:ext>
          </c:extLst>
        </c:ser>
        <c:dLbls>
          <c:showLegendKey val="0"/>
          <c:showVal val="0"/>
          <c:showCatName val="0"/>
          <c:showSerName val="0"/>
          <c:showPercent val="0"/>
          <c:showBubbleSize val="0"/>
        </c:dLbls>
        <c:axId val="226825016"/>
        <c:axId val="223853752"/>
      </c:radarChart>
      <c:catAx>
        <c:axId val="226825016"/>
        <c:scaling>
          <c:orientation val="minMax"/>
        </c:scaling>
        <c:delete val="0"/>
        <c:axPos val="b"/>
        <c:majorGridlines>
          <c:spPr>
            <a:ln w="3175">
              <a:solidFill>
                <a:srgbClr val="000000"/>
              </a:solidFill>
              <a:prstDash val="solid"/>
            </a:ln>
          </c:spPr>
        </c:majorGridlines>
        <c:numFmt formatCode="General" sourceLinked="1"/>
        <c:majorTickMark val="out"/>
        <c:minorTickMark val="none"/>
        <c:tickLblPos val="nextTo"/>
        <c:txPr>
          <a:bodyPr rot="0" vert="horz"/>
          <a:lstStyle/>
          <a:p>
            <a:pPr>
              <a:defRPr sz="900" b="1" i="0" u="none" strike="noStrike" baseline="0">
                <a:solidFill>
                  <a:srgbClr val="000000"/>
                </a:solidFill>
                <a:latin typeface="ＭＳ Ｐゴシック"/>
                <a:ea typeface="ＭＳ Ｐゴシック"/>
                <a:cs typeface="ＭＳ Ｐゴシック"/>
              </a:defRPr>
            </a:pPr>
            <a:endParaRPr lang="ja-JP"/>
          </a:p>
        </c:txPr>
        <c:crossAx val="223853752"/>
        <c:crosses val="autoZero"/>
        <c:auto val="0"/>
        <c:lblAlgn val="ctr"/>
        <c:lblOffset val="100"/>
        <c:noMultiLvlLbl val="0"/>
      </c:catAx>
      <c:valAx>
        <c:axId val="223853752"/>
        <c:scaling>
          <c:orientation val="minMax"/>
          <c:max val="5"/>
          <c:min val="1"/>
        </c:scaling>
        <c:delete val="0"/>
        <c:axPos val="l"/>
        <c:majorGridlines>
          <c:spPr>
            <a:ln w="3175">
              <a:solidFill>
                <a:srgbClr val="000000"/>
              </a:solidFill>
              <a:prstDash val="solid"/>
            </a:ln>
          </c:spPr>
        </c:majorGridlines>
        <c:numFmt formatCode="#,##0_);[Red]\(#,##0\)" sourceLinked="0"/>
        <c:majorTickMark val="cross"/>
        <c:minorTickMark val="none"/>
        <c:tickLblPos val="nextTo"/>
        <c:spPr>
          <a:ln w="3175">
            <a:solidFill>
              <a:srgbClr val="000000"/>
            </a:solidFill>
            <a:prstDash val="solid"/>
          </a:ln>
        </c:spPr>
        <c:txPr>
          <a:bodyPr rot="0" vert="horz"/>
          <a:lstStyle/>
          <a:p>
            <a:pPr>
              <a:defRPr sz="825" b="0" i="0" u="none" strike="noStrike" baseline="0">
                <a:solidFill>
                  <a:srgbClr val="000000"/>
                </a:solidFill>
                <a:latin typeface="ＭＳ Ｐゴシック"/>
                <a:ea typeface="ＭＳ Ｐゴシック"/>
                <a:cs typeface="ＭＳ Ｐゴシック"/>
              </a:defRPr>
            </a:pPr>
            <a:endParaRPr lang="ja-JP"/>
          </a:p>
        </c:txPr>
        <c:crossAx val="226825016"/>
        <c:crosses val="autoZero"/>
        <c:crossBetween val="between"/>
        <c:majorUnit val="1"/>
      </c:valAx>
      <c:spPr>
        <a:noFill/>
        <a:ln w="25400">
          <a:noFill/>
        </a:ln>
      </c:spPr>
    </c:plotArea>
    <c:plotVisOnly val="0"/>
    <c:dispBlanksAs val="gap"/>
    <c:showDLblsOverMax val="0"/>
  </c:chart>
  <c:spPr>
    <a:noFill/>
    <a:ln w="6350">
      <a:noFill/>
    </a:ln>
  </c:spPr>
  <c:txPr>
    <a:bodyPr/>
    <a:lstStyle/>
    <a:p>
      <a:pPr>
        <a:defRPr sz="82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68BD-4619-AD9D-64D2D87ACA14}"/>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68BD-4619-AD9D-64D2D87ACA14}"/>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68BD-4619-AD9D-64D2D87ACA14}"/>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68BD-4619-AD9D-64D2D87ACA14}"/>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結果!$R$48:$R$51</c:f>
              <c:strCache>
                <c:ptCount val="4"/>
                <c:pt idx="0">
                  <c:v>音環境</c:v>
                </c:pt>
                <c:pt idx="1">
                  <c:v>温熱環境</c:v>
                </c:pt>
                <c:pt idx="2">
                  <c:v>光・視環境</c:v>
                </c:pt>
                <c:pt idx="3">
                  <c:v>空気質環境</c:v>
                </c:pt>
              </c:strCache>
            </c:strRef>
          </c:cat>
          <c:val>
            <c:numRef>
              <c:f>結果!$S$48:$S$51</c:f>
              <c:numCache>
                <c:formatCode>0.0;_Ā</c:formatCode>
                <c:ptCount val="4"/>
                <c:pt idx="0">
                  <c:v>3</c:v>
                </c:pt>
                <c:pt idx="1">
                  <c:v>3</c:v>
                </c:pt>
                <c:pt idx="2">
                  <c:v>3</c:v>
                </c:pt>
                <c:pt idx="3">
                  <c:v>3</c:v>
                </c:pt>
              </c:numCache>
            </c:numRef>
          </c:val>
          <c:extLst>
            <c:ext xmlns:c16="http://schemas.microsoft.com/office/drawing/2014/chart" uri="{C3380CC4-5D6E-409C-BE32-E72D297353CC}">
              <c16:uniqueId val="{00000004-68BD-4619-AD9D-64D2D87ACA14}"/>
            </c:ext>
          </c:extLst>
        </c:ser>
        <c:dLbls>
          <c:showLegendKey val="0"/>
          <c:showVal val="1"/>
          <c:showCatName val="0"/>
          <c:showSerName val="0"/>
          <c:showPercent val="0"/>
          <c:showBubbleSize val="0"/>
        </c:dLbls>
        <c:gapWidth val="40"/>
        <c:axId val="223854144"/>
        <c:axId val="223854536"/>
      </c:barChart>
      <c:catAx>
        <c:axId val="223854144"/>
        <c:scaling>
          <c:orientation val="minMax"/>
        </c:scaling>
        <c:delete val="0"/>
        <c:axPos val="b"/>
        <c:numFmt formatCode="General" sourceLinked="1"/>
        <c:majorTickMark val="none"/>
        <c:minorTickMark val="none"/>
        <c:tickLblPos val="none"/>
        <c:spPr>
          <a:ln w="3175">
            <a:solidFill>
              <a:srgbClr val="000000"/>
            </a:solidFill>
            <a:prstDash val="solid"/>
          </a:ln>
        </c:spPr>
        <c:crossAx val="223854536"/>
        <c:crossesAt val="0"/>
        <c:auto val="1"/>
        <c:lblAlgn val="ctr"/>
        <c:lblOffset val="100"/>
        <c:tickMarkSkip val="1"/>
        <c:noMultiLvlLbl val="0"/>
      </c:catAx>
      <c:valAx>
        <c:axId val="22385453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2385414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66CD-4A9E-90CD-419C2D7775C9}"/>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66CD-4A9E-90CD-419C2D7775C9}"/>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66CD-4A9E-90CD-419C2D7775C9}"/>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結果!$U$48:$U$50</c:f>
              <c:strCache>
                <c:ptCount val="3"/>
                <c:pt idx="0">
                  <c:v>機能性</c:v>
                </c:pt>
                <c:pt idx="1">
                  <c:v>耐用性・信頼性</c:v>
                </c:pt>
                <c:pt idx="2">
                  <c:v>対応性･更新性</c:v>
                </c:pt>
              </c:strCache>
            </c:strRef>
          </c:cat>
          <c:val>
            <c:numRef>
              <c:f>結果!$V$48:$V$50</c:f>
              <c:numCache>
                <c:formatCode>0.0_ </c:formatCode>
                <c:ptCount val="3"/>
                <c:pt idx="0">
                  <c:v>3</c:v>
                </c:pt>
                <c:pt idx="1">
                  <c:v>3.1</c:v>
                </c:pt>
                <c:pt idx="2">
                  <c:v>3</c:v>
                </c:pt>
              </c:numCache>
            </c:numRef>
          </c:val>
          <c:extLst>
            <c:ext xmlns:c16="http://schemas.microsoft.com/office/drawing/2014/chart" uri="{C3380CC4-5D6E-409C-BE32-E72D297353CC}">
              <c16:uniqueId val="{00000003-66CD-4A9E-90CD-419C2D7775C9}"/>
            </c:ext>
          </c:extLst>
        </c:ser>
        <c:dLbls>
          <c:showLegendKey val="0"/>
          <c:showVal val="1"/>
          <c:showCatName val="0"/>
          <c:showSerName val="0"/>
          <c:showPercent val="0"/>
          <c:showBubbleSize val="0"/>
        </c:dLbls>
        <c:gapWidth val="70"/>
        <c:axId val="223849048"/>
        <c:axId val="223849440"/>
      </c:barChart>
      <c:catAx>
        <c:axId val="223849048"/>
        <c:scaling>
          <c:orientation val="minMax"/>
        </c:scaling>
        <c:delete val="0"/>
        <c:axPos val="b"/>
        <c:numFmt formatCode="General" sourceLinked="1"/>
        <c:majorTickMark val="none"/>
        <c:minorTickMark val="none"/>
        <c:tickLblPos val="none"/>
        <c:spPr>
          <a:ln w="3175">
            <a:solidFill>
              <a:srgbClr val="000000"/>
            </a:solidFill>
            <a:prstDash val="solid"/>
          </a:ln>
        </c:spPr>
        <c:crossAx val="223849440"/>
        <c:crossesAt val="0"/>
        <c:auto val="1"/>
        <c:lblAlgn val="ctr"/>
        <c:lblOffset val="100"/>
        <c:tickMarkSkip val="1"/>
        <c:noMultiLvlLbl val="0"/>
      </c:catAx>
      <c:valAx>
        <c:axId val="22384944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22384904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FFFF99"/>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B6D4-409B-883E-95B14FE8E957}"/>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B6D4-409B-883E-95B14FE8E957}"/>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B6D4-409B-883E-95B14FE8E957}"/>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結果!$X$48:$X$50</c:f>
              <c:strCache>
                <c:ptCount val="3"/>
                <c:pt idx="0">
                  <c:v>生物資源</c:v>
                </c:pt>
                <c:pt idx="1">
                  <c:v>まちなみ景観</c:v>
                </c:pt>
                <c:pt idx="2">
                  <c:v>地域性・文化</c:v>
                </c:pt>
              </c:strCache>
            </c:strRef>
          </c:cat>
          <c:val>
            <c:numRef>
              <c:f>結果!$Y$48:$Y$50</c:f>
              <c:numCache>
                <c:formatCode>0.0_ </c:formatCode>
                <c:ptCount val="3"/>
                <c:pt idx="0">
                  <c:v>3</c:v>
                </c:pt>
                <c:pt idx="1">
                  <c:v>3</c:v>
                </c:pt>
                <c:pt idx="2">
                  <c:v>3</c:v>
                </c:pt>
              </c:numCache>
            </c:numRef>
          </c:val>
          <c:extLst>
            <c:ext xmlns:c16="http://schemas.microsoft.com/office/drawing/2014/chart" uri="{C3380CC4-5D6E-409C-BE32-E72D297353CC}">
              <c16:uniqueId val="{00000003-B6D4-409B-883E-95B14FE8E957}"/>
            </c:ext>
          </c:extLst>
        </c:ser>
        <c:dLbls>
          <c:showLegendKey val="0"/>
          <c:showVal val="1"/>
          <c:showCatName val="0"/>
          <c:showSerName val="0"/>
          <c:showPercent val="0"/>
          <c:showBubbleSize val="0"/>
        </c:dLbls>
        <c:gapWidth val="70"/>
        <c:axId val="507555328"/>
        <c:axId val="507559248"/>
      </c:barChart>
      <c:catAx>
        <c:axId val="507555328"/>
        <c:scaling>
          <c:orientation val="minMax"/>
        </c:scaling>
        <c:delete val="0"/>
        <c:axPos val="b"/>
        <c:numFmt formatCode="General" sourceLinked="1"/>
        <c:majorTickMark val="none"/>
        <c:minorTickMark val="none"/>
        <c:tickLblPos val="none"/>
        <c:spPr>
          <a:ln w="3175">
            <a:solidFill>
              <a:srgbClr val="000000"/>
            </a:solidFill>
            <a:prstDash val="solid"/>
          </a:ln>
        </c:spPr>
        <c:crossAx val="507559248"/>
        <c:crossesAt val="0"/>
        <c:auto val="1"/>
        <c:lblAlgn val="ctr"/>
        <c:lblOffset val="100"/>
        <c:tickMarkSkip val="1"/>
        <c:noMultiLvlLbl val="0"/>
      </c:catAx>
      <c:valAx>
        <c:axId val="507559248"/>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7555328"/>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0924969694061724E-2"/>
          <c:y val="8.4337597472695883E-2"/>
          <c:w val="0.90462555408004719"/>
          <c:h val="0.72289369262310754"/>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8005-4969-B42A-CE87AF28D861}"/>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8005-4969-B42A-CE87AF28D861}"/>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8005-4969-B42A-CE87AF28D861}"/>
                </c:ext>
              </c:extLst>
            </c:dLbl>
            <c:dLbl>
              <c:idx val="3"/>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3-8005-4969-B42A-CE87AF28D861}"/>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結果!$R$59:$R$62</c:f>
              <c:strCache>
                <c:ptCount val="4"/>
                <c:pt idx="0">
                  <c:v>熱負荷抑制</c:v>
                </c:pt>
                <c:pt idx="1">
                  <c:v>自然ｴﾈﾙｷﾞｰ</c:v>
                </c:pt>
                <c:pt idx="2">
                  <c:v>設備の効率的利用</c:v>
                </c:pt>
                <c:pt idx="3">
                  <c:v>運用ﾏﾈｼﾞﾒﾝﾄ</c:v>
                </c:pt>
              </c:strCache>
            </c:strRef>
          </c:cat>
          <c:val>
            <c:numRef>
              <c:f>結果!$S$59:$S$62</c:f>
              <c:numCache>
                <c:formatCode>#,##0.0;[Red]\-#,##0.0</c:formatCode>
                <c:ptCount val="4"/>
                <c:pt idx="0">
                  <c:v>5</c:v>
                </c:pt>
                <c:pt idx="1">
                  <c:v>3</c:v>
                </c:pt>
                <c:pt idx="2">
                  <c:v>#N/A</c:v>
                </c:pt>
                <c:pt idx="3">
                  <c:v>3</c:v>
                </c:pt>
              </c:numCache>
            </c:numRef>
          </c:val>
          <c:extLst>
            <c:ext xmlns:c16="http://schemas.microsoft.com/office/drawing/2014/chart" uri="{C3380CC4-5D6E-409C-BE32-E72D297353CC}">
              <c16:uniqueId val="{00000004-8005-4969-B42A-CE87AF28D861}"/>
            </c:ext>
          </c:extLst>
        </c:ser>
        <c:dLbls>
          <c:showLegendKey val="0"/>
          <c:showVal val="1"/>
          <c:showCatName val="0"/>
          <c:showSerName val="0"/>
          <c:showPercent val="0"/>
          <c:showBubbleSize val="0"/>
        </c:dLbls>
        <c:gapWidth val="40"/>
        <c:axId val="507554936"/>
        <c:axId val="507556112"/>
      </c:barChart>
      <c:catAx>
        <c:axId val="507554936"/>
        <c:scaling>
          <c:orientation val="minMax"/>
        </c:scaling>
        <c:delete val="0"/>
        <c:axPos val="b"/>
        <c:numFmt formatCode="General" sourceLinked="1"/>
        <c:majorTickMark val="none"/>
        <c:minorTickMark val="none"/>
        <c:tickLblPos val="none"/>
        <c:spPr>
          <a:ln w="3175">
            <a:solidFill>
              <a:srgbClr val="000000"/>
            </a:solidFill>
            <a:prstDash val="solid"/>
          </a:ln>
        </c:spPr>
        <c:crossAx val="507556112"/>
        <c:crossesAt val="0"/>
        <c:auto val="1"/>
        <c:lblAlgn val="ctr"/>
        <c:lblOffset val="100"/>
        <c:tickMarkSkip val="1"/>
        <c:noMultiLvlLbl val="0"/>
      </c:catAx>
      <c:valAx>
        <c:axId val="507556112"/>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7554936"/>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7524115755627015E-2"/>
          <c:y val="8.4337597472695883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0A1E-426E-A353-4994060EE8F1}"/>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0A1E-426E-A353-4994060EE8F1}"/>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0A1E-426E-A353-4994060EE8F1}"/>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結果!$U$59:$U$61</c:f>
              <c:strCache>
                <c:ptCount val="3"/>
                <c:pt idx="0">
                  <c:v>水資源</c:v>
                </c:pt>
                <c:pt idx="1">
                  <c:v>非再生性材料の削減</c:v>
                </c:pt>
                <c:pt idx="2">
                  <c:v>汚染物質回避</c:v>
                </c:pt>
              </c:strCache>
            </c:strRef>
          </c:cat>
          <c:val>
            <c:numRef>
              <c:f>結果!$V$59:$V$61</c:f>
              <c:numCache>
                <c:formatCode>0.0_ </c:formatCode>
                <c:ptCount val="3"/>
                <c:pt idx="0">
                  <c:v>3</c:v>
                </c:pt>
                <c:pt idx="1">
                  <c:v>3</c:v>
                </c:pt>
                <c:pt idx="2">
                  <c:v>3.2</c:v>
                </c:pt>
              </c:numCache>
            </c:numRef>
          </c:val>
          <c:extLst>
            <c:ext xmlns:c16="http://schemas.microsoft.com/office/drawing/2014/chart" uri="{C3380CC4-5D6E-409C-BE32-E72D297353CC}">
              <c16:uniqueId val="{00000003-0A1E-426E-A353-4994060EE8F1}"/>
            </c:ext>
          </c:extLst>
        </c:ser>
        <c:dLbls>
          <c:showLegendKey val="0"/>
          <c:showVal val="1"/>
          <c:showCatName val="0"/>
          <c:showSerName val="0"/>
          <c:showPercent val="0"/>
          <c:showBubbleSize val="0"/>
        </c:dLbls>
        <c:gapWidth val="70"/>
        <c:axId val="507556504"/>
        <c:axId val="507555720"/>
      </c:barChart>
      <c:catAx>
        <c:axId val="507556504"/>
        <c:scaling>
          <c:orientation val="minMax"/>
        </c:scaling>
        <c:delete val="0"/>
        <c:axPos val="b"/>
        <c:numFmt formatCode="General" sourceLinked="1"/>
        <c:majorTickMark val="none"/>
        <c:minorTickMark val="none"/>
        <c:tickLblPos val="none"/>
        <c:spPr>
          <a:ln w="3175">
            <a:solidFill>
              <a:srgbClr val="000000"/>
            </a:solidFill>
            <a:prstDash val="solid"/>
          </a:ln>
        </c:spPr>
        <c:crossAx val="507555720"/>
        <c:crossesAt val="0"/>
        <c:auto val="1"/>
        <c:lblAlgn val="ctr"/>
        <c:lblOffset val="100"/>
        <c:tickMarkSkip val="1"/>
        <c:noMultiLvlLbl val="0"/>
      </c:catAx>
      <c:valAx>
        <c:axId val="507555720"/>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7556504"/>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3236870310825297E-2"/>
          <c:y val="4.4176706827309238E-2"/>
          <c:w val="0.91639871382636651"/>
          <c:h val="0.72891780672830009"/>
        </c:manualLayout>
      </c:layout>
      <c:barChart>
        <c:barDir val="col"/>
        <c:grouping val="clustered"/>
        <c:varyColors val="0"/>
        <c:ser>
          <c:idx val="0"/>
          <c:order val="0"/>
          <c:spPr>
            <a:solidFill>
              <a:srgbClr val="99CC00"/>
            </a:solidFill>
            <a:ln w="12700">
              <a:solidFill>
                <a:srgbClr val="000000"/>
              </a:solidFill>
              <a:prstDash val="solid"/>
            </a:ln>
          </c:spPr>
          <c:invertIfNegative val="0"/>
          <c:dLbls>
            <c:dLbl>
              <c:idx val="0"/>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0-B680-450F-B630-A1FE23960792}"/>
                </c:ext>
              </c:extLst>
            </c:dLbl>
            <c:dLbl>
              <c:idx val="1"/>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1-B680-450F-B630-A1FE23960792}"/>
                </c:ext>
              </c:extLst>
            </c:dLbl>
            <c:dLbl>
              <c:idx val="2"/>
              <c:spPr>
                <a:noFill/>
                <a:ln w="25400">
                  <a:noFill/>
                </a:ln>
              </c:spPr>
              <c:txPr>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extLst>
                <c:ext xmlns:c16="http://schemas.microsoft.com/office/drawing/2014/chart" uri="{C3380CC4-5D6E-409C-BE32-E72D297353CC}">
                  <c16:uniqueId val="{00000002-B680-450F-B630-A1FE23960792}"/>
                </c:ext>
              </c:extLst>
            </c:dLbl>
            <c:spPr>
              <a:noFill/>
              <a:ln w="25400">
                <a:noFill/>
              </a:ln>
            </c:spPr>
            <c:txPr>
              <a:bodyPr wrap="square" lIns="38100" tIns="19050" rIns="38100" bIns="19050" anchor="ctr">
                <a:spAutoFit/>
              </a:bodyPr>
              <a:lstStyle/>
              <a:p>
                <a:pPr>
                  <a:defRPr sz="800" b="0" i="0" u="none" strike="noStrike" baseline="0">
                    <a:solidFill>
                      <a:srgbClr val="000000"/>
                    </a:solidFill>
                    <a:latin typeface="ＭＳ Ｐゴシック"/>
                    <a:ea typeface="ＭＳ Ｐゴシック"/>
                    <a:cs typeface="ＭＳ Ｐゴシック"/>
                  </a:defRPr>
                </a:pPr>
                <a:endParaRPr lang="ja-JP"/>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結果!$X$59:$X$61</c:f>
              <c:strCache>
                <c:ptCount val="3"/>
                <c:pt idx="0">
                  <c:v>地球温暖化への配慮</c:v>
                </c:pt>
                <c:pt idx="1">
                  <c:v>地域環境への配慮</c:v>
                </c:pt>
                <c:pt idx="2">
                  <c:v>周辺環境への配慮</c:v>
                </c:pt>
              </c:strCache>
            </c:strRef>
          </c:cat>
          <c:val>
            <c:numRef>
              <c:f>結果!$Y$59:$Y$61</c:f>
              <c:numCache>
                <c:formatCode>0.0_ </c:formatCode>
                <c:ptCount val="3"/>
                <c:pt idx="0">
                  <c:v>#N/A</c:v>
                </c:pt>
                <c:pt idx="1">
                  <c:v>3</c:v>
                </c:pt>
                <c:pt idx="2">
                  <c:v>3</c:v>
                </c:pt>
              </c:numCache>
            </c:numRef>
          </c:val>
          <c:extLst>
            <c:ext xmlns:c16="http://schemas.microsoft.com/office/drawing/2014/chart" uri="{C3380CC4-5D6E-409C-BE32-E72D297353CC}">
              <c16:uniqueId val="{00000003-B680-450F-B630-A1FE23960792}"/>
            </c:ext>
          </c:extLst>
        </c:ser>
        <c:dLbls>
          <c:showLegendKey val="0"/>
          <c:showVal val="1"/>
          <c:showCatName val="0"/>
          <c:showSerName val="0"/>
          <c:showPercent val="0"/>
          <c:showBubbleSize val="0"/>
        </c:dLbls>
        <c:gapWidth val="70"/>
        <c:axId val="507553760"/>
        <c:axId val="507556896"/>
      </c:barChart>
      <c:catAx>
        <c:axId val="507553760"/>
        <c:scaling>
          <c:orientation val="minMax"/>
        </c:scaling>
        <c:delete val="0"/>
        <c:axPos val="b"/>
        <c:numFmt formatCode="General" sourceLinked="1"/>
        <c:majorTickMark val="none"/>
        <c:minorTickMark val="none"/>
        <c:tickLblPos val="none"/>
        <c:spPr>
          <a:ln w="3175">
            <a:solidFill>
              <a:srgbClr val="000000"/>
            </a:solidFill>
            <a:prstDash val="solid"/>
          </a:ln>
        </c:spPr>
        <c:crossAx val="507556896"/>
        <c:crossesAt val="0"/>
        <c:auto val="1"/>
        <c:lblAlgn val="ctr"/>
        <c:lblOffset val="100"/>
        <c:tickMarkSkip val="1"/>
        <c:noMultiLvlLbl val="0"/>
      </c:catAx>
      <c:valAx>
        <c:axId val="507556896"/>
        <c:scaling>
          <c:orientation val="minMax"/>
          <c:max val="5"/>
          <c:min val="1"/>
        </c:scaling>
        <c:delete val="0"/>
        <c:axPos val="l"/>
        <c:majorGridlines>
          <c:spPr>
            <a:ln w="3175">
              <a:solidFill>
                <a:srgbClr val="000000"/>
              </a:solidFill>
              <a:prstDash val="solid"/>
            </a:ln>
          </c:spPr>
        </c:majorGridlines>
        <c:numFmt formatCode="General" sourceLinked="0"/>
        <c:majorTickMark val="in"/>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7553760"/>
        <c:crosses val="autoZero"/>
        <c:crossBetween val="between"/>
        <c:majorUnit val="1"/>
        <c:minorUnit val="0.1"/>
      </c:valAx>
      <c:spPr>
        <a:noFill/>
        <a:ln w="3175">
          <a:solidFill>
            <a:srgbClr val="000000"/>
          </a:solidFill>
          <a:prstDash val="solid"/>
        </a:ln>
      </c:spPr>
    </c:plotArea>
    <c:plotVisOnly val="0"/>
    <c:dispBlanksAs val="gap"/>
    <c:showDLblsOverMax val="0"/>
  </c:chart>
  <c:spPr>
    <a:noFill/>
    <a:ln w="6350">
      <a:noFill/>
    </a:ln>
  </c:spPr>
  <c:txPr>
    <a:bodyPr/>
    <a:lstStyle/>
    <a:p>
      <a:pPr>
        <a:defRPr sz="450"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c:printSettings>
  <c:userShapes r:id="rId1"/>
</c:chartSpace>
</file>

<file path=xl/ctrlProps/ctrlProp1.xml><?xml version="1.0" encoding="utf-8"?>
<formControlPr xmlns="http://schemas.microsoft.com/office/spreadsheetml/2009/9/main" objectType="Radio" firstButton="1" fmlaLink="$O$3" lockText="1"/>
</file>

<file path=xl/ctrlProps/ctrlProp2.xml><?xml version="1.0" encoding="utf-8"?>
<formControlPr xmlns="http://schemas.microsoft.com/office/spreadsheetml/2009/9/main" objectType="Radio" lockText="1"/>
</file>

<file path=xl/ctrlProps/ctrlProp3.xml><?xml version="1.0" encoding="utf-8"?>
<formControlPr xmlns="http://schemas.microsoft.com/office/spreadsheetml/2009/9/main" objectType="Radio" lockText="1"/>
</file>

<file path=xl/ctrlProps/ctrlProp4.xml><?xml version="1.0" encoding="utf-8"?>
<formControlPr xmlns="http://schemas.microsoft.com/office/spreadsheetml/2009/9/main" objectType="Radio" lockText="1"/>
</file>

<file path=xl/ctrlProps/ctrlProp5.xml><?xml version="1.0" encoding="utf-8"?>
<formControlPr xmlns="http://schemas.microsoft.com/office/spreadsheetml/2009/9/main" objectType="Radio"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chart" Target="../charts/chart7.xml"/><Relationship Id="rId13" Type="http://schemas.openxmlformats.org/officeDocument/2006/relationships/image" Target="../media/image1.png"/><Relationship Id="rId3" Type="http://schemas.openxmlformats.org/officeDocument/2006/relationships/chart" Target="../charts/chart2.xml"/><Relationship Id="rId7" Type="http://schemas.openxmlformats.org/officeDocument/2006/relationships/chart" Target="../charts/chart6.xml"/><Relationship Id="rId12" Type="http://schemas.openxmlformats.org/officeDocument/2006/relationships/chart" Target="../charts/chart11.xml"/><Relationship Id="rId2" Type="http://schemas.openxmlformats.org/officeDocument/2006/relationships/chart" Target="../charts/chart1.xml"/><Relationship Id="rId1" Type="http://schemas.openxmlformats.org/officeDocument/2006/relationships/image" Target="../media/image2.emf"/><Relationship Id="rId6" Type="http://schemas.openxmlformats.org/officeDocument/2006/relationships/chart" Target="../charts/chart5.xml"/><Relationship Id="rId11" Type="http://schemas.openxmlformats.org/officeDocument/2006/relationships/chart" Target="../charts/chart10.xml"/><Relationship Id="rId5" Type="http://schemas.openxmlformats.org/officeDocument/2006/relationships/chart" Target="../charts/chart4.xml"/><Relationship Id="rId10" Type="http://schemas.openxmlformats.org/officeDocument/2006/relationships/chart" Target="../charts/chart9.xml"/><Relationship Id="rId4" Type="http://schemas.openxmlformats.org/officeDocument/2006/relationships/chart" Target="../charts/chart3.xml"/><Relationship Id="rId9"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editAs="oneCell">
    <xdr:from>
      <xdr:col>1</xdr:col>
      <xdr:colOff>152400</xdr:colOff>
      <xdr:row>0</xdr:row>
      <xdr:rowOff>105437</xdr:rowOff>
    </xdr:from>
    <xdr:to>
      <xdr:col>5</xdr:col>
      <xdr:colOff>667627</xdr:colOff>
      <xdr:row>2</xdr:row>
      <xdr:rowOff>228599</xdr:rowOff>
    </xdr:to>
    <xdr:pic>
      <xdr:nvPicPr>
        <xdr:cNvPr id="2" name="図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0" y="105437"/>
          <a:ext cx="5618722" cy="5708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638175</xdr:colOff>
      <xdr:row>1</xdr:row>
      <xdr:rowOff>38100</xdr:rowOff>
    </xdr:from>
    <xdr:to>
      <xdr:col>14</xdr:col>
      <xdr:colOff>762000</xdr:colOff>
      <xdr:row>3</xdr:row>
      <xdr:rowOff>133350</xdr:rowOff>
    </xdr:to>
    <xdr:pic>
      <xdr:nvPicPr>
        <xdr:cNvPr id="42" name="Picture 38">
          <a:extLst>
            <a:ext uri="{FF2B5EF4-FFF2-40B4-BE49-F238E27FC236}">
              <a16:creationId xmlns:a16="http://schemas.microsoft.com/office/drawing/2014/main" id="{00000000-0008-0000-01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69884" t="27533" b="27725"/>
        <a:stretch>
          <a:fillRect/>
        </a:stretch>
      </xdr:blipFill>
      <xdr:spPr bwMode="auto">
        <a:xfrm>
          <a:off x="7353300" y="114300"/>
          <a:ext cx="258127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619125</xdr:colOff>
      <xdr:row>22</xdr:row>
      <xdr:rowOff>0</xdr:rowOff>
    </xdr:from>
    <xdr:to>
      <xdr:col>6</xdr:col>
      <xdr:colOff>485775</xdr:colOff>
      <xdr:row>26</xdr:row>
      <xdr:rowOff>9525</xdr:rowOff>
    </xdr:to>
    <xdr:graphicFrame macro="">
      <xdr:nvGraphicFramePr>
        <xdr:cNvPr id="44" name="Chart 123">
          <a:extLst>
            <a:ext uri="{FF2B5EF4-FFF2-40B4-BE49-F238E27FC236}">
              <a16:creationId xmlns:a16="http://schemas.microsoft.com/office/drawing/2014/main" id="{00000000-0008-0000-0100-00002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0</xdr:col>
      <xdr:colOff>47625</xdr:colOff>
      <xdr:row>22</xdr:row>
      <xdr:rowOff>180975</xdr:rowOff>
    </xdr:from>
    <xdr:ext cx="560410" cy="219419"/>
    <xdr:sp macro="" textlink="">
      <xdr:nvSpPr>
        <xdr:cNvPr id="45" name="Text Box 39">
          <a:extLst>
            <a:ext uri="{FF2B5EF4-FFF2-40B4-BE49-F238E27FC236}">
              <a16:creationId xmlns:a16="http://schemas.microsoft.com/office/drawing/2014/main" id="{00000000-0008-0000-0100-00002D000000}"/>
            </a:ext>
          </a:extLst>
        </xdr:cNvPr>
        <xdr:cNvSpPr txBox="1">
          <a:spLocks noChangeArrowheads="1"/>
        </xdr:cNvSpPr>
      </xdr:nvSpPr>
      <xdr:spPr bwMode="auto">
        <a:xfrm>
          <a:off x="47625" y="3914775"/>
          <a:ext cx="560410" cy="219419"/>
        </a:xfrm>
        <a:prstGeom prst="rect">
          <a:avLst/>
        </a:prstGeom>
        <a:noFill/>
        <a:ln w="9525">
          <a:noFill/>
          <a:miter lim="800000"/>
          <a:headEnd/>
          <a:tailEnd/>
        </a:ln>
      </xdr:spPr>
      <xdr:txBody>
        <a:bodyPr wrap="none" lIns="27432" tIns="27432" rIns="0" bIns="0" anchor="t" upright="1">
          <a:spAutoFit/>
        </a:bodyPr>
        <a:lstStyle/>
        <a:p>
          <a:pPr algn="l" rtl="1">
            <a:defRPr sz="1000"/>
          </a:pPr>
          <a:r>
            <a:rPr lang="en-US" altLang="ja-JP" sz="1300" b="1" i="0" strike="noStrike">
              <a:solidFill>
                <a:srgbClr val="000000"/>
              </a:solidFill>
              <a:latin typeface="Arial"/>
              <a:cs typeface="Arial"/>
            </a:rPr>
            <a:t>BEE = </a:t>
          </a:r>
        </a:p>
      </xdr:txBody>
    </xdr:sp>
    <xdr:clientData/>
  </xdr:oneCellAnchor>
  <xdr:twoCellAnchor>
    <xdr:from>
      <xdr:col>1</xdr:col>
      <xdr:colOff>76200</xdr:colOff>
      <xdr:row>24</xdr:row>
      <xdr:rowOff>180975</xdr:rowOff>
    </xdr:from>
    <xdr:to>
      <xdr:col>7</xdr:col>
      <xdr:colOff>9525</xdr:colOff>
      <xdr:row>26</xdr:row>
      <xdr:rowOff>19050</xdr:rowOff>
    </xdr:to>
    <xdr:sp macro="" textlink="">
      <xdr:nvSpPr>
        <xdr:cNvPr id="46" name="Text Box 129">
          <a:extLst>
            <a:ext uri="{FF2B5EF4-FFF2-40B4-BE49-F238E27FC236}">
              <a16:creationId xmlns:a16="http://schemas.microsoft.com/office/drawing/2014/main" id="{00000000-0008-0000-0100-00002E000000}"/>
            </a:ext>
          </a:extLst>
        </xdr:cNvPr>
        <xdr:cNvSpPr txBox="1">
          <a:spLocks noChangeArrowheads="1"/>
        </xdr:cNvSpPr>
      </xdr:nvSpPr>
      <xdr:spPr bwMode="auto">
        <a:xfrm>
          <a:off x="133350" y="4295775"/>
          <a:ext cx="32385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950" b="0" i="0" strike="noStrike">
              <a:solidFill>
                <a:srgbClr val="000000"/>
              </a:solidFill>
              <a:latin typeface="ＭＳ Ｐゴシック"/>
              <a:ea typeface="ＭＳ Ｐゴシック"/>
            </a:rPr>
            <a:t>S: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A: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B</a:t>
          </a:r>
          <a:r>
            <a:rPr lang="en-US" altLang="ja-JP" sz="950" b="0" i="0" strike="noStrike" baseline="30000">
              <a:solidFill>
                <a:srgbClr val="000000"/>
              </a:solidFill>
              <a:latin typeface="ＭＳ Ｐゴシック"/>
              <a:ea typeface="ＭＳ Ｐゴシック"/>
            </a:rPr>
            <a:t>-</a:t>
          </a:r>
          <a:r>
            <a:rPr lang="en-US" altLang="ja-JP" sz="950" b="0" i="0" strike="noStrike">
              <a:solidFill>
                <a:srgbClr val="000000"/>
              </a:solidFill>
              <a:latin typeface="ＭＳ Ｐゴシック"/>
              <a:ea typeface="ＭＳ Ｐゴシック"/>
            </a:rPr>
            <a:t>: </a:t>
          </a:r>
          <a:r>
            <a:rPr lang="en-US" altLang="ja-JP" sz="950" b="0" i="0" strike="noStrike">
              <a:solidFill>
                <a:srgbClr val="333333"/>
              </a:solidFill>
              <a:latin typeface="ＭＳ Ｐゴシック"/>
              <a:ea typeface="ＭＳ Ｐゴシック"/>
            </a:rPr>
            <a:t>★★  </a:t>
          </a:r>
          <a:r>
            <a:rPr lang="en-US" altLang="ja-JP" sz="950" b="0" i="0" strike="noStrike">
              <a:solidFill>
                <a:srgbClr val="000000"/>
              </a:solidFill>
              <a:latin typeface="ＭＳ Ｐゴシック"/>
              <a:ea typeface="ＭＳ Ｐゴシック"/>
            </a:rPr>
            <a:t>C: </a:t>
          </a:r>
          <a:r>
            <a:rPr lang="en-US" altLang="ja-JP" sz="950" b="0" i="0" strike="noStrike">
              <a:solidFill>
                <a:srgbClr val="333333"/>
              </a:solidFill>
              <a:latin typeface="ＭＳ Ｐゴシック"/>
              <a:ea typeface="ＭＳ Ｐゴシック"/>
            </a:rPr>
            <a:t>★</a:t>
          </a:r>
        </a:p>
      </xdr:txBody>
    </xdr:sp>
    <xdr:clientData/>
  </xdr:twoCellAnchor>
  <xdr:twoCellAnchor>
    <xdr:from>
      <xdr:col>7</xdr:col>
      <xdr:colOff>152400</xdr:colOff>
      <xdr:row>25</xdr:row>
      <xdr:rowOff>0</xdr:rowOff>
    </xdr:from>
    <xdr:to>
      <xdr:col>11</xdr:col>
      <xdr:colOff>228600</xdr:colOff>
      <xdr:row>26</xdr:row>
      <xdr:rowOff>28575</xdr:rowOff>
    </xdr:to>
    <xdr:sp macro="" textlink="">
      <xdr:nvSpPr>
        <xdr:cNvPr id="47" name="Text Box 129">
          <a:extLst>
            <a:ext uri="{FF2B5EF4-FFF2-40B4-BE49-F238E27FC236}">
              <a16:creationId xmlns:a16="http://schemas.microsoft.com/office/drawing/2014/main" id="{00000000-0008-0000-0100-00002F000000}"/>
            </a:ext>
          </a:extLst>
        </xdr:cNvPr>
        <xdr:cNvSpPr txBox="1">
          <a:spLocks noChangeArrowheads="1"/>
        </xdr:cNvSpPr>
      </xdr:nvSpPr>
      <xdr:spPr bwMode="auto">
        <a:xfrm>
          <a:off x="3514725" y="4305300"/>
          <a:ext cx="3429000" cy="219075"/>
        </a:xfrm>
        <a:prstGeom prst="rect">
          <a:avLst/>
        </a:prstGeom>
        <a:noFill/>
        <a:ln w="9525">
          <a:noFill/>
          <a:miter lim="800000"/>
          <a:headEnd/>
          <a:tailEnd/>
        </a:ln>
      </xdr:spPr>
      <xdr:txBody>
        <a:bodyPr vertOverflow="clip" wrap="square" lIns="27432" tIns="18288" rIns="0" bIns="0" anchor="t" upright="1"/>
        <a:lstStyle/>
        <a:p>
          <a:pPr algn="l" rtl="1">
            <a:defRPr sz="1000"/>
          </a:pPr>
          <a:r>
            <a:rPr lang="en-US" altLang="ja-JP" sz="800" b="0" i="0" strike="noStrike">
              <a:solidFill>
                <a:srgbClr val="000000"/>
              </a:solidFill>
              <a:latin typeface="ＭＳ Ｐゴシック"/>
              <a:ea typeface="ＭＳ Ｐゴシック"/>
            </a:rPr>
            <a:t>30%: </a:t>
          </a:r>
          <a:r>
            <a:rPr lang="en-US" altLang="ja-JP" sz="800" b="0" i="0" strike="noStrike">
              <a:solidFill>
                <a:srgbClr val="333333"/>
              </a:solidFill>
              <a:latin typeface="ＭＳ Ｐゴシック"/>
              <a:ea typeface="ＭＳ Ｐゴシック"/>
            </a:rPr>
            <a:t>☆☆☆☆☆  60%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80%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en-US" altLang="ja-JP" sz="800" b="0" i="0" strike="noStrike">
              <a:solidFill>
                <a:srgbClr val="000000"/>
              </a:solidFill>
              <a:latin typeface="ＭＳ Ｐゴシック"/>
              <a:ea typeface="ＭＳ Ｐゴシック"/>
            </a:rPr>
            <a:t>: ☆☆</a:t>
          </a:r>
          <a:r>
            <a:rPr lang="en-US" altLang="ja-JP" sz="800" b="0" i="0" strike="noStrike">
              <a:solidFill>
                <a:srgbClr val="333333"/>
              </a:solidFill>
              <a:latin typeface="ＭＳ Ｐゴシック"/>
              <a:ea typeface="ＭＳ Ｐゴシック"/>
            </a:rPr>
            <a:t>  100%</a:t>
          </a:r>
          <a:r>
            <a:rPr lang="ja-JP" altLang="en-US" sz="800" b="0" i="0" strike="noStrike">
              <a:solidFill>
                <a:srgbClr val="333333"/>
              </a:solidFill>
              <a:latin typeface="ＭＳ Ｐゴシック"/>
              <a:ea typeface="ＭＳ Ｐゴシック"/>
            </a:rPr>
            <a:t>超</a:t>
          </a:r>
          <a:r>
            <a:rPr lang="en-US" altLang="ja-JP" sz="800" b="0" i="0" strike="noStrike">
              <a:solidFill>
                <a:srgbClr val="000000"/>
              </a:solidFill>
              <a:latin typeface="ＭＳ Ｐゴシック"/>
              <a:ea typeface="ＭＳ Ｐゴシック"/>
            </a:rPr>
            <a:t>: ☆</a:t>
          </a:r>
        </a:p>
      </xdr:txBody>
    </xdr:sp>
    <xdr:clientData/>
  </xdr:twoCellAnchor>
  <xdr:twoCellAnchor>
    <xdr:from>
      <xdr:col>7</xdr:col>
      <xdr:colOff>419100</xdr:colOff>
      <xdr:row>21</xdr:row>
      <xdr:rowOff>219075</xdr:rowOff>
    </xdr:from>
    <xdr:to>
      <xdr:col>10</xdr:col>
      <xdr:colOff>485775</xdr:colOff>
      <xdr:row>25</xdr:row>
      <xdr:rowOff>171450</xdr:rowOff>
    </xdr:to>
    <xdr:graphicFrame macro="">
      <xdr:nvGraphicFramePr>
        <xdr:cNvPr id="48" name="Chart 123">
          <a:extLst>
            <a:ext uri="{FF2B5EF4-FFF2-40B4-BE49-F238E27FC236}">
              <a16:creationId xmlns:a16="http://schemas.microsoft.com/office/drawing/2014/main" id="{00000000-0008-0000-0100-00003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absolute">
    <xdr:from>
      <xdr:col>1</xdr:col>
      <xdr:colOff>133350</xdr:colOff>
      <xdr:row>25</xdr:row>
      <xdr:rowOff>123825</xdr:rowOff>
    </xdr:from>
    <xdr:to>
      <xdr:col>6</xdr:col>
      <xdr:colOff>114300</xdr:colOff>
      <xdr:row>38</xdr:row>
      <xdr:rowOff>66675</xdr:rowOff>
    </xdr:to>
    <xdr:graphicFrame macro="">
      <xdr:nvGraphicFramePr>
        <xdr:cNvPr id="49" name="Chart 17">
          <a:extLst>
            <a:ext uri="{FF2B5EF4-FFF2-40B4-BE49-F238E27FC236}">
              <a16:creationId xmlns:a16="http://schemas.microsoft.com/office/drawing/2014/main" id="{00000000-0008-0000-0100-00003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790575</xdr:colOff>
      <xdr:row>26</xdr:row>
      <xdr:rowOff>47625</xdr:rowOff>
    </xdr:from>
    <xdr:to>
      <xdr:col>10</xdr:col>
      <xdr:colOff>857250</xdr:colOff>
      <xdr:row>35</xdr:row>
      <xdr:rowOff>47625</xdr:rowOff>
    </xdr:to>
    <xdr:graphicFrame macro="">
      <xdr:nvGraphicFramePr>
        <xdr:cNvPr id="50" name="Chart 130">
          <a:extLst>
            <a:ext uri="{FF2B5EF4-FFF2-40B4-BE49-F238E27FC236}">
              <a16:creationId xmlns:a16="http://schemas.microsoft.com/office/drawing/2014/main" id="{00000000-0008-0000-0100-00003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7</xdr:col>
      <xdr:colOff>0</xdr:colOff>
      <xdr:row>27</xdr:row>
      <xdr:rowOff>38100</xdr:rowOff>
    </xdr:from>
    <xdr:to>
      <xdr:col>8</xdr:col>
      <xdr:colOff>209550</xdr:colOff>
      <xdr:row>28</xdr:row>
      <xdr:rowOff>76200</xdr:rowOff>
    </xdr:to>
    <xdr:sp macro="" textlink="">
      <xdr:nvSpPr>
        <xdr:cNvPr id="51" name="Text Box 131">
          <a:extLst>
            <a:ext uri="{FF2B5EF4-FFF2-40B4-BE49-F238E27FC236}">
              <a16:creationId xmlns:a16="http://schemas.microsoft.com/office/drawing/2014/main" id="{00000000-0008-0000-0100-000033000000}"/>
            </a:ext>
          </a:extLst>
        </xdr:cNvPr>
        <xdr:cNvSpPr txBox="1">
          <a:spLocks noChangeArrowheads="1"/>
        </xdr:cNvSpPr>
      </xdr:nvSpPr>
      <xdr:spPr bwMode="auto">
        <a:xfrm>
          <a:off x="3362325" y="4724400"/>
          <a:ext cx="12096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①参照値</a:t>
          </a:r>
        </a:p>
      </xdr:txBody>
    </xdr:sp>
    <xdr:clientData/>
  </xdr:twoCellAnchor>
  <xdr:twoCellAnchor>
    <xdr:from>
      <xdr:col>6</xdr:col>
      <xdr:colOff>485775</xdr:colOff>
      <xdr:row>28</xdr:row>
      <xdr:rowOff>161925</xdr:rowOff>
    </xdr:from>
    <xdr:to>
      <xdr:col>8</xdr:col>
      <xdr:colOff>276225</xdr:colOff>
      <xdr:row>30</xdr:row>
      <xdr:rowOff>9525</xdr:rowOff>
    </xdr:to>
    <xdr:sp macro="" textlink="">
      <xdr:nvSpPr>
        <xdr:cNvPr id="52" name="Text Box 46">
          <a:extLst>
            <a:ext uri="{FF2B5EF4-FFF2-40B4-BE49-F238E27FC236}">
              <a16:creationId xmlns:a16="http://schemas.microsoft.com/office/drawing/2014/main" id="{00000000-0008-0000-0100-000034000000}"/>
            </a:ext>
          </a:extLst>
        </xdr:cNvPr>
        <xdr:cNvSpPr txBox="1">
          <a:spLocks noChangeArrowheads="1"/>
        </xdr:cNvSpPr>
      </xdr:nvSpPr>
      <xdr:spPr bwMode="auto">
        <a:xfrm>
          <a:off x="3352800" y="5038725"/>
          <a:ext cx="1285875" cy="228600"/>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②建築物の取組み</a:t>
          </a:r>
        </a:p>
      </xdr:txBody>
    </xdr:sp>
    <xdr:clientData/>
  </xdr:twoCellAnchor>
  <xdr:twoCellAnchor>
    <xdr:from>
      <xdr:col>6</xdr:col>
      <xdr:colOff>485775</xdr:colOff>
      <xdr:row>30</xdr:row>
      <xdr:rowOff>47625</xdr:rowOff>
    </xdr:from>
    <xdr:to>
      <xdr:col>8</xdr:col>
      <xdr:colOff>276225</xdr:colOff>
      <xdr:row>31</xdr:row>
      <xdr:rowOff>152400</xdr:rowOff>
    </xdr:to>
    <xdr:sp macro="" textlink="">
      <xdr:nvSpPr>
        <xdr:cNvPr id="53" name="Text Box 47">
          <a:extLst>
            <a:ext uri="{FF2B5EF4-FFF2-40B4-BE49-F238E27FC236}">
              <a16:creationId xmlns:a16="http://schemas.microsoft.com/office/drawing/2014/main" id="{00000000-0008-0000-0100-000035000000}"/>
            </a:ext>
          </a:extLst>
        </xdr:cNvPr>
        <xdr:cNvSpPr txBox="1">
          <a:spLocks noChangeArrowheads="1"/>
        </xdr:cNvSpPr>
      </xdr:nvSpPr>
      <xdr:spPr bwMode="auto">
        <a:xfrm>
          <a:off x="3352800" y="530542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③上記</a:t>
          </a:r>
          <a:r>
            <a:rPr lang="en-US" altLang="ja-JP" sz="800" b="0" i="0" strike="noStrike">
              <a:solidFill>
                <a:srgbClr val="000000"/>
              </a:solidFill>
              <a:latin typeface="ＭＳ ゴシック"/>
              <a:ea typeface="ＭＳ ゴシック"/>
            </a:rPr>
            <a:t>+②</a:t>
          </a:r>
          <a:r>
            <a:rPr lang="ja-JP" altLang="en-US" sz="800" b="0" i="0" strike="noStrike">
              <a:solidFill>
                <a:srgbClr val="000000"/>
              </a:solidFill>
              <a:latin typeface="ＭＳ ゴシック"/>
              <a:ea typeface="ＭＳ ゴシック"/>
            </a:rPr>
            <a:t>以外の</a:t>
          </a:r>
        </a:p>
        <a:p>
          <a:pPr algn="l" rtl="1">
            <a:defRPr sz="1000"/>
          </a:pPr>
          <a:r>
            <a:rPr lang="ja-JP" altLang="en-US" sz="800" b="0" i="0" strike="noStrike">
              <a:solidFill>
                <a:srgbClr val="000000"/>
              </a:solidFill>
              <a:latin typeface="ＭＳ ゴシック"/>
              <a:ea typeface="ＭＳ ゴシック"/>
            </a:rPr>
            <a:t>　オンサイト手法</a:t>
          </a:r>
        </a:p>
        <a:p>
          <a:pPr algn="l" rtl="1">
            <a:defRPr sz="1000"/>
          </a:pPr>
          <a:endParaRPr lang="ja-JP" altLang="en-US" sz="800" b="0" i="0" strike="noStrike">
            <a:solidFill>
              <a:srgbClr val="000000"/>
            </a:solidFill>
            <a:latin typeface="ＭＳ ゴシック"/>
            <a:ea typeface="ＭＳ ゴシック"/>
          </a:endParaRPr>
        </a:p>
        <a:p>
          <a:pPr algn="l" rtl="1">
            <a:defRPr sz="1000"/>
          </a:pPr>
          <a:endParaRPr lang="ja-JP" altLang="en-US" sz="800" b="0" i="0" strike="noStrike">
            <a:solidFill>
              <a:srgbClr val="000000"/>
            </a:solidFill>
            <a:latin typeface="ＭＳ ゴシック"/>
            <a:ea typeface="ＭＳ ゴシック"/>
          </a:endParaRPr>
        </a:p>
      </xdr:txBody>
    </xdr:sp>
    <xdr:clientData/>
  </xdr:twoCellAnchor>
  <xdr:twoCellAnchor>
    <xdr:from>
      <xdr:col>6</xdr:col>
      <xdr:colOff>485775</xdr:colOff>
      <xdr:row>31</xdr:row>
      <xdr:rowOff>180975</xdr:rowOff>
    </xdr:from>
    <xdr:to>
      <xdr:col>8</xdr:col>
      <xdr:colOff>276225</xdr:colOff>
      <xdr:row>33</xdr:row>
      <xdr:rowOff>95250</xdr:rowOff>
    </xdr:to>
    <xdr:sp macro="" textlink="">
      <xdr:nvSpPr>
        <xdr:cNvPr id="54" name="Text Box 49">
          <a:extLst>
            <a:ext uri="{FF2B5EF4-FFF2-40B4-BE49-F238E27FC236}">
              <a16:creationId xmlns:a16="http://schemas.microsoft.com/office/drawing/2014/main" id="{00000000-0008-0000-0100-000036000000}"/>
            </a:ext>
          </a:extLst>
        </xdr:cNvPr>
        <xdr:cNvSpPr txBox="1">
          <a:spLocks noChangeArrowheads="1"/>
        </xdr:cNvSpPr>
      </xdr:nvSpPr>
      <xdr:spPr bwMode="auto">
        <a:xfrm>
          <a:off x="3352800" y="5629275"/>
          <a:ext cx="1285875" cy="295275"/>
        </a:xfrm>
        <a:prstGeom prst="rect">
          <a:avLst/>
        </a:prstGeom>
        <a:noFill/>
        <a:ln w="9525">
          <a:noFill/>
          <a:miter lim="800000"/>
          <a:headEnd/>
          <a:tailEnd/>
        </a:ln>
      </xdr:spPr>
      <xdr:txBody>
        <a:bodyPr vertOverflow="clip" wrap="square" lIns="27432" tIns="18288" rIns="0" bIns="0" anchor="ctr" upright="1"/>
        <a:lstStyle/>
        <a:p>
          <a:pPr algn="l" rtl="1">
            <a:defRPr sz="1000"/>
          </a:pPr>
          <a:r>
            <a:rPr lang="ja-JP" altLang="en-US" sz="800" b="0" i="0" strike="noStrike">
              <a:solidFill>
                <a:srgbClr val="000000"/>
              </a:solidFill>
              <a:latin typeface="ＭＳ ゴシック"/>
              <a:ea typeface="ＭＳ ゴシック"/>
            </a:rPr>
            <a:t>④上記</a:t>
          </a:r>
          <a:r>
            <a:rPr lang="en-US" altLang="ja-JP" sz="800" b="0" i="0" strike="noStrike">
              <a:solidFill>
                <a:srgbClr val="000000"/>
              </a:solidFill>
              <a:latin typeface="ＭＳ ゴシック"/>
              <a:ea typeface="ＭＳ ゴシック"/>
            </a:rPr>
            <a:t>+</a:t>
          </a:r>
        </a:p>
        <a:p>
          <a:pPr algn="l" rtl="1">
            <a:defRPr sz="1000"/>
          </a:pPr>
          <a:r>
            <a:rPr lang="ja-JP" altLang="en-US" sz="800" b="0" i="0" strike="noStrike">
              <a:solidFill>
                <a:srgbClr val="000000"/>
              </a:solidFill>
              <a:latin typeface="ＭＳ ゴシック"/>
              <a:ea typeface="ＭＳ ゴシック"/>
            </a:rPr>
            <a:t>　オフサイト手法</a:t>
          </a:r>
        </a:p>
      </xdr:txBody>
    </xdr:sp>
    <xdr:clientData/>
  </xdr:twoCellAnchor>
  <xdr:twoCellAnchor>
    <xdr:from>
      <xdr:col>9</xdr:col>
      <xdr:colOff>914400</xdr:colOff>
      <xdr:row>34</xdr:row>
      <xdr:rowOff>114300</xdr:rowOff>
    </xdr:from>
    <xdr:to>
      <xdr:col>11</xdr:col>
      <xdr:colOff>47625</xdr:colOff>
      <xdr:row>35</xdr:row>
      <xdr:rowOff>133350</xdr:rowOff>
    </xdr:to>
    <xdr:sp macro="" textlink="">
      <xdr:nvSpPr>
        <xdr:cNvPr id="55" name="Text Box 45">
          <a:extLst>
            <a:ext uri="{FF2B5EF4-FFF2-40B4-BE49-F238E27FC236}">
              <a16:creationId xmlns:a16="http://schemas.microsoft.com/office/drawing/2014/main" id="{00000000-0008-0000-0100-000037000000}"/>
            </a:ext>
          </a:extLst>
        </xdr:cNvPr>
        <xdr:cNvSpPr txBox="1">
          <a:spLocks noChangeArrowheads="1"/>
        </xdr:cNvSpPr>
      </xdr:nvSpPr>
      <xdr:spPr bwMode="auto">
        <a:xfrm>
          <a:off x="5800725" y="6134100"/>
          <a:ext cx="962025" cy="209550"/>
        </a:xfrm>
        <a:prstGeom prst="rect">
          <a:avLst/>
        </a:prstGeom>
        <a:noFill/>
        <a:ln w="9525">
          <a:noFill/>
          <a:miter lim="800000"/>
          <a:headEnd/>
          <a:tailEnd/>
        </a:ln>
      </xdr:spPr>
      <xdr:txBody>
        <a:bodyPr vertOverflow="clip" wrap="square" lIns="27432" tIns="18288" rIns="0" bIns="0" anchor="t" upright="1"/>
        <a:lstStyle/>
        <a:p>
          <a:pPr algn="l" rtl="1">
            <a:defRPr sz="1000"/>
          </a:pPr>
          <a:r>
            <a:rPr lang="ja-JP" altLang="en-US" sz="800" b="0" i="0" strike="noStrike">
              <a:solidFill>
                <a:srgbClr val="000000"/>
              </a:solidFill>
              <a:latin typeface="ＭＳ Ｐゴシック"/>
              <a:ea typeface="ＭＳ Ｐゴシック"/>
            </a:rPr>
            <a:t>（ </a:t>
          </a:r>
          <a:r>
            <a:rPr lang="en-US" altLang="ja-JP" sz="800" b="0" i="0" strike="noStrike">
              <a:solidFill>
                <a:srgbClr val="000000"/>
              </a:solidFill>
              <a:latin typeface="ＭＳ Ｐゴシック"/>
              <a:ea typeface="ＭＳ Ｐゴシック"/>
            </a:rPr>
            <a:t>kg-CO</a:t>
          </a:r>
          <a:r>
            <a:rPr lang="en-US" altLang="ja-JP" sz="800" b="0" i="0" strike="noStrike" baseline="-25000">
              <a:solidFill>
                <a:srgbClr val="000000"/>
              </a:solidFill>
              <a:latin typeface="ＭＳ Ｐゴシック"/>
              <a:ea typeface="ＭＳ Ｐゴシック"/>
            </a:rPr>
            <a:t>2</a:t>
          </a:r>
          <a:r>
            <a:rPr lang="en-US" altLang="ja-JP" sz="800" b="0" i="0" strike="noStrike">
              <a:solidFill>
                <a:srgbClr val="000000"/>
              </a:solidFill>
              <a:latin typeface="ＭＳ Ｐゴシック"/>
              <a:ea typeface="ＭＳ Ｐゴシック"/>
            </a:rPr>
            <a:t>/</a:t>
          </a:r>
          <a:r>
            <a:rPr lang="ja-JP" altLang="en-US" sz="800" b="0" i="0" strike="noStrike">
              <a:solidFill>
                <a:srgbClr val="000000"/>
              </a:solidFill>
              <a:latin typeface="ＭＳ Ｐゴシック"/>
              <a:ea typeface="ＭＳ Ｐゴシック"/>
            </a:rPr>
            <a:t>年・</a:t>
          </a:r>
          <a:r>
            <a:rPr lang="en-US" altLang="ja-JP" sz="800" b="0" i="0" strike="noStrike">
              <a:solidFill>
                <a:srgbClr val="000000"/>
              </a:solidFill>
              <a:latin typeface="ＭＳ Ｐゴシック"/>
              <a:ea typeface="ＭＳ Ｐゴシック"/>
            </a:rPr>
            <a:t>m</a:t>
          </a:r>
          <a:r>
            <a:rPr lang="en-US" altLang="ja-JP" sz="800" b="0" i="0" strike="noStrike" baseline="30000">
              <a:solidFill>
                <a:srgbClr val="000000"/>
              </a:solidFill>
              <a:latin typeface="ＭＳ Ｐゴシック"/>
              <a:ea typeface="ＭＳ Ｐゴシック"/>
            </a:rPr>
            <a:t>2 </a:t>
          </a:r>
          <a:r>
            <a:rPr lang="ja-JP" altLang="en-US" sz="800" b="0" i="0" strike="noStrike">
              <a:solidFill>
                <a:srgbClr val="000000"/>
              </a:solidFill>
              <a:latin typeface="ＭＳ Ｐゴシック"/>
              <a:ea typeface="ＭＳ Ｐゴシック"/>
            </a:rPr>
            <a:t>）</a:t>
          </a:r>
        </a:p>
      </xdr:txBody>
    </xdr:sp>
    <xdr:clientData/>
  </xdr:twoCellAnchor>
  <xdr:twoCellAnchor editAs="absolute">
    <xdr:from>
      <xdr:col>10</xdr:col>
      <xdr:colOff>742950</xdr:colOff>
      <xdr:row>21</xdr:row>
      <xdr:rowOff>180975</xdr:rowOff>
    </xdr:from>
    <xdr:to>
      <xdr:col>15</xdr:col>
      <xdr:colOff>47625</xdr:colOff>
      <xdr:row>37</xdr:row>
      <xdr:rowOff>85725</xdr:rowOff>
    </xdr:to>
    <xdr:graphicFrame macro="">
      <xdr:nvGraphicFramePr>
        <xdr:cNvPr id="56" name="Chart 8">
          <a:extLst>
            <a:ext uri="{FF2B5EF4-FFF2-40B4-BE49-F238E27FC236}">
              <a16:creationId xmlns:a16="http://schemas.microsoft.com/office/drawing/2014/main" id="{00000000-0008-0000-0100-00003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9525</xdr:colOff>
      <xdr:row>41</xdr:row>
      <xdr:rowOff>114300</xdr:rowOff>
    </xdr:from>
    <xdr:to>
      <xdr:col>7</xdr:col>
      <xdr:colOff>0</xdr:colOff>
      <xdr:row>49</xdr:row>
      <xdr:rowOff>171450</xdr:rowOff>
    </xdr:to>
    <xdr:graphicFrame macro="">
      <xdr:nvGraphicFramePr>
        <xdr:cNvPr id="57" name="Chart 4">
          <a:extLst>
            <a:ext uri="{FF2B5EF4-FFF2-40B4-BE49-F238E27FC236}">
              <a16:creationId xmlns:a16="http://schemas.microsoft.com/office/drawing/2014/main" id="{00000000-0008-0000-0100-00003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7</xdr:col>
      <xdr:colOff>238125</xdr:colOff>
      <xdr:row>41</xdr:row>
      <xdr:rowOff>104775</xdr:rowOff>
    </xdr:from>
    <xdr:to>
      <xdr:col>10</xdr:col>
      <xdr:colOff>752475</xdr:colOff>
      <xdr:row>49</xdr:row>
      <xdr:rowOff>161925</xdr:rowOff>
    </xdr:to>
    <xdr:graphicFrame macro="">
      <xdr:nvGraphicFramePr>
        <xdr:cNvPr id="59" name="Chart 15">
          <a:extLst>
            <a:ext uri="{FF2B5EF4-FFF2-40B4-BE49-F238E27FC236}">
              <a16:creationId xmlns:a16="http://schemas.microsoft.com/office/drawing/2014/main" id="{00000000-0008-0000-0100-00003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209550</xdr:colOff>
      <xdr:row>41</xdr:row>
      <xdr:rowOff>104775</xdr:rowOff>
    </xdr:from>
    <xdr:to>
      <xdr:col>14</xdr:col>
      <xdr:colOff>714375</xdr:colOff>
      <xdr:row>49</xdr:row>
      <xdr:rowOff>161925</xdr:rowOff>
    </xdr:to>
    <xdr:graphicFrame macro="">
      <xdr:nvGraphicFramePr>
        <xdr:cNvPr id="60" name="Chart 15">
          <a:extLst>
            <a:ext uri="{FF2B5EF4-FFF2-40B4-BE49-F238E27FC236}">
              <a16:creationId xmlns:a16="http://schemas.microsoft.com/office/drawing/2014/main" id="{00000000-0008-0000-0100-00003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0</xdr:col>
      <xdr:colOff>47625</xdr:colOff>
      <xdr:row>52</xdr:row>
      <xdr:rowOff>152400</xdr:rowOff>
    </xdr:from>
    <xdr:to>
      <xdr:col>6</xdr:col>
      <xdr:colOff>476250</xdr:colOff>
      <xdr:row>60</xdr:row>
      <xdr:rowOff>161925</xdr:rowOff>
    </xdr:to>
    <xdr:graphicFrame macro="">
      <xdr:nvGraphicFramePr>
        <xdr:cNvPr id="61" name="Chart 4">
          <a:extLst>
            <a:ext uri="{FF2B5EF4-FFF2-40B4-BE49-F238E27FC236}">
              <a16:creationId xmlns:a16="http://schemas.microsoft.com/office/drawing/2014/main" id="{00000000-0008-0000-0100-00003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7</xdr:col>
      <xdr:colOff>228600</xdr:colOff>
      <xdr:row>52</xdr:row>
      <xdr:rowOff>133350</xdr:rowOff>
    </xdr:from>
    <xdr:to>
      <xdr:col>10</xdr:col>
      <xdr:colOff>742950</xdr:colOff>
      <xdr:row>60</xdr:row>
      <xdr:rowOff>142875</xdr:rowOff>
    </xdr:to>
    <xdr:graphicFrame macro="">
      <xdr:nvGraphicFramePr>
        <xdr:cNvPr id="63" name="Chart 15">
          <a:extLst>
            <a:ext uri="{FF2B5EF4-FFF2-40B4-BE49-F238E27FC236}">
              <a16:creationId xmlns:a16="http://schemas.microsoft.com/office/drawing/2014/main" id="{00000000-0008-0000-0100-00003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11</xdr:col>
      <xdr:colOff>219075</xdr:colOff>
      <xdr:row>53</xdr:row>
      <xdr:rowOff>0</xdr:rowOff>
    </xdr:from>
    <xdr:to>
      <xdr:col>14</xdr:col>
      <xdr:colOff>723900</xdr:colOff>
      <xdr:row>61</xdr:row>
      <xdr:rowOff>0</xdr:rowOff>
    </xdr:to>
    <xdr:graphicFrame macro="">
      <xdr:nvGraphicFramePr>
        <xdr:cNvPr id="64" name="Chart 15">
          <a:extLst>
            <a:ext uri="{FF2B5EF4-FFF2-40B4-BE49-F238E27FC236}">
              <a16:creationId xmlns:a16="http://schemas.microsoft.com/office/drawing/2014/main" id="{00000000-0008-0000-0100-00004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editAs="oneCell">
    <xdr:from>
      <xdr:col>2</xdr:col>
      <xdr:colOff>219075</xdr:colOff>
      <xdr:row>48</xdr:row>
      <xdr:rowOff>161925</xdr:rowOff>
    </xdr:from>
    <xdr:to>
      <xdr:col>2</xdr:col>
      <xdr:colOff>704850</xdr:colOff>
      <xdr:row>49</xdr:row>
      <xdr:rowOff>104775</xdr:rowOff>
    </xdr:to>
    <xdr:sp macro="" textlink="">
      <xdr:nvSpPr>
        <xdr:cNvPr id="65" name="Text Box 20">
          <a:extLst>
            <a:ext uri="{FF2B5EF4-FFF2-40B4-BE49-F238E27FC236}">
              <a16:creationId xmlns:a16="http://schemas.microsoft.com/office/drawing/2014/main" id="{00000000-0008-0000-0100-000041000000}"/>
            </a:ext>
          </a:extLst>
        </xdr:cNvPr>
        <xdr:cNvSpPr txBox="1">
          <a:spLocks noChangeArrowheads="1"/>
        </xdr:cNvSpPr>
      </xdr:nvSpPr>
      <xdr:spPr bwMode="auto">
        <a:xfrm>
          <a:off x="438150" y="8934450"/>
          <a:ext cx="48577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音環境　　　　　　　　　　</a:t>
          </a:r>
        </a:p>
      </xdr:txBody>
    </xdr:sp>
    <xdr:clientData/>
  </xdr:twoCellAnchor>
  <xdr:twoCellAnchor editAs="oneCell">
    <xdr:from>
      <xdr:col>7</xdr:col>
      <xdr:colOff>781050</xdr:colOff>
      <xdr:row>48</xdr:row>
      <xdr:rowOff>161925</xdr:rowOff>
    </xdr:from>
    <xdr:to>
      <xdr:col>8</xdr:col>
      <xdr:colOff>285750</xdr:colOff>
      <xdr:row>49</xdr:row>
      <xdr:rowOff>104775</xdr:rowOff>
    </xdr:to>
    <xdr:sp macro="" textlink="">
      <xdr:nvSpPr>
        <xdr:cNvPr id="66" name="Text Box 21">
          <a:extLst>
            <a:ext uri="{FF2B5EF4-FFF2-40B4-BE49-F238E27FC236}">
              <a16:creationId xmlns:a16="http://schemas.microsoft.com/office/drawing/2014/main" id="{00000000-0008-0000-0100-000042000000}"/>
            </a:ext>
          </a:extLst>
        </xdr:cNvPr>
        <xdr:cNvSpPr txBox="1">
          <a:spLocks noChangeArrowheads="1"/>
        </xdr:cNvSpPr>
      </xdr:nvSpPr>
      <xdr:spPr bwMode="auto">
        <a:xfrm>
          <a:off x="4143375" y="8934450"/>
          <a:ext cx="504825"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機能性  </a:t>
          </a:r>
        </a:p>
      </xdr:txBody>
    </xdr:sp>
    <xdr:clientData/>
  </xdr:twoCellAnchor>
  <xdr:oneCellAnchor>
    <xdr:from>
      <xdr:col>11</xdr:col>
      <xdr:colOff>561975</xdr:colOff>
      <xdr:row>48</xdr:row>
      <xdr:rowOff>171450</xdr:rowOff>
    </xdr:from>
    <xdr:ext cx="419100" cy="133350"/>
    <xdr:sp macro="" textlink="">
      <xdr:nvSpPr>
        <xdr:cNvPr id="67" name="Text Box 22">
          <a:extLst>
            <a:ext uri="{FF2B5EF4-FFF2-40B4-BE49-F238E27FC236}">
              <a16:creationId xmlns:a16="http://schemas.microsoft.com/office/drawing/2014/main" id="{00000000-0008-0000-0100-000043000000}"/>
            </a:ext>
          </a:extLst>
        </xdr:cNvPr>
        <xdr:cNvSpPr txBox="1">
          <a:spLocks noChangeArrowheads="1"/>
        </xdr:cNvSpPr>
      </xdr:nvSpPr>
      <xdr:spPr bwMode="auto">
        <a:xfrm>
          <a:off x="7277100" y="8943975"/>
          <a:ext cx="419100" cy="13335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生物環境</a:t>
          </a:r>
        </a:p>
      </xdr:txBody>
    </xdr:sp>
    <xdr:clientData/>
  </xdr:oneCellAnchor>
  <xdr:twoCellAnchor editAs="oneCell">
    <xdr:from>
      <xdr:col>9</xdr:col>
      <xdr:colOff>85725</xdr:colOff>
      <xdr:row>48</xdr:row>
      <xdr:rowOff>114300</xdr:rowOff>
    </xdr:from>
    <xdr:to>
      <xdr:col>9</xdr:col>
      <xdr:colOff>581025</xdr:colOff>
      <xdr:row>50</xdr:row>
      <xdr:rowOff>0</xdr:rowOff>
    </xdr:to>
    <xdr:sp macro="" textlink="">
      <xdr:nvSpPr>
        <xdr:cNvPr id="68" name="Text Box 107">
          <a:extLst>
            <a:ext uri="{FF2B5EF4-FFF2-40B4-BE49-F238E27FC236}">
              <a16:creationId xmlns:a16="http://schemas.microsoft.com/office/drawing/2014/main" id="{00000000-0008-0000-0100-000044000000}"/>
            </a:ext>
          </a:extLst>
        </xdr:cNvPr>
        <xdr:cNvSpPr txBox="1">
          <a:spLocks noChangeArrowheads="1"/>
        </xdr:cNvSpPr>
      </xdr:nvSpPr>
      <xdr:spPr bwMode="auto">
        <a:xfrm>
          <a:off x="4972050" y="8886825"/>
          <a:ext cx="49530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 耐用性</a:t>
          </a:r>
        </a:p>
        <a:p>
          <a:pPr algn="ctr" rtl="0">
            <a:defRPr sz="1000"/>
          </a:pPr>
          <a:r>
            <a:rPr lang="ja-JP" altLang="en-US" sz="800" b="0" i="0" strike="noStrike">
              <a:solidFill>
                <a:srgbClr val="000000"/>
              </a:solidFill>
              <a:latin typeface="ＭＳ Ｐゴシック"/>
              <a:ea typeface="ＭＳ Ｐゴシック"/>
            </a:rPr>
            <a:t> ・信頼性</a:t>
          </a:r>
        </a:p>
      </xdr:txBody>
    </xdr:sp>
    <xdr:clientData/>
  </xdr:twoCellAnchor>
  <xdr:twoCellAnchor editAs="oneCell">
    <xdr:from>
      <xdr:col>10</xdr:col>
      <xdr:colOff>66675</xdr:colOff>
      <xdr:row>48</xdr:row>
      <xdr:rowOff>114300</xdr:rowOff>
    </xdr:from>
    <xdr:to>
      <xdr:col>10</xdr:col>
      <xdr:colOff>571500</xdr:colOff>
      <xdr:row>50</xdr:row>
      <xdr:rowOff>0</xdr:rowOff>
    </xdr:to>
    <xdr:sp macro="" textlink="">
      <xdr:nvSpPr>
        <xdr:cNvPr id="69" name="Text Box 108">
          <a:extLst>
            <a:ext uri="{FF2B5EF4-FFF2-40B4-BE49-F238E27FC236}">
              <a16:creationId xmlns:a16="http://schemas.microsoft.com/office/drawing/2014/main" id="{00000000-0008-0000-0100-000045000000}"/>
            </a:ext>
          </a:extLst>
        </xdr:cNvPr>
        <xdr:cNvSpPr txBox="1">
          <a:spLocks noChangeArrowheads="1"/>
        </xdr:cNvSpPr>
      </xdr:nvSpPr>
      <xdr:spPr bwMode="auto">
        <a:xfrm>
          <a:off x="5876925" y="8886825"/>
          <a:ext cx="5048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対応性</a:t>
          </a:r>
        </a:p>
        <a:p>
          <a:pPr algn="ctr" rtl="0">
            <a:defRPr sz="1000"/>
          </a:pPr>
          <a:r>
            <a:rPr lang="ja-JP" altLang="en-US" sz="800" b="0" i="0" strike="noStrike">
              <a:solidFill>
                <a:srgbClr val="000000"/>
              </a:solidFill>
              <a:latin typeface="ＭＳ Ｐゴシック"/>
              <a:ea typeface="ＭＳ Ｐゴシック"/>
            </a:rPr>
            <a:t> ・更新性　</a:t>
          </a:r>
        </a:p>
      </xdr:txBody>
    </xdr:sp>
    <xdr:clientData/>
  </xdr:twoCellAnchor>
  <xdr:twoCellAnchor editAs="oneCell">
    <xdr:from>
      <xdr:col>12</xdr:col>
      <xdr:colOff>495300</xdr:colOff>
      <xdr:row>48</xdr:row>
      <xdr:rowOff>114300</xdr:rowOff>
    </xdr:from>
    <xdr:to>
      <xdr:col>13</xdr:col>
      <xdr:colOff>142875</xdr:colOff>
      <xdr:row>50</xdr:row>
      <xdr:rowOff>0</xdr:rowOff>
    </xdr:to>
    <xdr:sp macro="" textlink="">
      <xdr:nvSpPr>
        <xdr:cNvPr id="70" name="Text Box 109">
          <a:extLst>
            <a:ext uri="{FF2B5EF4-FFF2-40B4-BE49-F238E27FC236}">
              <a16:creationId xmlns:a16="http://schemas.microsoft.com/office/drawing/2014/main" id="{00000000-0008-0000-0100-000046000000}"/>
            </a:ext>
          </a:extLst>
        </xdr:cNvPr>
        <xdr:cNvSpPr txBox="1">
          <a:spLocks noChangeArrowheads="1"/>
        </xdr:cNvSpPr>
      </xdr:nvSpPr>
      <xdr:spPr bwMode="auto">
        <a:xfrm>
          <a:off x="8115300" y="8886825"/>
          <a:ext cx="542925"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まちなみ</a:t>
          </a:r>
        </a:p>
        <a:p>
          <a:pPr algn="ctr" rtl="0">
            <a:defRPr sz="1000"/>
          </a:pPr>
          <a:r>
            <a:rPr lang="ja-JP" altLang="en-US" sz="800" b="0" i="0" strike="noStrike">
              <a:solidFill>
                <a:srgbClr val="000000"/>
              </a:solidFill>
              <a:latin typeface="ＭＳ Ｐゴシック"/>
              <a:ea typeface="ＭＳ Ｐゴシック"/>
            </a:rPr>
            <a:t>・景観　</a:t>
          </a:r>
        </a:p>
      </xdr:txBody>
    </xdr:sp>
    <xdr:clientData/>
  </xdr:twoCellAnchor>
  <xdr:twoCellAnchor editAs="oneCell">
    <xdr:from>
      <xdr:col>13</xdr:col>
      <xdr:colOff>523875</xdr:colOff>
      <xdr:row>48</xdr:row>
      <xdr:rowOff>114300</xdr:rowOff>
    </xdr:from>
    <xdr:to>
      <xdr:col>14</xdr:col>
      <xdr:colOff>342900</xdr:colOff>
      <xdr:row>50</xdr:row>
      <xdr:rowOff>0</xdr:rowOff>
    </xdr:to>
    <xdr:sp macro="" textlink="">
      <xdr:nvSpPr>
        <xdr:cNvPr id="71" name="Text Box 110">
          <a:extLst>
            <a:ext uri="{FF2B5EF4-FFF2-40B4-BE49-F238E27FC236}">
              <a16:creationId xmlns:a16="http://schemas.microsoft.com/office/drawing/2014/main" id="{00000000-0008-0000-0100-000047000000}"/>
            </a:ext>
          </a:extLst>
        </xdr:cNvPr>
        <xdr:cNvSpPr txBox="1">
          <a:spLocks noChangeArrowheads="1"/>
        </xdr:cNvSpPr>
      </xdr:nvSpPr>
      <xdr:spPr bwMode="auto">
        <a:xfrm>
          <a:off x="9039225" y="8886825"/>
          <a:ext cx="4762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地域性・　</a:t>
          </a:r>
        </a:p>
        <a:p>
          <a:pPr algn="ctr" rtl="0">
            <a:defRPr sz="1000"/>
          </a:pPr>
          <a:r>
            <a:rPr lang="ja-JP" altLang="en-US" sz="800" b="0" i="0" strike="noStrike">
              <a:solidFill>
                <a:srgbClr val="000000"/>
              </a:solidFill>
              <a:latin typeface="ＭＳ Ｐゴシック"/>
              <a:ea typeface="ＭＳ Ｐゴシック"/>
            </a:rPr>
            <a:t>アメニティ　　　　　　　　　</a:t>
          </a:r>
        </a:p>
      </xdr:txBody>
    </xdr:sp>
    <xdr:clientData/>
  </xdr:twoCellAnchor>
  <xdr:oneCellAnchor>
    <xdr:from>
      <xdr:col>13</xdr:col>
      <xdr:colOff>85725</xdr:colOff>
      <xdr:row>41</xdr:row>
      <xdr:rowOff>9525</xdr:rowOff>
    </xdr:from>
    <xdr:ext cx="779957" cy="201850"/>
    <xdr:sp macro="" textlink="">
      <xdr:nvSpPr>
        <xdr:cNvPr id="72" name="Text Box 135">
          <a:extLst>
            <a:ext uri="{FF2B5EF4-FFF2-40B4-BE49-F238E27FC236}">
              <a16:creationId xmlns:a16="http://schemas.microsoft.com/office/drawing/2014/main" id="{00000000-0008-0000-0100-000048000000}"/>
            </a:ext>
          </a:extLst>
        </xdr:cNvPr>
        <xdr:cNvSpPr txBox="1">
          <a:spLocks noChangeArrowheads="1"/>
        </xdr:cNvSpPr>
      </xdr:nvSpPr>
      <xdr:spPr bwMode="auto">
        <a:xfrm>
          <a:off x="8601075" y="7448550"/>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9</xdr:col>
      <xdr:colOff>57150</xdr:colOff>
      <xdr:row>40</xdr:row>
      <xdr:rowOff>171450</xdr:rowOff>
    </xdr:from>
    <xdr:ext cx="779957" cy="201850"/>
    <xdr:sp macro="" textlink="">
      <xdr:nvSpPr>
        <xdr:cNvPr id="73" name="Text Box 138">
          <a:extLst>
            <a:ext uri="{FF2B5EF4-FFF2-40B4-BE49-F238E27FC236}">
              <a16:creationId xmlns:a16="http://schemas.microsoft.com/office/drawing/2014/main" id="{00000000-0008-0000-0100-000049000000}"/>
            </a:ext>
          </a:extLst>
        </xdr:cNvPr>
        <xdr:cNvSpPr txBox="1">
          <a:spLocks noChangeArrowheads="1"/>
        </xdr:cNvSpPr>
      </xdr:nvSpPr>
      <xdr:spPr bwMode="auto">
        <a:xfrm>
          <a:off x="4943475" y="741997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333375</xdr:colOff>
      <xdr:row>41</xdr:row>
      <xdr:rowOff>0</xdr:rowOff>
    </xdr:from>
    <xdr:ext cx="779957" cy="201850"/>
    <xdr:sp macro="" textlink="">
      <xdr:nvSpPr>
        <xdr:cNvPr id="74" name="Text Box 139">
          <a:extLst>
            <a:ext uri="{FF2B5EF4-FFF2-40B4-BE49-F238E27FC236}">
              <a16:creationId xmlns:a16="http://schemas.microsoft.com/office/drawing/2014/main" id="{00000000-0008-0000-0100-00004A000000}"/>
            </a:ext>
          </a:extLst>
        </xdr:cNvPr>
        <xdr:cNvSpPr txBox="1">
          <a:spLocks noChangeArrowheads="1"/>
        </xdr:cNvSpPr>
      </xdr:nvSpPr>
      <xdr:spPr bwMode="auto">
        <a:xfrm>
          <a:off x="1981200" y="7439025"/>
          <a:ext cx="779957"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Q1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2</xdr:col>
      <xdr:colOff>933450</xdr:colOff>
      <xdr:row>48</xdr:row>
      <xdr:rowOff>171450</xdr:rowOff>
    </xdr:from>
    <xdr:to>
      <xdr:col>4</xdr:col>
      <xdr:colOff>76200</xdr:colOff>
      <xdr:row>49</xdr:row>
      <xdr:rowOff>95250</xdr:rowOff>
    </xdr:to>
    <xdr:sp macro="" textlink="">
      <xdr:nvSpPr>
        <xdr:cNvPr id="75" name="Text Box 142">
          <a:extLst>
            <a:ext uri="{FF2B5EF4-FFF2-40B4-BE49-F238E27FC236}">
              <a16:creationId xmlns:a16="http://schemas.microsoft.com/office/drawing/2014/main" id="{00000000-0008-0000-0100-00004B000000}"/>
            </a:ext>
          </a:extLst>
        </xdr:cNvPr>
        <xdr:cNvSpPr txBox="1">
          <a:spLocks noChangeArrowheads="1"/>
        </xdr:cNvSpPr>
      </xdr:nvSpPr>
      <xdr:spPr bwMode="auto">
        <a:xfrm>
          <a:off x="1152525" y="8943975"/>
          <a:ext cx="571500" cy="1143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温熱環境</a:t>
          </a:r>
        </a:p>
      </xdr:txBody>
    </xdr:sp>
    <xdr:clientData/>
  </xdr:twoCellAnchor>
  <xdr:oneCellAnchor>
    <xdr:from>
      <xdr:col>4</xdr:col>
      <xdr:colOff>295275</xdr:colOff>
      <xdr:row>48</xdr:row>
      <xdr:rowOff>171450</xdr:rowOff>
    </xdr:from>
    <xdr:ext cx="660117" cy="133370"/>
    <xdr:sp macro="" textlink="">
      <xdr:nvSpPr>
        <xdr:cNvPr id="76" name="Text Box 143">
          <a:extLst>
            <a:ext uri="{FF2B5EF4-FFF2-40B4-BE49-F238E27FC236}">
              <a16:creationId xmlns:a16="http://schemas.microsoft.com/office/drawing/2014/main" id="{00000000-0008-0000-0100-00004C000000}"/>
            </a:ext>
          </a:extLst>
        </xdr:cNvPr>
        <xdr:cNvSpPr txBox="1">
          <a:spLocks noChangeArrowheads="1"/>
        </xdr:cNvSpPr>
      </xdr:nvSpPr>
      <xdr:spPr bwMode="auto">
        <a:xfrm>
          <a:off x="1943100" y="8943975"/>
          <a:ext cx="660117" cy="133370"/>
        </a:xfrm>
        <a:prstGeom prst="rect">
          <a:avLst/>
        </a:prstGeom>
        <a:noFill/>
        <a:ln w="9525">
          <a:noFill/>
          <a:miter lim="800000"/>
          <a:headEnd/>
          <a:tailEnd/>
        </a:ln>
      </xdr:spPr>
      <xdr:txBody>
        <a:bodyPr wrap="none" lIns="0" tIns="0" rIns="0" bIns="0" anchor="ctr" upright="1">
          <a:spAutoFit/>
        </a:bodyPr>
        <a:lstStyle/>
        <a:p>
          <a:pPr algn="ctr" rtl="0">
            <a:defRPr sz="1000"/>
          </a:pPr>
          <a:r>
            <a:rPr lang="ja-JP" altLang="en-US" sz="800" b="0" i="0" strike="noStrike">
              <a:solidFill>
                <a:srgbClr val="000000"/>
              </a:solidFill>
              <a:latin typeface="ＭＳ Ｐゴシック"/>
              <a:ea typeface="ＭＳ Ｐゴシック"/>
            </a:rPr>
            <a:t>光･視環境　　　</a:t>
          </a:r>
        </a:p>
      </xdr:txBody>
    </xdr:sp>
    <xdr:clientData/>
  </xdr:oneCellAnchor>
  <xdr:twoCellAnchor editAs="oneCell">
    <xdr:from>
      <xdr:col>5</xdr:col>
      <xdr:colOff>171450</xdr:colOff>
      <xdr:row>48</xdr:row>
      <xdr:rowOff>161925</xdr:rowOff>
    </xdr:from>
    <xdr:to>
      <xdr:col>6</xdr:col>
      <xdr:colOff>400050</xdr:colOff>
      <xdr:row>49</xdr:row>
      <xdr:rowOff>104775</xdr:rowOff>
    </xdr:to>
    <xdr:sp macro="" textlink="">
      <xdr:nvSpPr>
        <xdr:cNvPr id="77" name="Text Box 144">
          <a:extLst>
            <a:ext uri="{FF2B5EF4-FFF2-40B4-BE49-F238E27FC236}">
              <a16:creationId xmlns:a16="http://schemas.microsoft.com/office/drawing/2014/main" id="{00000000-0008-0000-0100-00004D000000}"/>
            </a:ext>
          </a:extLst>
        </xdr:cNvPr>
        <xdr:cNvSpPr txBox="1">
          <a:spLocks noChangeArrowheads="1"/>
        </xdr:cNvSpPr>
      </xdr:nvSpPr>
      <xdr:spPr bwMode="auto">
        <a:xfrm>
          <a:off x="2562225" y="8934450"/>
          <a:ext cx="704850" cy="13335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00" b="0" i="0" strike="noStrike">
              <a:solidFill>
                <a:srgbClr val="000000"/>
              </a:solidFill>
              <a:latin typeface="ＭＳ Ｐゴシック"/>
              <a:ea typeface="ＭＳ Ｐゴシック"/>
            </a:rPr>
            <a:t>空気質環境　　　　　　　</a:t>
          </a:r>
        </a:p>
      </xdr:txBody>
    </xdr:sp>
    <xdr:clientData/>
  </xdr:twoCellAnchor>
  <xdr:twoCellAnchor editAs="oneCell">
    <xdr:from>
      <xdr:col>7</xdr:col>
      <xdr:colOff>657225</xdr:colOff>
      <xdr:row>59</xdr:row>
      <xdr:rowOff>114300</xdr:rowOff>
    </xdr:from>
    <xdr:to>
      <xdr:col>8</xdr:col>
      <xdr:colOff>209550</xdr:colOff>
      <xdr:row>60</xdr:row>
      <xdr:rowOff>190500</xdr:rowOff>
    </xdr:to>
    <xdr:sp macro="" textlink="">
      <xdr:nvSpPr>
        <xdr:cNvPr id="78" name="Text Box 7">
          <a:extLst>
            <a:ext uri="{FF2B5EF4-FFF2-40B4-BE49-F238E27FC236}">
              <a16:creationId xmlns:a16="http://schemas.microsoft.com/office/drawing/2014/main" id="{00000000-0008-0000-0100-00004E000000}"/>
            </a:ext>
          </a:extLst>
        </xdr:cNvPr>
        <xdr:cNvSpPr txBox="1">
          <a:spLocks noChangeArrowheads="1"/>
        </xdr:cNvSpPr>
      </xdr:nvSpPr>
      <xdr:spPr bwMode="auto">
        <a:xfrm>
          <a:off x="4019550" y="11058525"/>
          <a:ext cx="5524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900" b="0" i="0" strike="noStrike">
              <a:solidFill>
                <a:srgbClr val="000000"/>
              </a:solidFill>
              <a:latin typeface="ＭＳ Ｐゴシック"/>
              <a:ea typeface="ＭＳ Ｐゴシック"/>
            </a:rPr>
            <a:t>   </a:t>
          </a:r>
          <a:r>
            <a:rPr lang="ja-JP" altLang="en-US" sz="800" b="0" i="0" strike="noStrike">
              <a:solidFill>
                <a:srgbClr val="000000"/>
              </a:solidFill>
              <a:latin typeface="ＭＳ Ｐゴシック"/>
              <a:ea typeface="ＭＳ Ｐゴシック"/>
            </a:rPr>
            <a:t>水資源　　</a:t>
          </a:r>
        </a:p>
        <a:p>
          <a:pPr algn="ctr" rtl="0">
            <a:defRPr sz="1000"/>
          </a:pPr>
          <a:r>
            <a:rPr lang="ja-JP" altLang="en-US" sz="800" b="0" i="0" strike="noStrike">
              <a:solidFill>
                <a:srgbClr val="000000"/>
              </a:solidFill>
              <a:latin typeface="ＭＳ Ｐゴシック"/>
              <a:ea typeface="ＭＳ Ｐゴシック"/>
            </a:rPr>
            <a:t>　  保護</a:t>
          </a:r>
        </a:p>
      </xdr:txBody>
    </xdr:sp>
    <xdr:clientData/>
  </xdr:twoCellAnchor>
  <xdr:twoCellAnchor editAs="oneCell">
    <xdr:from>
      <xdr:col>9</xdr:col>
      <xdr:colOff>0</xdr:colOff>
      <xdr:row>59</xdr:row>
      <xdr:rowOff>114300</xdr:rowOff>
    </xdr:from>
    <xdr:to>
      <xdr:col>9</xdr:col>
      <xdr:colOff>704850</xdr:colOff>
      <xdr:row>60</xdr:row>
      <xdr:rowOff>190500</xdr:rowOff>
    </xdr:to>
    <xdr:sp macro="" textlink="">
      <xdr:nvSpPr>
        <xdr:cNvPr id="79" name="Text Box 104">
          <a:extLst>
            <a:ext uri="{FF2B5EF4-FFF2-40B4-BE49-F238E27FC236}">
              <a16:creationId xmlns:a16="http://schemas.microsoft.com/office/drawing/2014/main" id="{00000000-0008-0000-0100-00004F000000}"/>
            </a:ext>
          </a:extLst>
        </xdr:cNvPr>
        <xdr:cNvSpPr txBox="1">
          <a:spLocks noChangeArrowheads="1"/>
        </xdr:cNvSpPr>
      </xdr:nvSpPr>
      <xdr:spPr bwMode="auto">
        <a:xfrm>
          <a:off x="4886325" y="110585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非再生材料の</a:t>
          </a:r>
        </a:p>
        <a:p>
          <a:pPr algn="ctr" rtl="0">
            <a:lnSpc>
              <a:spcPts val="1000"/>
            </a:lnSpc>
            <a:defRPr sz="1000"/>
          </a:pPr>
          <a:r>
            <a:rPr lang="ja-JP" altLang="en-US" sz="800" b="0" i="0" strike="noStrike">
              <a:solidFill>
                <a:srgbClr val="000000"/>
              </a:solidFill>
              <a:latin typeface="ＭＳ Ｐゴシック"/>
              <a:ea typeface="ＭＳ Ｐゴシック"/>
            </a:rPr>
            <a:t>使用削減</a:t>
          </a:r>
          <a:r>
            <a:rPr lang="ja-JP" altLang="en-US" sz="900" b="0" i="0" strike="noStrike">
              <a:solidFill>
                <a:srgbClr val="000000"/>
              </a:solidFill>
              <a:latin typeface="ＭＳ Ｐゴシック"/>
              <a:ea typeface="ＭＳ Ｐゴシック"/>
            </a:rPr>
            <a:t>　　　</a:t>
          </a:r>
        </a:p>
      </xdr:txBody>
    </xdr:sp>
    <xdr:clientData/>
  </xdr:twoCellAnchor>
  <xdr:oneCellAnchor>
    <xdr:from>
      <xdr:col>13</xdr:col>
      <xdr:colOff>66675</xdr:colOff>
      <xdr:row>51</xdr:row>
      <xdr:rowOff>180975</xdr:rowOff>
    </xdr:from>
    <xdr:ext cx="845040" cy="201850"/>
    <xdr:sp macro="" textlink="">
      <xdr:nvSpPr>
        <xdr:cNvPr id="80" name="Text Box 136">
          <a:extLst>
            <a:ext uri="{FF2B5EF4-FFF2-40B4-BE49-F238E27FC236}">
              <a16:creationId xmlns:a16="http://schemas.microsoft.com/office/drawing/2014/main" id="{00000000-0008-0000-0100-000050000000}"/>
            </a:ext>
          </a:extLst>
        </xdr:cNvPr>
        <xdr:cNvSpPr txBox="1">
          <a:spLocks noChangeArrowheads="1"/>
        </xdr:cNvSpPr>
      </xdr:nvSpPr>
      <xdr:spPr bwMode="auto">
        <a:xfrm>
          <a:off x="8582025"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LR3</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8</xdr:col>
      <xdr:colOff>495300</xdr:colOff>
      <xdr:row>51</xdr:row>
      <xdr:rowOff>180975</xdr:rowOff>
    </xdr:from>
    <xdr:ext cx="845040" cy="201850"/>
    <xdr:sp macro="" textlink="">
      <xdr:nvSpPr>
        <xdr:cNvPr id="81" name="Text Box 137">
          <a:extLst>
            <a:ext uri="{FF2B5EF4-FFF2-40B4-BE49-F238E27FC236}">
              <a16:creationId xmlns:a16="http://schemas.microsoft.com/office/drawing/2014/main" id="{00000000-0008-0000-0100-000051000000}"/>
            </a:ext>
          </a:extLst>
        </xdr:cNvPr>
        <xdr:cNvSpPr txBox="1">
          <a:spLocks noChangeArrowheads="1"/>
        </xdr:cNvSpPr>
      </xdr:nvSpPr>
      <xdr:spPr bwMode="auto">
        <a:xfrm>
          <a:off x="4857750"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LR2</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oneCellAnchor>
    <xdr:from>
      <xdr:col>4</xdr:col>
      <xdr:colOff>266700</xdr:colOff>
      <xdr:row>51</xdr:row>
      <xdr:rowOff>180975</xdr:rowOff>
    </xdr:from>
    <xdr:ext cx="845040" cy="201850"/>
    <xdr:sp macro="" textlink="">
      <xdr:nvSpPr>
        <xdr:cNvPr id="82" name="Text Box 140">
          <a:extLst>
            <a:ext uri="{FF2B5EF4-FFF2-40B4-BE49-F238E27FC236}">
              <a16:creationId xmlns:a16="http://schemas.microsoft.com/office/drawing/2014/main" id="{00000000-0008-0000-0100-000052000000}"/>
            </a:ext>
          </a:extLst>
        </xdr:cNvPr>
        <xdr:cNvSpPr txBox="1">
          <a:spLocks noChangeArrowheads="1"/>
        </xdr:cNvSpPr>
      </xdr:nvSpPr>
      <xdr:spPr bwMode="auto">
        <a:xfrm>
          <a:off x="1914525" y="9563100"/>
          <a:ext cx="845040" cy="201850"/>
        </a:xfrm>
        <a:prstGeom prst="rect">
          <a:avLst/>
        </a:prstGeom>
        <a:noFill/>
        <a:ln w="9525">
          <a:noFill/>
          <a:miter lim="800000"/>
          <a:headEnd/>
          <a:tailEnd/>
        </a:ln>
      </xdr:spPr>
      <xdr:txBody>
        <a:bodyPr wrap="none" lIns="27432" tIns="18288" rIns="0" bIns="0" anchor="t" upright="1">
          <a:spAutoFit/>
        </a:bodyPr>
        <a:lstStyle/>
        <a:p>
          <a:pPr algn="l" rtl="0">
            <a:defRPr sz="1000"/>
          </a:pPr>
          <a:r>
            <a:rPr lang="en-US" altLang="ja-JP" sz="1100" b="1" i="0" strike="noStrike">
              <a:solidFill>
                <a:srgbClr val="000000"/>
              </a:solidFill>
              <a:latin typeface="ＭＳ Ｐゴシック"/>
              <a:ea typeface="ＭＳ Ｐゴシック"/>
            </a:rPr>
            <a:t>LR1</a:t>
          </a:r>
          <a:r>
            <a:rPr lang="ja-JP" altLang="en-US" sz="1100" b="1" i="0" strike="noStrike">
              <a:solidFill>
                <a:srgbClr val="000000"/>
              </a:solidFill>
              <a:latin typeface="ＭＳ Ｐゴシック"/>
              <a:ea typeface="ＭＳ Ｐゴシック"/>
            </a:rPr>
            <a:t>のスコア</a:t>
          </a:r>
          <a:r>
            <a:rPr lang="en-US" altLang="ja-JP" sz="1100" b="1" i="0" strike="noStrike">
              <a:solidFill>
                <a:srgbClr val="000000"/>
              </a:solidFill>
              <a:latin typeface="ＭＳ Ｐゴシック"/>
              <a:ea typeface="ＭＳ Ｐゴシック"/>
            </a:rPr>
            <a:t>=</a:t>
          </a:r>
        </a:p>
      </xdr:txBody>
    </xdr:sp>
    <xdr:clientData/>
  </xdr:oneCellAnchor>
  <xdr:twoCellAnchor editAs="oneCell">
    <xdr:from>
      <xdr:col>9</xdr:col>
      <xdr:colOff>876300</xdr:colOff>
      <xdr:row>59</xdr:row>
      <xdr:rowOff>114300</xdr:rowOff>
    </xdr:from>
    <xdr:to>
      <xdr:col>10</xdr:col>
      <xdr:colOff>657225</xdr:colOff>
      <xdr:row>60</xdr:row>
      <xdr:rowOff>190500</xdr:rowOff>
    </xdr:to>
    <xdr:sp macro="" textlink="">
      <xdr:nvSpPr>
        <xdr:cNvPr id="83" name="Text Box 145">
          <a:extLst>
            <a:ext uri="{FF2B5EF4-FFF2-40B4-BE49-F238E27FC236}">
              <a16:creationId xmlns:a16="http://schemas.microsoft.com/office/drawing/2014/main" id="{00000000-0008-0000-0100-000053000000}"/>
            </a:ext>
          </a:extLst>
        </xdr:cNvPr>
        <xdr:cNvSpPr txBox="1">
          <a:spLocks noChangeArrowheads="1"/>
        </xdr:cNvSpPr>
      </xdr:nvSpPr>
      <xdr:spPr bwMode="auto">
        <a:xfrm>
          <a:off x="5762625" y="11058525"/>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汚染物質</a:t>
          </a:r>
        </a:p>
        <a:p>
          <a:pPr algn="ctr" rtl="0">
            <a:lnSpc>
              <a:spcPts val="1000"/>
            </a:lnSpc>
            <a:defRPr sz="1000"/>
          </a:pPr>
          <a:r>
            <a:rPr lang="ja-JP" altLang="en-US" sz="800" b="0" i="0" strike="noStrike">
              <a:solidFill>
                <a:srgbClr val="000000"/>
              </a:solidFill>
              <a:latin typeface="ＭＳ Ｐゴシック"/>
              <a:ea typeface="ＭＳ Ｐゴシック"/>
            </a:rPr>
            <a:t>回避</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2</xdr:col>
      <xdr:colOff>76200</xdr:colOff>
      <xdr:row>59</xdr:row>
      <xdr:rowOff>114300</xdr:rowOff>
    </xdr:from>
    <xdr:to>
      <xdr:col>2</xdr:col>
      <xdr:colOff>771525</xdr:colOff>
      <xdr:row>60</xdr:row>
      <xdr:rowOff>190500</xdr:rowOff>
    </xdr:to>
    <xdr:sp macro="" textlink="">
      <xdr:nvSpPr>
        <xdr:cNvPr id="84" name="Text Box 23">
          <a:extLst>
            <a:ext uri="{FF2B5EF4-FFF2-40B4-BE49-F238E27FC236}">
              <a16:creationId xmlns:a16="http://schemas.microsoft.com/office/drawing/2014/main" id="{00000000-0008-0000-0100-000054000000}"/>
            </a:ext>
          </a:extLst>
        </xdr:cNvPr>
        <xdr:cNvSpPr txBox="1">
          <a:spLocks noChangeArrowheads="1"/>
        </xdr:cNvSpPr>
      </xdr:nvSpPr>
      <xdr:spPr bwMode="auto">
        <a:xfrm>
          <a:off x="295275" y="11058525"/>
          <a:ext cx="695325"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0" tIns="0" rIns="0" bIns="0" anchor="ctr"/>
        <a:lstStyle/>
        <a:p>
          <a:pPr algn="ctr" rtl="0">
            <a:defRPr sz="1000"/>
          </a:pPr>
          <a:r>
            <a:rPr lang="ja-JP" altLang="en-US" sz="825" b="0" i="0" u="none" strike="noStrike" baseline="0">
              <a:solidFill>
                <a:srgbClr val="000000"/>
              </a:solidFill>
              <a:latin typeface="ＭＳ Ｐゴシック"/>
              <a:ea typeface="ＭＳ Ｐゴシック"/>
            </a:rPr>
            <a:t>   建物外皮の        </a:t>
          </a:r>
        </a:p>
        <a:p>
          <a:pPr algn="ctr" rtl="0">
            <a:lnSpc>
              <a:spcPts val="1000"/>
            </a:lnSpc>
            <a:defRPr sz="1000"/>
          </a:pPr>
          <a:r>
            <a:rPr lang="ja-JP" altLang="en-US" sz="825" b="0" i="0" u="none" strike="noStrike" baseline="0">
              <a:solidFill>
                <a:srgbClr val="000000"/>
              </a:solidFill>
              <a:latin typeface="ＭＳ Ｐゴシック"/>
              <a:ea typeface="ＭＳ Ｐゴシック"/>
            </a:rPr>
            <a:t>   熱負荷</a:t>
          </a:r>
        </a:p>
      </xdr:txBody>
    </xdr:sp>
    <xdr:clientData/>
  </xdr:twoCellAnchor>
  <xdr:twoCellAnchor editAs="oneCell">
    <xdr:from>
      <xdr:col>2</xdr:col>
      <xdr:colOff>952500</xdr:colOff>
      <xdr:row>59</xdr:row>
      <xdr:rowOff>114300</xdr:rowOff>
    </xdr:from>
    <xdr:to>
      <xdr:col>4</xdr:col>
      <xdr:colOff>85725</xdr:colOff>
      <xdr:row>60</xdr:row>
      <xdr:rowOff>190500</xdr:rowOff>
    </xdr:to>
    <xdr:sp macro="" textlink="">
      <xdr:nvSpPr>
        <xdr:cNvPr id="85" name="Text Box 101">
          <a:extLst>
            <a:ext uri="{FF2B5EF4-FFF2-40B4-BE49-F238E27FC236}">
              <a16:creationId xmlns:a16="http://schemas.microsoft.com/office/drawing/2014/main" id="{00000000-0008-0000-0100-000055000000}"/>
            </a:ext>
          </a:extLst>
        </xdr:cNvPr>
        <xdr:cNvSpPr txBox="1">
          <a:spLocks noChangeArrowheads="1"/>
        </xdr:cNvSpPr>
      </xdr:nvSpPr>
      <xdr:spPr bwMode="auto">
        <a:xfrm>
          <a:off x="1171575" y="11058525"/>
          <a:ext cx="561975" cy="276225"/>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自然エネ     </a:t>
          </a:r>
        </a:p>
        <a:p>
          <a:pPr algn="ctr" rtl="0">
            <a:lnSpc>
              <a:spcPts val="1000"/>
            </a:lnSpc>
            <a:defRPr sz="1000"/>
          </a:pPr>
          <a:r>
            <a:rPr lang="ja-JP" altLang="en-US" sz="825" b="0" i="0" strike="noStrike">
              <a:solidFill>
                <a:srgbClr val="000000"/>
              </a:solidFill>
              <a:latin typeface="ＭＳ Ｐゴシック"/>
              <a:ea typeface="ＭＳ Ｐゴシック"/>
            </a:rPr>
            <a:t>  ルギー</a:t>
          </a:r>
        </a:p>
      </xdr:txBody>
    </xdr:sp>
    <xdr:clientData/>
  </xdr:twoCellAnchor>
  <xdr:twoCellAnchor editAs="oneCell">
    <xdr:from>
      <xdr:col>4</xdr:col>
      <xdr:colOff>219075</xdr:colOff>
      <xdr:row>59</xdr:row>
      <xdr:rowOff>114300</xdr:rowOff>
    </xdr:from>
    <xdr:to>
      <xdr:col>5</xdr:col>
      <xdr:colOff>142875</xdr:colOff>
      <xdr:row>60</xdr:row>
      <xdr:rowOff>180975</xdr:rowOff>
    </xdr:to>
    <xdr:sp macro="" textlink="">
      <xdr:nvSpPr>
        <xdr:cNvPr id="86" name="Text Box 102">
          <a:extLst>
            <a:ext uri="{FF2B5EF4-FFF2-40B4-BE49-F238E27FC236}">
              <a16:creationId xmlns:a16="http://schemas.microsoft.com/office/drawing/2014/main" id="{00000000-0008-0000-0100-000056000000}"/>
            </a:ext>
          </a:extLst>
        </xdr:cNvPr>
        <xdr:cNvSpPr txBox="1">
          <a:spLocks noChangeArrowheads="1"/>
        </xdr:cNvSpPr>
      </xdr:nvSpPr>
      <xdr:spPr bwMode="auto">
        <a:xfrm>
          <a:off x="1866900" y="11058525"/>
          <a:ext cx="6667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 設備システ     </a:t>
          </a:r>
        </a:p>
        <a:p>
          <a:pPr algn="ctr" rtl="0">
            <a:lnSpc>
              <a:spcPts val="1000"/>
            </a:lnSpc>
            <a:defRPr sz="1000"/>
          </a:pPr>
          <a:r>
            <a:rPr lang="ja-JP" altLang="en-US" sz="825" b="0" i="0" strike="noStrike">
              <a:solidFill>
                <a:srgbClr val="000000"/>
              </a:solidFill>
              <a:latin typeface="ＭＳ Ｐゴシック"/>
              <a:ea typeface="ＭＳ Ｐゴシック"/>
            </a:rPr>
            <a:t> ム効率化</a:t>
          </a:r>
        </a:p>
      </xdr:txBody>
    </xdr:sp>
    <xdr:clientData/>
  </xdr:twoCellAnchor>
  <xdr:twoCellAnchor editAs="oneCell">
    <xdr:from>
      <xdr:col>5</xdr:col>
      <xdr:colOff>361950</xdr:colOff>
      <xdr:row>59</xdr:row>
      <xdr:rowOff>114300</xdr:rowOff>
    </xdr:from>
    <xdr:to>
      <xdr:col>6</xdr:col>
      <xdr:colOff>285750</xdr:colOff>
      <xdr:row>60</xdr:row>
      <xdr:rowOff>180975</xdr:rowOff>
    </xdr:to>
    <xdr:sp macro="" textlink="">
      <xdr:nvSpPr>
        <xdr:cNvPr id="87" name="Text Box 103">
          <a:extLst>
            <a:ext uri="{FF2B5EF4-FFF2-40B4-BE49-F238E27FC236}">
              <a16:creationId xmlns:a16="http://schemas.microsoft.com/office/drawing/2014/main" id="{00000000-0008-0000-0100-000057000000}"/>
            </a:ext>
          </a:extLst>
        </xdr:cNvPr>
        <xdr:cNvSpPr txBox="1">
          <a:spLocks noChangeArrowheads="1"/>
        </xdr:cNvSpPr>
      </xdr:nvSpPr>
      <xdr:spPr bwMode="auto">
        <a:xfrm>
          <a:off x="2752725" y="11058525"/>
          <a:ext cx="400050" cy="266700"/>
        </a:xfrm>
        <a:prstGeom prst="rect">
          <a:avLst/>
        </a:prstGeom>
        <a:noFill/>
        <a:ln w="9525">
          <a:noFill/>
          <a:miter lim="800000"/>
          <a:headEnd/>
          <a:tailEnd/>
        </a:ln>
      </xdr:spPr>
      <xdr:txBody>
        <a:bodyPr vertOverflow="clip" wrap="square" lIns="0" tIns="0" rIns="0" bIns="0" anchor="ctr" upright="1"/>
        <a:lstStyle/>
        <a:p>
          <a:pPr algn="ctr" rtl="0">
            <a:defRPr sz="1000"/>
          </a:pPr>
          <a:r>
            <a:rPr lang="ja-JP" altLang="en-US" sz="825" b="0" i="0" strike="noStrike">
              <a:solidFill>
                <a:srgbClr val="000000"/>
              </a:solidFill>
              <a:latin typeface="ＭＳ Ｐゴシック"/>
              <a:ea typeface="ＭＳ Ｐゴシック"/>
            </a:rPr>
            <a:t>効率的              </a:t>
          </a:r>
        </a:p>
        <a:p>
          <a:pPr algn="ctr" rtl="0">
            <a:lnSpc>
              <a:spcPts val="1000"/>
            </a:lnSpc>
            <a:defRPr sz="1000"/>
          </a:pPr>
          <a:r>
            <a:rPr lang="ja-JP" altLang="en-US" sz="825" b="0" i="0" strike="noStrike">
              <a:solidFill>
                <a:srgbClr val="000000"/>
              </a:solidFill>
              <a:latin typeface="ＭＳ Ｐゴシック"/>
              <a:ea typeface="ＭＳ Ｐゴシック"/>
            </a:rPr>
            <a:t>運用</a:t>
          </a:r>
        </a:p>
      </xdr:txBody>
    </xdr:sp>
    <xdr:clientData/>
  </xdr:twoCellAnchor>
  <xdr:twoCellAnchor editAs="oneCell">
    <xdr:from>
      <xdr:col>11</xdr:col>
      <xdr:colOff>457200</xdr:colOff>
      <xdr:row>59</xdr:row>
      <xdr:rowOff>104775</xdr:rowOff>
    </xdr:from>
    <xdr:to>
      <xdr:col>12</xdr:col>
      <xdr:colOff>257175</xdr:colOff>
      <xdr:row>60</xdr:row>
      <xdr:rowOff>180975</xdr:rowOff>
    </xdr:to>
    <xdr:sp macro="" textlink="">
      <xdr:nvSpPr>
        <xdr:cNvPr id="88" name="Text Box 148">
          <a:extLst>
            <a:ext uri="{FF2B5EF4-FFF2-40B4-BE49-F238E27FC236}">
              <a16:creationId xmlns:a16="http://schemas.microsoft.com/office/drawing/2014/main" id="{00000000-0008-0000-0100-000058000000}"/>
            </a:ext>
          </a:extLst>
        </xdr:cNvPr>
        <xdr:cNvSpPr txBox="1">
          <a:spLocks noChangeArrowheads="1"/>
        </xdr:cNvSpPr>
      </xdr:nvSpPr>
      <xdr:spPr bwMode="auto">
        <a:xfrm>
          <a:off x="717232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地球温暖化</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12</xdr:col>
      <xdr:colOff>447675</xdr:colOff>
      <xdr:row>59</xdr:row>
      <xdr:rowOff>104775</xdr:rowOff>
    </xdr:from>
    <xdr:to>
      <xdr:col>13</xdr:col>
      <xdr:colOff>257175</xdr:colOff>
      <xdr:row>60</xdr:row>
      <xdr:rowOff>180975</xdr:rowOff>
    </xdr:to>
    <xdr:sp macro="" textlink="">
      <xdr:nvSpPr>
        <xdr:cNvPr id="89" name="Text Box 149">
          <a:extLst>
            <a:ext uri="{FF2B5EF4-FFF2-40B4-BE49-F238E27FC236}">
              <a16:creationId xmlns:a16="http://schemas.microsoft.com/office/drawing/2014/main" id="{00000000-0008-0000-0100-000059000000}"/>
            </a:ext>
          </a:extLst>
        </xdr:cNvPr>
        <xdr:cNvSpPr txBox="1">
          <a:spLocks noChangeArrowheads="1"/>
        </xdr:cNvSpPr>
      </xdr:nvSpPr>
      <xdr:spPr bwMode="auto">
        <a:xfrm>
          <a:off x="806767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地域環境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editAs="oneCell">
    <xdr:from>
      <xdr:col>13</xdr:col>
      <xdr:colOff>466725</xdr:colOff>
      <xdr:row>59</xdr:row>
      <xdr:rowOff>104775</xdr:rowOff>
    </xdr:from>
    <xdr:to>
      <xdr:col>14</xdr:col>
      <xdr:colOff>514350</xdr:colOff>
      <xdr:row>60</xdr:row>
      <xdr:rowOff>180975</xdr:rowOff>
    </xdr:to>
    <xdr:sp macro="" textlink="">
      <xdr:nvSpPr>
        <xdr:cNvPr id="90" name="Text Box 150">
          <a:extLst>
            <a:ext uri="{FF2B5EF4-FFF2-40B4-BE49-F238E27FC236}">
              <a16:creationId xmlns:a16="http://schemas.microsoft.com/office/drawing/2014/main" id="{00000000-0008-0000-0100-00005A000000}"/>
            </a:ext>
          </a:extLst>
        </xdr:cNvPr>
        <xdr:cNvSpPr txBox="1">
          <a:spLocks noChangeArrowheads="1"/>
        </xdr:cNvSpPr>
      </xdr:nvSpPr>
      <xdr:spPr bwMode="auto">
        <a:xfrm>
          <a:off x="8982075" y="11049000"/>
          <a:ext cx="704850" cy="276225"/>
        </a:xfrm>
        <a:prstGeom prst="rect">
          <a:avLst/>
        </a:prstGeom>
        <a:noFill/>
        <a:ln w="9525">
          <a:noFill/>
          <a:miter lim="800000"/>
          <a:headEnd/>
          <a:tailEnd/>
        </a:ln>
      </xdr:spPr>
      <xdr:txBody>
        <a:bodyPr vertOverflow="clip" wrap="square" lIns="0" tIns="0" rIns="0" bIns="0" anchor="t" upright="1"/>
        <a:lstStyle/>
        <a:p>
          <a:pPr algn="ctr" rtl="0">
            <a:defRPr sz="1000"/>
          </a:pPr>
          <a:r>
            <a:rPr lang="ja-JP" altLang="en-US" sz="800" b="0" i="0" strike="noStrike">
              <a:solidFill>
                <a:srgbClr val="000000"/>
              </a:solidFill>
              <a:latin typeface="ＭＳ Ｐゴシック"/>
              <a:ea typeface="ＭＳ Ｐゴシック"/>
            </a:rPr>
            <a:t>周辺環境</a:t>
          </a:r>
        </a:p>
        <a:p>
          <a:pPr algn="ctr" rtl="0">
            <a:lnSpc>
              <a:spcPts val="1000"/>
            </a:lnSpc>
            <a:defRPr sz="1000"/>
          </a:pPr>
          <a:r>
            <a:rPr lang="ja-JP" altLang="en-US" sz="800" b="0" i="0" strike="noStrike">
              <a:solidFill>
                <a:srgbClr val="000000"/>
              </a:solidFill>
              <a:latin typeface="ＭＳ Ｐゴシック"/>
              <a:ea typeface="ＭＳ Ｐゴシック"/>
            </a:rPr>
            <a:t>への配慮</a:t>
          </a:r>
          <a:r>
            <a:rPr lang="ja-JP" altLang="en-US" sz="900" b="0" i="0" strike="noStrike">
              <a:solidFill>
                <a:srgbClr val="000000"/>
              </a:solidFill>
              <a:latin typeface="ＭＳ Ｐゴシック"/>
              <a:ea typeface="ＭＳ Ｐゴシック"/>
            </a:rPr>
            <a:t>　　　</a:t>
          </a:r>
        </a:p>
      </xdr:txBody>
    </xdr:sp>
    <xdr:clientData/>
  </xdr:twoCellAnchor>
  <xdr:twoCellAnchor>
    <xdr:from>
      <xdr:col>1</xdr:col>
      <xdr:colOff>0</xdr:colOff>
      <xdr:row>70</xdr:row>
      <xdr:rowOff>0</xdr:rowOff>
    </xdr:from>
    <xdr:to>
      <xdr:col>15</xdr:col>
      <xdr:colOff>9525</xdr:colOff>
      <xdr:row>96</xdr:row>
      <xdr:rowOff>76200</xdr:rowOff>
    </xdr:to>
    <xdr:sp macro="" textlink="">
      <xdr:nvSpPr>
        <xdr:cNvPr id="58" name="Text Box 141">
          <a:extLst>
            <a:ext uri="{FF2B5EF4-FFF2-40B4-BE49-F238E27FC236}">
              <a16:creationId xmlns:a16="http://schemas.microsoft.com/office/drawing/2014/main" id="{00000000-0008-0000-0100-00003A000000}"/>
            </a:ext>
          </a:extLst>
        </xdr:cNvPr>
        <xdr:cNvSpPr txBox="1">
          <a:spLocks noChangeArrowheads="1"/>
        </xdr:cNvSpPr>
      </xdr:nvSpPr>
      <xdr:spPr bwMode="auto">
        <a:xfrm>
          <a:off x="57150" y="14411325"/>
          <a:ext cx="10001250" cy="80010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ja-JP" altLang="en-US" sz="900" b="1" i="0" u="none" strike="noStrike" baseline="0">
              <a:solidFill>
                <a:srgbClr val="000000"/>
              </a:solidFill>
              <a:latin typeface="ＭＳ Ｐゴシック"/>
              <a:ea typeface="ＭＳ Ｐゴシック"/>
            </a:rPr>
            <a:t>■CASBEE: Comprehensive Assessment System for Built Environment Efficiency</a:t>
          </a:r>
          <a:r>
            <a:rPr lang="ja-JP" altLang="en-US" sz="900" b="0" i="0" u="none" strike="noStrike" baseline="0">
              <a:solidFill>
                <a:srgbClr val="000000"/>
              </a:solidFill>
              <a:latin typeface="ＭＳ Ｐゴシック"/>
              <a:ea typeface="ＭＳ Ｐゴシック"/>
            </a:rPr>
            <a:t> （建築環境総合性能評価システム）</a:t>
          </a:r>
        </a:p>
        <a:p>
          <a:pPr algn="l" rtl="0">
            <a:defRPr sz="1000"/>
          </a:pPr>
          <a:r>
            <a:rPr lang="ja-JP" altLang="en-US" sz="900" b="0" i="0" u="none" strike="noStrike" baseline="0">
              <a:solidFill>
                <a:srgbClr val="000000"/>
              </a:solidFill>
              <a:latin typeface="ＭＳ Ｐゴシック"/>
              <a:ea typeface="ＭＳ Ｐゴシック"/>
            </a:rPr>
            <a:t>■</a:t>
          </a:r>
          <a:r>
            <a:rPr lang="ja-JP" altLang="en-US" sz="900" b="1" i="0" u="none" strike="noStrike" baseline="0">
              <a:solidFill>
                <a:srgbClr val="000000"/>
              </a:solidFill>
              <a:latin typeface="ＭＳ Ｐゴシック"/>
              <a:ea typeface="ＭＳ Ｐゴシック"/>
            </a:rPr>
            <a:t>Q: Quality</a:t>
          </a:r>
          <a:r>
            <a:rPr lang="ja-JP" altLang="en-US" sz="900" b="0" i="0" u="none" strike="noStrike" baseline="0">
              <a:solidFill>
                <a:srgbClr val="000000"/>
              </a:solidFill>
              <a:latin typeface="ＭＳ Ｐゴシック"/>
              <a:ea typeface="ＭＳ Ｐゴシック"/>
            </a:rPr>
            <a:t> （建築物の環境品質）、</a:t>
          </a:r>
          <a:r>
            <a:rPr lang="ja-JP" altLang="en-US" sz="900" b="1" i="0" u="none" strike="noStrike" baseline="0">
              <a:solidFill>
                <a:srgbClr val="000000"/>
              </a:solidFill>
              <a:latin typeface="ＭＳ Ｐゴシック"/>
              <a:ea typeface="ＭＳ Ｐゴシック"/>
            </a:rPr>
            <a:t>L: Load </a:t>
          </a:r>
          <a:r>
            <a:rPr lang="ja-JP" altLang="en-US" sz="900" b="0" i="0" u="none" strike="noStrike" baseline="0">
              <a:solidFill>
                <a:srgbClr val="000000"/>
              </a:solidFill>
              <a:latin typeface="ＭＳ Ｐゴシック"/>
              <a:ea typeface="ＭＳ Ｐゴシック"/>
            </a:rPr>
            <a:t>（建築物の環境負荷）、</a:t>
          </a:r>
          <a:r>
            <a:rPr lang="ja-JP" altLang="en-US" sz="900" b="1" i="0" u="none" strike="noStrike" baseline="0">
              <a:solidFill>
                <a:srgbClr val="000000"/>
              </a:solidFill>
              <a:latin typeface="ＭＳ Ｐゴシック"/>
              <a:ea typeface="ＭＳ Ｐゴシック"/>
            </a:rPr>
            <a:t>LR: Load Reduction </a:t>
          </a:r>
          <a:r>
            <a:rPr lang="ja-JP" altLang="en-US" sz="900" b="0" i="0" u="none" strike="noStrike" baseline="0">
              <a:solidFill>
                <a:srgbClr val="000000"/>
              </a:solidFill>
              <a:latin typeface="ＭＳ Ｐゴシック"/>
              <a:ea typeface="ＭＳ Ｐゴシック"/>
            </a:rPr>
            <a:t>（建築物の環境負荷低減性）、</a:t>
          </a:r>
          <a:r>
            <a:rPr lang="ja-JP" altLang="en-US" sz="900" b="1" i="0" u="none" strike="noStrike" baseline="0">
              <a:solidFill>
                <a:srgbClr val="000000"/>
              </a:solidFill>
              <a:latin typeface="ＭＳ Ｐゴシック"/>
              <a:ea typeface="ＭＳ Ｐゴシック"/>
            </a:rPr>
            <a:t>BEE: Built Environment Efficiency </a:t>
          </a:r>
          <a:r>
            <a:rPr lang="ja-JP" altLang="en-US" sz="900" b="0" i="0" u="none" strike="noStrike" baseline="0">
              <a:solidFill>
                <a:srgbClr val="000000"/>
              </a:solidFill>
              <a:latin typeface="ＭＳ Ｐゴシック"/>
              <a:ea typeface="ＭＳ Ｐゴシック"/>
            </a:rPr>
            <a:t>（建築物の環境効率）</a:t>
          </a:r>
        </a:p>
        <a:p>
          <a:pPr algn="l" rtl="0">
            <a:lnSpc>
              <a:spcPts val="1100"/>
            </a:lnSpc>
            <a:defRPr sz="1000"/>
          </a:pPr>
          <a:r>
            <a:rPr lang="ja-JP" altLang="en-US" sz="900" b="0" i="0" u="none" strike="noStrike" baseline="0">
              <a:solidFill>
                <a:srgbClr val="000000"/>
              </a:solidFill>
              <a:latin typeface="ＭＳ Ｐゴシック"/>
              <a:ea typeface="ＭＳ Ｐゴシック"/>
            </a:rPr>
            <a:t>■「ライフサイクルCO</a:t>
          </a:r>
          <a:r>
            <a:rPr lang="ja-JP" altLang="en-US" sz="900" b="0" i="0" u="none" strike="noStrike" baseline="-2500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」とは、建築物の部材生産・建設から運用、改修、解体廃棄に至る一生の間の二酸化炭素排出量を、建築物の寿命年数で除した年間二酸化炭素排出量のこと</a:t>
          </a:r>
        </a:p>
        <a:p>
          <a:pPr algn="l" rtl="0">
            <a:defRPr sz="1000"/>
          </a:pPr>
          <a:r>
            <a:rPr lang="ja-JP" altLang="en-US" sz="900" b="0" i="0" u="none" strike="noStrike" baseline="0">
              <a:solidFill>
                <a:srgbClr val="000000"/>
              </a:solidFill>
              <a:latin typeface="ＭＳ Ｐゴシック"/>
              <a:ea typeface="ＭＳ Ｐゴシック"/>
            </a:rPr>
            <a:t>■評価対象のライフサイクルCO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排出量は、Q2、LR1、LR2中の建築物の寿命、省エネルギー、省資源などの項目の評価結果から自動的に算出される</a:t>
          </a:r>
        </a:p>
        <a:p>
          <a:pPr algn="l" rtl="0">
            <a:defRPr sz="1000"/>
          </a:pPr>
          <a:r>
            <a:rPr lang="ja-JP" altLang="en-US" sz="900" b="0" i="0" u="none" strike="noStrike" baseline="0">
              <a:solidFill>
                <a:srgbClr val="000000"/>
              </a:solidFill>
              <a:latin typeface="ＭＳ Ｐゴシック"/>
              <a:ea typeface="ＭＳ Ｐゴシック"/>
            </a:rPr>
            <a:t>■LCCO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の算定条件等については、「LCCO</a:t>
          </a:r>
          <a:r>
            <a:rPr lang="ja-JP" altLang="en-US" sz="600" b="0" i="0" u="none" strike="noStrike" baseline="0">
              <a:solidFill>
                <a:srgbClr val="000000"/>
              </a:solidFill>
              <a:latin typeface="ＭＳ Ｐゴシック"/>
              <a:ea typeface="ＭＳ Ｐゴシック"/>
            </a:rPr>
            <a:t>2</a:t>
          </a:r>
          <a:r>
            <a:rPr lang="ja-JP" altLang="en-US" sz="900" b="0" i="0" u="none" strike="noStrike" baseline="0">
              <a:solidFill>
                <a:srgbClr val="000000"/>
              </a:solidFill>
              <a:latin typeface="ＭＳ Ｐゴシック"/>
              <a:ea typeface="ＭＳ Ｐゴシック"/>
            </a:rPr>
            <a:t>算定条件シート」を参照されたい</a:t>
          </a:r>
        </a:p>
      </xdr:txBody>
    </xdr:sp>
    <xdr:clientData/>
  </xdr:twoCellAnchor>
  <xdr:twoCellAnchor editAs="oneCell">
    <xdr:from>
      <xdr:col>1</xdr:col>
      <xdr:colOff>95249</xdr:colOff>
      <xdr:row>1</xdr:row>
      <xdr:rowOff>85725</xdr:rowOff>
    </xdr:from>
    <xdr:to>
      <xdr:col>11</xdr:col>
      <xdr:colOff>187571</xdr:colOff>
      <xdr:row>4</xdr:row>
      <xdr:rowOff>57150</xdr:rowOff>
    </xdr:to>
    <xdr:pic>
      <xdr:nvPicPr>
        <xdr:cNvPr id="91" name="図 90">
          <a:extLst>
            <a:ext uri="{FF2B5EF4-FFF2-40B4-BE49-F238E27FC236}">
              <a16:creationId xmlns:a16="http://schemas.microsoft.com/office/drawing/2014/main" id="{00000000-0008-0000-0100-00005B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52399" y="161925"/>
          <a:ext cx="6750297" cy="685800"/>
        </a:xfrm>
        <a:prstGeom prst="rect">
          <a:avLst/>
        </a:prstGeom>
      </xdr:spPr>
    </xdr:pic>
    <xdr:clientData/>
  </xdr:twoCellAnchor>
</xdr:wsDr>
</file>

<file path=xl/drawings/drawing3.xml><?xml version="1.0" encoding="utf-8"?>
<c:userShapes xmlns:c="http://schemas.openxmlformats.org/drawingml/2006/chart">
  <cdr:relSizeAnchor xmlns:cdr="http://schemas.openxmlformats.org/drawingml/2006/chartDrawing">
    <cdr:from>
      <cdr:x>0.01701</cdr:x>
      <cdr:y>0.03378</cdr:y>
    </cdr:from>
    <cdr:to>
      <cdr:x>0.12592</cdr:x>
      <cdr:y>0.97967</cdr:y>
    </cdr:to>
    <cdr:sp macro="" textlink="">
      <cdr:nvSpPr>
        <cdr:cNvPr id="13313" name="Text Box 1"/>
        <cdr:cNvSpPr txBox="1">
          <a:spLocks xmlns:a="http://schemas.openxmlformats.org/drawingml/2006/main" noChangeArrowheads="1"/>
        </cdr:cNvSpPr>
      </cdr:nvSpPr>
      <cdr:spPr bwMode="auto">
        <a:xfrm xmlns:a="http://schemas.openxmlformats.org/drawingml/2006/main">
          <a:off x="50800" y="85221"/>
          <a:ext cx="305000" cy="2297454"/>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vert="vert270"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環境品質　Ｑ</a:t>
          </a:r>
        </a:p>
      </cdr:txBody>
    </cdr:sp>
  </cdr:relSizeAnchor>
  <cdr:relSizeAnchor xmlns:cdr="http://schemas.openxmlformats.org/drawingml/2006/chartDrawing">
    <cdr:from>
      <cdr:x>0.21528</cdr:x>
      <cdr:y>0.88263</cdr:y>
    </cdr:from>
    <cdr:to>
      <cdr:x>0.86707</cdr:x>
      <cdr:y>0.98039</cdr:y>
    </cdr:to>
    <cdr:sp macro="" textlink="">
      <cdr:nvSpPr>
        <cdr:cNvPr id="13314" name="Text Box 2"/>
        <cdr:cNvSpPr txBox="1">
          <a:spLocks xmlns:a="http://schemas.openxmlformats.org/drawingml/2006/main" noChangeArrowheads="1"/>
        </cdr:cNvSpPr>
      </cdr:nvSpPr>
      <cdr:spPr bwMode="auto">
        <a:xfrm xmlns:a="http://schemas.openxmlformats.org/drawingml/2006/main">
          <a:off x="606022" y="2146979"/>
          <a:ext cx="1825266" cy="237446"/>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36576" tIns="18288" rIns="36576" bIns="18288" anchor="ctr" upright="1"/>
        <a:lstStyle xmlns:a="http://schemas.openxmlformats.org/drawingml/2006/main"/>
        <a:p xmlns:a="http://schemas.openxmlformats.org/drawingml/2006/main">
          <a:pPr algn="ctr" rtl="0">
            <a:defRPr sz="1000"/>
          </a:pPr>
          <a:r>
            <a:rPr lang="ja-JP" altLang="en-US" sz="1100" b="1" i="0" strike="noStrike">
              <a:solidFill>
                <a:srgbClr val="000000"/>
              </a:solidFill>
              <a:latin typeface="ＭＳ Ｐゴシック"/>
              <a:ea typeface="ＭＳ Ｐゴシック"/>
            </a:rPr>
            <a:t>環境負荷 </a:t>
          </a:r>
          <a:r>
            <a:rPr lang="en-US" altLang="ja-JP" sz="1100" b="1" i="0" strike="noStrike">
              <a:solidFill>
                <a:srgbClr val="000000"/>
              </a:solidFill>
              <a:latin typeface="ＭＳ Ｐゴシック"/>
              <a:ea typeface="ＭＳ Ｐゴシック"/>
            </a:rPr>
            <a:t>L</a:t>
          </a:r>
        </a:p>
      </cdr:txBody>
    </cdr:sp>
  </cdr:relSizeAnchor>
  <cdr:relSizeAnchor xmlns:cdr="http://schemas.openxmlformats.org/drawingml/2006/chartDrawing">
    <cdr:from>
      <cdr:x>0.20127</cdr:x>
      <cdr:y>0.11136</cdr:y>
    </cdr:from>
    <cdr:to>
      <cdr:x>0.38843</cdr:x>
      <cdr:y>0.22498</cdr:y>
    </cdr:to>
    <cdr:sp macro="" textlink="">
      <cdr:nvSpPr>
        <cdr:cNvPr id="13315" name="Text Box 3"/>
        <cdr:cNvSpPr txBox="1">
          <a:spLocks xmlns:a="http://schemas.openxmlformats.org/drawingml/2006/main" noChangeArrowheads="1"/>
        </cdr:cNvSpPr>
      </cdr:nvSpPr>
      <cdr:spPr bwMode="auto">
        <a:xfrm xmlns:a="http://schemas.openxmlformats.org/drawingml/2006/main">
          <a:off x="566798" y="273661"/>
          <a:ext cx="524113"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S</a:t>
          </a:r>
        </a:p>
      </cdr:txBody>
    </cdr:sp>
  </cdr:relSizeAnchor>
  <cdr:relSizeAnchor xmlns:cdr="http://schemas.openxmlformats.org/drawingml/2006/chartDrawing">
    <cdr:from>
      <cdr:x>0.45363</cdr:x>
      <cdr:y>0.10224</cdr:y>
    </cdr:from>
    <cdr:to>
      <cdr:x>0.59998</cdr:x>
      <cdr:y>0.22762</cdr:y>
    </cdr:to>
    <cdr:sp macro="" textlink="">
      <cdr:nvSpPr>
        <cdr:cNvPr id="13316" name="Text Box 4"/>
        <cdr:cNvSpPr txBox="1">
          <a:spLocks xmlns:a="http://schemas.openxmlformats.org/drawingml/2006/main" noChangeArrowheads="1"/>
        </cdr:cNvSpPr>
      </cdr:nvSpPr>
      <cdr:spPr bwMode="auto">
        <a:xfrm xmlns:a="http://schemas.openxmlformats.org/drawingml/2006/main">
          <a:off x="1273505" y="251492"/>
          <a:ext cx="409823" cy="304538"/>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A</a:t>
          </a:r>
        </a:p>
      </cdr:txBody>
    </cdr:sp>
  </cdr:relSizeAnchor>
  <cdr:relSizeAnchor xmlns:cdr="http://schemas.openxmlformats.org/drawingml/2006/chartDrawing">
    <cdr:from>
      <cdr:x>0.64128</cdr:x>
      <cdr:y>0.10224</cdr:y>
    </cdr:from>
    <cdr:to>
      <cdr:x>0.79438</cdr:x>
      <cdr:y>0.21585</cdr:y>
    </cdr:to>
    <cdr:sp macro="" textlink="">
      <cdr:nvSpPr>
        <cdr:cNvPr id="13317" name="Text Box 5"/>
        <cdr:cNvSpPr txBox="1">
          <a:spLocks xmlns:a="http://schemas.openxmlformats.org/drawingml/2006/main" noChangeArrowheads="1"/>
        </cdr:cNvSpPr>
      </cdr:nvSpPr>
      <cdr:spPr bwMode="auto">
        <a:xfrm xmlns:a="http://schemas.openxmlformats.org/drawingml/2006/main">
          <a:off x="1798971" y="251492"/>
          <a:ext cx="428758"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0.7654</cdr:x>
      <cdr:y>0.30064</cdr:y>
    </cdr:from>
    <cdr:to>
      <cdr:x>0.90379</cdr:x>
      <cdr:y>0.41425</cdr:y>
    </cdr:to>
    <cdr:sp macro="" textlink="">
      <cdr:nvSpPr>
        <cdr:cNvPr id="13318" name="Text Box 6"/>
        <cdr:cNvSpPr txBox="1">
          <a:spLocks xmlns:a="http://schemas.openxmlformats.org/drawingml/2006/main" noChangeArrowheads="1"/>
        </cdr:cNvSpPr>
      </cdr:nvSpPr>
      <cdr:spPr bwMode="auto">
        <a:xfrm xmlns:a="http://schemas.openxmlformats.org/drawingml/2006/main">
          <a:off x="2146576" y="733385"/>
          <a:ext cx="390211" cy="275951"/>
        </a:xfrm>
        <a:prstGeom xmlns:a="http://schemas.openxmlformats.org/drawingml/2006/main" prst="rect">
          <a:avLst/>
        </a:prstGeom>
        <a:noFill xmlns:a="http://schemas.openxmlformats.org/drawingml/2006/main"/>
        <a:ln xmlns:a="http://schemas.openxmlformats.org/drawingml/2006/main" w="0">
          <a:noFill/>
          <a:miter lim="800000"/>
          <a:headEnd/>
          <a:tailEnd/>
        </a:ln>
        <a:effectLst xmlns:a="http://schemas.openxmlformats.org/drawingml/2006/mai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0">
            <a:defRPr sz="1000"/>
          </a:pPr>
          <a:r>
            <a:rPr lang="en-US" altLang="ja-JP" sz="1150" b="1" i="0" strike="noStrike">
              <a:solidFill>
                <a:srgbClr val="000000"/>
              </a:solidFill>
              <a:latin typeface="Arial"/>
              <a:cs typeface="Arial"/>
            </a:rPr>
            <a:t>B</a:t>
          </a:r>
          <a:r>
            <a:rPr lang="en-US" altLang="ja-JP" sz="1150" b="1" i="0" strike="noStrike" baseline="30000">
              <a:solidFill>
                <a:srgbClr val="000000"/>
              </a:solidFill>
              <a:latin typeface="Arial"/>
              <a:cs typeface="Arial"/>
            </a:rPr>
            <a:t>-</a:t>
          </a:r>
        </a:p>
      </cdr:txBody>
    </cdr:sp>
  </cdr:relSizeAnchor>
  <cdr:relSizeAnchor xmlns:cdr="http://schemas.openxmlformats.org/drawingml/2006/chartDrawing">
    <cdr:from>
      <cdr:x>0.76613</cdr:x>
      <cdr:y>0.65228</cdr:y>
    </cdr:from>
    <cdr:to>
      <cdr:x>0.86152</cdr:x>
      <cdr:y>0.79208</cdr:y>
    </cdr:to>
    <cdr:sp macro="" textlink="">
      <cdr:nvSpPr>
        <cdr:cNvPr id="11271" name="Text Box 7"/>
        <cdr:cNvSpPr txBox="1">
          <a:spLocks xmlns:a="http://schemas.openxmlformats.org/drawingml/2006/main" noChangeArrowheads="1"/>
        </cdr:cNvSpPr>
      </cdr:nvSpPr>
      <cdr:spPr bwMode="auto">
        <a:xfrm xmlns:a="http://schemas.openxmlformats.org/drawingml/2006/main">
          <a:off x="2148605" y="1587492"/>
          <a:ext cx="267129" cy="339543"/>
        </a:xfrm>
        <a:prstGeom xmlns:a="http://schemas.openxmlformats.org/drawingml/2006/main" prst="rect">
          <a:avLst/>
        </a:prstGeom>
        <a:noFill xmlns:a="http://schemas.openxmlformats.org/drawingml/2006/main"/>
        <a:ln xmlns:a="http://schemas.openxmlformats.org/drawingml/2006/main" w="0">
          <a:noFill/>
          <a:miter lim="800000"/>
          <a:headEnd/>
          <a:tailEnd/>
        </a:ln>
      </cdr:spPr>
      <cdr:txBody>
        <a:bodyPr xmlns:a="http://schemas.openxmlformats.org/drawingml/2006/main" vertOverflow="clip" wrap="square" lIns="27432" tIns="27432" rIns="27432" bIns="27432" anchor="ctr" upright="1"/>
        <a:lstStyle xmlns:a="http://schemas.openxmlformats.org/drawingml/2006/main"/>
        <a:p xmlns:a="http://schemas.openxmlformats.org/drawingml/2006/main">
          <a:pPr algn="ctr" rtl="1">
            <a:defRPr sz="1000"/>
          </a:pPr>
          <a:r>
            <a:rPr lang="en-US" altLang="ja-JP" sz="1150" b="1" i="0" strike="noStrike">
              <a:solidFill>
                <a:srgbClr val="000000"/>
              </a:solidFill>
              <a:latin typeface="Arial"/>
              <a:cs typeface="Arial"/>
            </a:rPr>
            <a:t>C</a:t>
          </a:r>
        </a:p>
      </cdr:txBody>
    </cdr:sp>
  </cdr:relSizeAnchor>
  <cdr:relSizeAnchor xmlns:cdr="http://schemas.openxmlformats.org/drawingml/2006/chartDrawing">
    <cdr:from>
      <cdr:x>0.38304</cdr:x>
      <cdr:y>0.01719</cdr:y>
    </cdr:from>
    <cdr:to>
      <cdr:x>0.45709</cdr:x>
      <cdr:y>0.10826</cdr:y>
    </cdr:to>
    <cdr:sp macro="" textlink="">
      <cdr:nvSpPr>
        <cdr:cNvPr id="13321" name="Text Box 9"/>
        <cdr:cNvSpPr txBox="1">
          <a:spLocks xmlns:a="http://schemas.openxmlformats.org/drawingml/2006/main" noChangeArrowheads="1"/>
        </cdr:cNvSpPr>
      </cdr:nvSpPr>
      <cdr:spPr bwMode="auto">
        <a:xfrm xmlns:a="http://schemas.openxmlformats.org/drawingml/2006/main">
          <a:off x="1068998"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3.0</a:t>
          </a:r>
        </a:p>
      </cdr:txBody>
    </cdr:sp>
  </cdr:relSizeAnchor>
  <cdr:relSizeAnchor xmlns:cdr="http://schemas.openxmlformats.org/drawingml/2006/chartDrawing">
    <cdr:from>
      <cdr:x>0.88809</cdr:x>
      <cdr:y>0.43539</cdr:y>
    </cdr:from>
    <cdr:to>
      <cdr:x>0.98323</cdr:x>
      <cdr:y>0.52162</cdr:y>
    </cdr:to>
    <cdr:sp macro="" textlink="">
      <cdr:nvSpPr>
        <cdr:cNvPr id="11273" name="Text Box 12"/>
        <cdr:cNvSpPr txBox="1">
          <a:spLocks xmlns:a="http://schemas.openxmlformats.org/drawingml/2006/main" noChangeArrowheads="1"/>
        </cdr:cNvSpPr>
      </cdr:nvSpPr>
      <cdr:spPr bwMode="auto">
        <a:xfrm xmlns:a="http://schemas.openxmlformats.org/drawingml/2006/main">
          <a:off x="2490124" y="1060676"/>
          <a:ext cx="266452" cy="209443"/>
        </a:xfrm>
        <a:prstGeom xmlns:a="http://schemas.openxmlformats.org/drawingml/2006/main" prst="rect">
          <a:avLst/>
        </a:prstGeom>
        <a:noFill xmlns:a="http://schemas.openxmlformats.org/drawingml/2006/main"/>
        <a:ln xmlns:a="http://schemas.openxmlformats.org/drawingml/2006/main" w="1">
          <a:noFill/>
          <a:miter lim="800000"/>
          <a:headEnd/>
          <a:tailEnd/>
        </a:ln>
      </cdr:spPr>
      <cdr:txBody>
        <a:bodyPr xmlns:a="http://schemas.openxmlformats.org/drawingml/2006/main" vertOverflow="clip" wrap="square" lIns="18288" tIns="18288" rIns="18288" bIns="18288" anchor="ctr" upright="1"/>
        <a:lstStyle xmlns:a="http://schemas.openxmlformats.org/drawingml/2006/main"/>
        <a:p xmlns:a="http://schemas.openxmlformats.org/drawingml/2006/main">
          <a:pPr algn="ctr" rtl="1">
            <a:defRPr sz="1000"/>
          </a:pPr>
          <a:r>
            <a:rPr lang="en-US" altLang="ja-JP" sz="1100" b="0" i="0" strike="noStrike">
              <a:solidFill>
                <a:srgbClr val="000000"/>
              </a:solidFill>
              <a:latin typeface="ＭＳ Ｐゴシック"/>
              <a:ea typeface="ＭＳ Ｐゴシック"/>
            </a:rPr>
            <a:t>0.5</a:t>
          </a:r>
        </a:p>
      </cdr:txBody>
    </cdr:sp>
  </cdr:relSizeAnchor>
  <cdr:relSizeAnchor xmlns:cdr="http://schemas.openxmlformats.org/drawingml/2006/chartDrawing">
    <cdr:from>
      <cdr:x>0.61802</cdr:x>
      <cdr:y>0.01719</cdr:y>
    </cdr:from>
    <cdr:to>
      <cdr:x>0.69207</cdr:x>
      <cdr:y>0.10826</cdr:y>
    </cdr:to>
    <cdr:sp macro="" textlink="">
      <cdr:nvSpPr>
        <cdr:cNvPr id="13325" name="Text Box 13"/>
        <cdr:cNvSpPr txBox="1">
          <a:spLocks xmlns:a="http://schemas.openxmlformats.org/drawingml/2006/main" noChangeArrowheads="1"/>
        </cdr:cNvSpPr>
      </cdr:nvSpPr>
      <cdr:spPr bwMode="auto">
        <a:xfrm xmlns:a="http://schemas.openxmlformats.org/drawingml/2006/main">
          <a:off x="1724786" y="41595"/>
          <a:ext cx="206660"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1.5</a:t>
          </a:r>
        </a:p>
      </cdr:txBody>
    </cdr:sp>
  </cdr:relSizeAnchor>
  <cdr:relSizeAnchor xmlns:cdr="http://schemas.openxmlformats.org/drawingml/2006/chartDrawing">
    <cdr:from>
      <cdr:x>0.77402</cdr:x>
      <cdr:y>0.01719</cdr:y>
    </cdr:from>
    <cdr:to>
      <cdr:x>0.96279</cdr:x>
      <cdr:y>0.10826</cdr:y>
    </cdr:to>
    <cdr:sp macro="" textlink="">
      <cdr:nvSpPr>
        <cdr:cNvPr id="13326" name="Text Box 14"/>
        <cdr:cNvSpPr txBox="1">
          <a:spLocks xmlns:a="http://schemas.openxmlformats.org/drawingml/2006/main" noChangeArrowheads="1"/>
        </cdr:cNvSpPr>
      </cdr:nvSpPr>
      <cdr:spPr bwMode="auto">
        <a:xfrm xmlns:a="http://schemas.openxmlformats.org/drawingml/2006/main">
          <a:off x="2160161" y="41595"/>
          <a:ext cx="526811" cy="220317"/>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wrap="none" lIns="18288" tIns="18288" rIns="18288" bIns="18288" anchor="ctr" upright="1">
          <a:spAutoFit/>
        </a:bodyPr>
        <a:lstStyle xmlns:a="http://schemas.openxmlformats.org/drawingml/2006/main"/>
        <a:p xmlns:a="http://schemas.openxmlformats.org/drawingml/2006/main">
          <a:pPr algn="ctr" rtl="0">
            <a:defRPr sz="1000"/>
          </a:pPr>
          <a:r>
            <a:rPr lang="en-US" altLang="ja-JP" sz="1100" b="0" i="0" strike="noStrike">
              <a:solidFill>
                <a:srgbClr val="000000"/>
              </a:solidFill>
              <a:latin typeface="ＭＳ Ｐゴシック"/>
              <a:ea typeface="ＭＳ Ｐゴシック"/>
            </a:rPr>
            <a:t>BEE=1.0</a:t>
          </a:r>
        </a:p>
      </cdr:txBody>
    </cdr:sp>
  </cdr:relSizeAnchor>
</c:userShapes>
</file>

<file path=xl/drawings/drawing4.xml><?xml version="1.0" encoding="utf-8"?>
<c:userShapes xmlns:c="http://schemas.openxmlformats.org/drawingml/2006/chart">
  <cdr:relSizeAnchor xmlns:cdr="http://schemas.openxmlformats.org/drawingml/2006/chartDrawing">
    <cdr:from>
      <cdr:x>0.74621</cdr:x>
      <cdr:y>0.15</cdr:y>
    </cdr:from>
    <cdr:to>
      <cdr:x>1</cdr:x>
      <cdr:y>0.26667</cdr:y>
    </cdr:to>
    <cdr:sp macro="" textlink="結果!$X$39">
      <cdr:nvSpPr>
        <cdr:cNvPr id="2" name="テキスト ボックス 1"/>
        <cdr:cNvSpPr txBox="1"/>
      </cdr:nvSpPr>
      <cdr:spPr>
        <a:xfrm xmlns:a="http://schemas.openxmlformats.org/drawingml/2006/main">
          <a:off x="1876425" y="257175"/>
          <a:ext cx="638175" cy="2000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r"/>
          <a:fld id="{E539BAAA-653E-43D9-ABB5-11F99254EE13}" type="TxLink">
            <a:rPr lang="en-US" altLang="en-US" sz="800" b="1" i="0" u="none" strike="noStrike">
              <a:solidFill>
                <a:sysClr val="windowText" lastClr="000000"/>
              </a:solidFill>
              <a:latin typeface="Arial"/>
              <a:cs typeface="Arial"/>
            </a:rPr>
            <a:pPr algn="r"/>
            <a:t>100%</a:t>
          </a:fld>
          <a:endParaRPr lang="ja-JP" altLang="en-US" sz="800" b="1">
            <a:solidFill>
              <a:sysClr val="windowText" lastClr="000000"/>
            </a:solidFill>
          </a:endParaRPr>
        </a:p>
      </cdr:txBody>
    </cdr:sp>
  </cdr:relSizeAnchor>
  <cdr:relSizeAnchor xmlns:cdr="http://schemas.openxmlformats.org/drawingml/2006/chartDrawing">
    <cdr:from>
      <cdr:x>0.74621</cdr:x>
      <cdr:y>0.32963</cdr:y>
    </cdr:from>
    <cdr:to>
      <cdr:x>1</cdr:x>
      <cdr:y>0.4463</cdr:y>
    </cdr:to>
    <cdr:sp macro="" textlink="結果!$X$40">
      <cdr:nvSpPr>
        <cdr:cNvPr id="10" name="テキスト ボックス 1"/>
        <cdr:cNvSpPr txBox="1"/>
      </cdr:nvSpPr>
      <cdr:spPr>
        <a:xfrm xmlns:a="http://schemas.openxmlformats.org/drawingml/2006/main">
          <a:off x="1876425" y="565150"/>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94370C62-F482-46FC-B9E7-1AB46E82FC1C}" type="TxLink">
            <a:rPr lang="en-US" altLang="en-US" sz="800" b="1" i="0" u="none" strike="noStrike">
              <a:solidFill>
                <a:sysClr val="windowText" lastClr="000000"/>
              </a:solidFill>
              <a:latin typeface="Arial"/>
              <a:cs typeface="Arial"/>
            </a:rPr>
            <a:pPr algn="r"/>
            <a:t>#N/A</a:t>
          </a:fld>
          <a:endParaRPr lang="ja-JP" altLang="en-US" sz="800" b="1">
            <a:solidFill>
              <a:sysClr val="windowText" lastClr="000000"/>
            </a:solidFill>
          </a:endParaRPr>
        </a:p>
      </cdr:txBody>
    </cdr:sp>
  </cdr:relSizeAnchor>
  <cdr:relSizeAnchor xmlns:cdr="http://schemas.openxmlformats.org/drawingml/2006/chartDrawing">
    <cdr:from>
      <cdr:x>0.74621</cdr:x>
      <cdr:y>0.48519</cdr:y>
    </cdr:from>
    <cdr:to>
      <cdr:x>1</cdr:x>
      <cdr:y>0.60185</cdr:y>
    </cdr:to>
    <cdr:sp macro="" textlink="結果!$X$41">
      <cdr:nvSpPr>
        <cdr:cNvPr id="11" name="テキスト ボックス 1"/>
        <cdr:cNvSpPr txBox="1"/>
      </cdr:nvSpPr>
      <cdr:spPr>
        <a:xfrm xmlns:a="http://schemas.openxmlformats.org/drawingml/2006/main">
          <a:off x="1876425" y="831850"/>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70EE8BF1-4C35-4F7A-A7B9-A0C10E00FE59}" type="TxLink">
            <a:rPr lang="en-US" altLang="en-US" sz="800" b="1" i="0" u="none" strike="noStrike">
              <a:solidFill>
                <a:sysClr val="windowText" lastClr="000000"/>
              </a:solidFill>
              <a:latin typeface="Arial"/>
              <a:cs typeface="Arial"/>
            </a:rPr>
            <a:pPr algn="r"/>
            <a:t>#N/A</a:t>
          </a:fld>
          <a:endParaRPr lang="ja-JP" altLang="en-US" sz="800" b="1">
            <a:solidFill>
              <a:sysClr val="windowText" lastClr="000000"/>
            </a:solidFill>
          </a:endParaRPr>
        </a:p>
      </cdr:txBody>
    </cdr:sp>
  </cdr:relSizeAnchor>
  <cdr:relSizeAnchor xmlns:cdr="http://schemas.openxmlformats.org/drawingml/2006/chartDrawing">
    <cdr:from>
      <cdr:x>0.74621</cdr:x>
      <cdr:y>0.66852</cdr:y>
    </cdr:from>
    <cdr:to>
      <cdr:x>1</cdr:x>
      <cdr:y>0.78519</cdr:y>
    </cdr:to>
    <cdr:sp macro="" textlink="結果!$X$42">
      <cdr:nvSpPr>
        <cdr:cNvPr id="12" name="テキスト ボックス 1"/>
        <cdr:cNvSpPr txBox="1"/>
      </cdr:nvSpPr>
      <cdr:spPr>
        <a:xfrm xmlns:a="http://schemas.openxmlformats.org/drawingml/2006/main">
          <a:off x="1876425" y="1146175"/>
          <a:ext cx="638175" cy="2000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r"/>
          <a:fld id="{EFFA19F3-B293-4387-96F6-D455447B89F3}" type="TxLink">
            <a:rPr lang="en-US" altLang="en-US" sz="800" b="1" i="0" u="none" strike="noStrike">
              <a:solidFill>
                <a:sysClr val="windowText" lastClr="000000"/>
              </a:solidFill>
              <a:latin typeface="Arial"/>
              <a:cs typeface="Arial"/>
            </a:rPr>
            <a:pPr algn="r"/>
            <a:t>#N/A</a:t>
          </a:fld>
          <a:endParaRPr lang="ja-JP" altLang="en-US" sz="800" b="1">
            <a:solidFill>
              <a:sysClr val="windowText" lastClr="000000"/>
            </a:solidFill>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T$50">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5CEA0FE4-9E4C-47CC-A16B-F8D9F9B432C6}"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0.11657</cdr:x>
      <cdr:y>0.65863</cdr:y>
    </cdr:from>
    <cdr:to>
      <cdr:x>0.27842</cdr:x>
      <cdr:y>0.80924</cdr:y>
    </cdr:to>
    <cdr:sp macro="" textlink="結果!$T$48">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4E285-A8E4-48AA-B8C1-1F5506CF5C1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0.342</cdr:x>
      <cdr:y>0.65261</cdr:y>
    </cdr:from>
    <cdr:to>
      <cdr:x>0.50385</cdr:x>
      <cdr:y>0.80321</cdr:y>
    </cdr:to>
    <cdr:sp macro="" textlink="結果!$T$49">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2B0D6710-1566-44D7-B091-D4CB2A9E1A7E}"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0.80154</cdr:x>
      <cdr:y>0.65863</cdr:y>
    </cdr:from>
    <cdr:to>
      <cdr:x>0.96339</cdr:x>
      <cdr:y>0.80924</cdr:y>
    </cdr:to>
    <cdr:sp macro="" textlink="結果!$T$51">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3537A117-80E8-4A06-9394-A34AE86B6393}"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6.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W$48">
      <cdr:nvSpPr>
        <cdr:cNvPr id="2" name="テキスト ボックス 1"/>
        <cdr:cNvSpPr txBox="1"/>
      </cdr:nvSpPr>
      <cdr:spPr>
        <a:xfrm xmlns:a="http://schemas.openxmlformats.org/drawingml/2006/main">
          <a:off x="361950" y="1057275"/>
          <a:ext cx="561975"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BB801B7-3F2D-48D5-BD75-950D6880779B}"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0.43837</cdr:x>
      <cdr:y>0.67068</cdr:y>
    </cdr:from>
    <cdr:to>
      <cdr:x>0.62808</cdr:x>
      <cdr:y>0.81526</cdr:y>
    </cdr:to>
    <cdr:sp macro="" textlink="結果!$W$49">
      <cdr:nvSpPr>
        <cdr:cNvPr id="4" name="テキスト ボックス 1"/>
        <cdr:cNvSpPr txBox="1"/>
      </cdr:nvSpPr>
      <cdr:spPr>
        <a:xfrm xmlns:a="http://schemas.openxmlformats.org/drawingml/2006/main">
          <a:off x="1298575"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EA58F746-8187-4480-ABD3-5F491D7B8C0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0.73741</cdr:x>
      <cdr:y>0.67068</cdr:y>
    </cdr:from>
    <cdr:to>
      <cdr:x>0.92712</cdr:x>
      <cdr:y>0.81526</cdr:y>
    </cdr:to>
    <cdr:sp macro="" textlink="結果!$W$50">
      <cdr:nvSpPr>
        <cdr:cNvPr id="5" name="テキスト ボックス 1"/>
        <cdr:cNvSpPr txBox="1"/>
      </cdr:nvSpPr>
      <cdr:spPr>
        <a:xfrm xmlns:a="http://schemas.openxmlformats.org/drawingml/2006/main">
          <a:off x="2184400" y="1060450"/>
          <a:ext cx="561975"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36A66E5-2F2D-42D8-95DB-A2B582AC9157}"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7.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0.1254</cdr:x>
      <cdr:y>0.66265</cdr:y>
    </cdr:from>
    <cdr:to>
      <cdr:x>0.33119</cdr:x>
      <cdr:y>0.80723</cdr:y>
    </cdr:to>
    <cdr:sp macro="" textlink="結果!$Z$48">
      <cdr:nvSpPr>
        <cdr:cNvPr id="2" name="テキスト ボックス 1"/>
        <cdr:cNvSpPr txBox="1"/>
      </cdr:nvSpPr>
      <cdr:spPr>
        <a:xfrm xmlns:a="http://schemas.openxmlformats.org/drawingml/2006/main">
          <a:off x="371475" y="1047750"/>
          <a:ext cx="609600" cy="228600"/>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2EDC34F2-F909-49BF-8C38-015631A37EF7}"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0.42551</cdr:x>
      <cdr:y>0.67068</cdr:y>
    </cdr:from>
    <cdr:to>
      <cdr:x>0.6313</cdr:x>
      <cdr:y>0.81526</cdr:y>
    </cdr:to>
    <cdr:sp macro="" textlink="結果!$Z$49">
      <cdr:nvSpPr>
        <cdr:cNvPr id="4" name="テキスト ボックス 1"/>
        <cdr:cNvSpPr txBox="1"/>
      </cdr:nvSpPr>
      <cdr:spPr>
        <a:xfrm xmlns:a="http://schemas.openxmlformats.org/drawingml/2006/main">
          <a:off x="1260475" y="106045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6766CF0-8F51-4C6C-B250-611FA956B2B4}" type="TxLink">
            <a:rPr lang="en-US" altLang="en-US" sz="1000" b="0" i="0" u="none" strike="noStrike">
              <a:solidFill>
                <a:srgbClr val="000000"/>
              </a:solidFill>
              <a:latin typeface="Arial"/>
              <a:cs typeface="Arial"/>
            </a:rPr>
            <a:pPr algn="ctr"/>
            <a:t> </a:t>
          </a:fld>
          <a:endParaRPr lang="ja-JP" altLang="en-US" sz="1000"/>
        </a:p>
      </cdr:txBody>
    </cdr:sp>
  </cdr:relSizeAnchor>
  <cdr:relSizeAnchor xmlns:cdr="http://schemas.openxmlformats.org/drawingml/2006/chartDrawing">
    <cdr:from>
      <cdr:x>0.72776</cdr:x>
      <cdr:y>0.65863</cdr:y>
    </cdr:from>
    <cdr:to>
      <cdr:x>0.93355</cdr:x>
      <cdr:y>0.80321</cdr:y>
    </cdr:to>
    <cdr:sp macro="" textlink="結果!$Z$50">
      <cdr:nvSpPr>
        <cdr:cNvPr id="5" name="テキスト ボックス 1"/>
        <cdr:cNvSpPr txBox="1"/>
      </cdr:nvSpPr>
      <cdr:spPr>
        <a:xfrm xmlns:a="http://schemas.openxmlformats.org/drawingml/2006/main">
          <a:off x="2155825" y="1041400"/>
          <a:ext cx="609600" cy="228600"/>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1C6A9C2-A184-4FA5-98B2-40AE4AB30FFD}" type="TxLink">
            <a:rPr lang="en-US" altLang="en-US" sz="1000" b="0" i="0" u="none" strike="noStrike">
              <a:solidFill>
                <a:srgbClr val="000000"/>
              </a:solidFill>
              <a:latin typeface="Arial"/>
              <a:cs typeface="Arial"/>
            </a:rPr>
            <a:pPr algn="ctr"/>
            <a:t> </a:t>
          </a:fld>
          <a:endParaRPr lang="ja-JP" altLang="en-US" sz="1000"/>
        </a:p>
      </cdr:txBody>
    </cdr:sp>
  </cdr:relSizeAnchor>
</c:userShapes>
</file>

<file path=xl/drawings/drawing8.xml><?xml version="1.0" encoding="utf-8"?>
<c:userShapes xmlns:c="http://schemas.openxmlformats.org/drawingml/2006/chart">
  <cdr:relSizeAnchor xmlns:cdr="http://schemas.openxmlformats.org/drawingml/2006/chartDrawing">
    <cdr:from>
      <cdr:x>0.07948</cdr:x>
      <cdr:y>0.44568</cdr:y>
    </cdr:from>
    <cdr:to>
      <cdr:x>0.98098</cdr:x>
      <cdr:y>0.44568</cdr:y>
    </cdr:to>
    <cdr:sp macro="" textlink="">
      <cdr:nvSpPr>
        <cdr:cNvPr id="7173" name="Line 5"/>
        <cdr:cNvSpPr>
          <a:spLocks xmlns:a="http://schemas.openxmlformats.org/drawingml/2006/main" noChangeShapeType="1"/>
        </cdr:cNvSpPr>
      </cdr:nvSpPr>
      <cdr:spPr bwMode="auto">
        <a:xfrm xmlns:a="http://schemas.openxmlformats.org/drawingml/2006/main">
          <a:off x="265865" y="703179"/>
          <a:ext cx="2979613"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0.56647</cdr:x>
      <cdr:y>0.65663</cdr:y>
    </cdr:from>
    <cdr:to>
      <cdr:x>0.72832</cdr:x>
      <cdr:y>0.80723</cdr:y>
    </cdr:to>
    <cdr:sp macro="" textlink="結果!$T$61">
      <cdr:nvSpPr>
        <cdr:cNvPr id="2" name="テキスト ボックス 1"/>
        <cdr:cNvSpPr txBox="1"/>
      </cdr:nvSpPr>
      <cdr:spPr>
        <a:xfrm xmlns:a="http://schemas.openxmlformats.org/drawingml/2006/main">
          <a:off x="1866900" y="1038225"/>
          <a:ext cx="533400" cy="238125"/>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C16051E3-1E1E-47B6-B034-7EA0B3511EE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#N/A</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0.11657</cdr:x>
      <cdr:y>0.65863</cdr:y>
    </cdr:from>
    <cdr:to>
      <cdr:x>0.27842</cdr:x>
      <cdr:y>0.80924</cdr:y>
    </cdr:to>
    <cdr:sp macro="" textlink="結果!$T$59">
      <cdr:nvSpPr>
        <cdr:cNvPr id="4" name="テキスト ボックス 1"/>
        <cdr:cNvSpPr txBox="1"/>
      </cdr:nvSpPr>
      <cdr:spPr>
        <a:xfrm xmlns:a="http://schemas.openxmlformats.org/drawingml/2006/main">
          <a:off x="384175"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D78C4F03-F6B8-4145-8923-B76ADE60257E}"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0.342</cdr:x>
      <cdr:y>0.65261</cdr:y>
    </cdr:from>
    <cdr:to>
      <cdr:x>0.50385</cdr:x>
      <cdr:y>0.80321</cdr:y>
    </cdr:to>
    <cdr:sp macro="" textlink="結果!$T$60">
      <cdr:nvSpPr>
        <cdr:cNvPr id="5" name="テキスト ボックス 1"/>
        <cdr:cNvSpPr txBox="1"/>
      </cdr:nvSpPr>
      <cdr:spPr>
        <a:xfrm xmlns:a="http://schemas.openxmlformats.org/drawingml/2006/main">
          <a:off x="1127125" y="1031875"/>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8532BF98-A9FD-4C24-879A-B45B0E1C1C0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0.80154</cdr:x>
      <cdr:y>0.65863</cdr:y>
    </cdr:from>
    <cdr:to>
      <cdr:x>0.96339</cdr:x>
      <cdr:y>0.80924</cdr:y>
    </cdr:to>
    <cdr:sp macro="" textlink="結果!$T$62">
      <cdr:nvSpPr>
        <cdr:cNvPr id="6" name="テキスト ボックス 1"/>
        <cdr:cNvSpPr txBox="1"/>
      </cdr:nvSpPr>
      <cdr:spPr>
        <a:xfrm xmlns:a="http://schemas.openxmlformats.org/drawingml/2006/main">
          <a:off x="2641600" y="1041400"/>
          <a:ext cx="533400" cy="238125"/>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0A1D4462-9699-437B-9885-D27D5A6C1530}"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9.xml><?xml version="1.0" encoding="utf-8"?>
<c:userShapes xmlns:c="http://schemas.openxmlformats.org/drawingml/2006/chart">
  <cdr:relSizeAnchor xmlns:cdr="http://schemas.openxmlformats.org/drawingml/2006/chartDrawing">
    <cdr:from>
      <cdr:x>0.07795</cdr:x>
      <cdr:y>0.44759</cdr:y>
    </cdr:from>
    <cdr:to>
      <cdr:x>0.99338</cdr:x>
      <cdr:y>0.44759</cdr:y>
    </cdr:to>
    <cdr:sp macro="" textlink="">
      <cdr:nvSpPr>
        <cdr:cNvPr id="10244" name="Line 4"/>
        <cdr:cNvSpPr>
          <a:spLocks xmlns:a="http://schemas.openxmlformats.org/drawingml/2006/main" noChangeShapeType="1"/>
        </cdr:cNvSpPr>
      </cdr:nvSpPr>
      <cdr:spPr bwMode="auto">
        <a:xfrm xmlns:a="http://schemas.openxmlformats.org/drawingml/2006/main">
          <a:off x="198942" y="715143"/>
          <a:ext cx="2719059"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0.66867</cdr:y>
    </cdr:from>
    <cdr:to>
      <cdr:x>0.3119</cdr:x>
      <cdr:y>0.81325</cdr:y>
    </cdr:to>
    <cdr:sp macro="" textlink="結果!$W$59">
      <cdr:nvSpPr>
        <cdr:cNvPr id="2" name="テキスト ボックス 1"/>
        <cdr:cNvSpPr txBox="1"/>
      </cdr:nvSpPr>
      <cdr:spPr>
        <a:xfrm xmlns:a="http://schemas.openxmlformats.org/drawingml/2006/main">
          <a:off x="361947" y="1057270"/>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15FAB5FD-FC8D-48BA-AD0E-5FB581A210DC}"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W$60">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E7AFA0B-83C3-46E0-B9DD-7D49F031A672}"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0.74062</cdr:x>
      <cdr:y>0.67671</cdr:y>
    </cdr:from>
    <cdr:to>
      <cdr:x>0.93034</cdr:x>
      <cdr:y>0.82129</cdr:y>
    </cdr:to>
    <cdr:sp macro="" textlink="結果!$W$61">
      <cdr:nvSpPr>
        <cdr:cNvPr id="5" name="テキスト ボックス 1"/>
        <cdr:cNvSpPr txBox="1"/>
      </cdr:nvSpPr>
      <cdr:spPr>
        <a:xfrm xmlns:a="http://schemas.openxmlformats.org/drawingml/2006/main">
          <a:off x="2193912" y="1069975"/>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B6F1FE0-6146-412C-BC9C-1FE08E114054}"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0.06187</cdr:x>
      <cdr:y>0.41145</cdr:y>
    </cdr:from>
    <cdr:to>
      <cdr:x>0.9773</cdr:x>
      <cdr:y>0.41145</cdr:y>
    </cdr:to>
    <cdr:sp macro="" textlink="">
      <cdr:nvSpPr>
        <cdr:cNvPr id="10244" name="Line 4"/>
        <cdr:cNvSpPr>
          <a:spLocks xmlns:a="http://schemas.openxmlformats.org/drawingml/2006/main" noChangeShapeType="1"/>
        </cdr:cNvSpPr>
      </cdr:nvSpPr>
      <cdr:spPr bwMode="auto">
        <a:xfrm xmlns:a="http://schemas.openxmlformats.org/drawingml/2006/main">
          <a:off x="183284" y="650557"/>
          <a:ext cx="2711756" cy="0"/>
        </a:xfrm>
        <a:prstGeom xmlns:a="http://schemas.openxmlformats.org/drawingml/2006/main" prst="line">
          <a:avLst/>
        </a:prstGeom>
        <a:noFill xmlns:a="http://schemas.openxmlformats.org/drawingml/2006/main"/>
        <a:ln xmlns:a="http://schemas.openxmlformats.org/drawingml/2006/main" w="19050">
          <a:solidFill>
            <a:srgbClr val="FF0000"/>
          </a:solidFill>
          <a:round/>
          <a:headEnd/>
          <a:tailEnd/>
        </a:ln>
      </cdr:spPr>
      <cdr:txBody>
        <a:bodyPr xmlns:a="http://schemas.openxmlformats.org/drawingml/2006/main"/>
        <a:lstStyle xmlns:a="http://schemas.openxmlformats.org/drawingml/2006/main"/>
        <a:p xmlns:a="http://schemas.openxmlformats.org/drawingml/2006/main">
          <a:endParaRPr lang="ja-JP" altLang="en-US"/>
        </a:p>
      </cdr:txBody>
    </cdr:sp>
  </cdr:relSizeAnchor>
  <cdr:relSizeAnchor xmlns:cdr="http://schemas.openxmlformats.org/drawingml/2006/chartDrawing">
    <cdr:from>
      <cdr:x>0.12219</cdr:x>
      <cdr:y>0.66265</cdr:y>
    </cdr:from>
    <cdr:to>
      <cdr:x>0.3119</cdr:x>
      <cdr:y>0.80723</cdr:y>
    </cdr:to>
    <cdr:sp macro="" textlink="結果!$Z$59">
      <cdr:nvSpPr>
        <cdr:cNvPr id="2" name="テキスト ボックス 1"/>
        <cdr:cNvSpPr txBox="1"/>
      </cdr:nvSpPr>
      <cdr:spPr>
        <a:xfrm xmlns:a="http://schemas.openxmlformats.org/drawingml/2006/main">
          <a:off x="361947" y="1047745"/>
          <a:ext cx="561973" cy="228603"/>
        </a:xfrm>
        <a:prstGeom xmlns:a="http://schemas.openxmlformats.org/drawingml/2006/main" prst="rect">
          <a:avLst/>
        </a:prstGeom>
      </cdr:spPr>
      <cdr:txBody>
        <a:bodyPr xmlns:a="http://schemas.openxmlformats.org/drawingml/2006/main" vertOverflow="clip" wrap="square" rtlCol="0" anchor="t"/>
        <a:lstStyle xmlns:a="http://schemas.openxmlformats.org/drawingml/2006/main"/>
        <a:p xmlns:a="http://schemas.openxmlformats.org/drawingml/2006/main">
          <a:pPr algn="ctr"/>
          <a:fld id="{34BADD3B-4FFE-491B-800F-C3D6AD91C9D5}"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#N/A</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0.43837</cdr:x>
      <cdr:y>0.6767</cdr:y>
    </cdr:from>
    <cdr:to>
      <cdr:x>0.62808</cdr:x>
      <cdr:y>0.82128</cdr:y>
    </cdr:to>
    <cdr:sp macro="" textlink="結果!$Z$60">
      <cdr:nvSpPr>
        <cdr:cNvPr id="4" name="テキスト ボックス 1"/>
        <cdr:cNvSpPr txBox="1"/>
      </cdr:nvSpPr>
      <cdr:spPr>
        <a:xfrm xmlns:a="http://schemas.openxmlformats.org/drawingml/2006/main">
          <a:off x="1298570" y="1069971"/>
          <a:ext cx="56197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45B25313-F4FB-43CD-9FE3-490D1A780D37}"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dr:relSizeAnchor xmlns:cdr="http://schemas.openxmlformats.org/drawingml/2006/chartDrawing">
    <cdr:from>
      <cdr:x>0.7374</cdr:x>
      <cdr:y>0.67068</cdr:y>
    </cdr:from>
    <cdr:to>
      <cdr:x>0.92712</cdr:x>
      <cdr:y>0.81526</cdr:y>
    </cdr:to>
    <cdr:sp macro="" textlink="結果!$Z$61">
      <cdr:nvSpPr>
        <cdr:cNvPr id="5" name="テキスト ボックス 1"/>
        <cdr:cNvSpPr txBox="1"/>
      </cdr:nvSpPr>
      <cdr:spPr>
        <a:xfrm xmlns:a="http://schemas.openxmlformats.org/drawingml/2006/main">
          <a:off x="2184387" y="1060450"/>
          <a:ext cx="562003" cy="228603"/>
        </a:xfrm>
        <a:prstGeom xmlns:a="http://schemas.openxmlformats.org/drawingml/2006/main" prst="rect">
          <a:avLst/>
        </a:prstGeom>
      </cdr:spPr>
      <cdr:txBody>
        <a:bodyPr xmlns:a="http://schemas.openxmlformats.org/drawingml/2006/main" wrap="square" rtlCol="0" anchor="t"/>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fld id="{94CF66CB-38F9-467D-93E6-1742709CCFAD}" type="TxLink">
            <a:rPr lang="en-US" altLang="en-US" sz="1000" b="0" i="0" u="none" strike="noStrike">
              <a:solidFill>
                <a:srgbClr val="000000"/>
              </a:solidFill>
              <a:latin typeface="Arial" panose="020B0604020202020204" pitchFamily="34" charset="0"/>
              <a:ea typeface="ＭＳ Ｐゴシック"/>
              <a:cs typeface="Arial" panose="020B0604020202020204" pitchFamily="34" charset="0"/>
            </a:rPr>
            <a:pPr algn="ctr"/>
            <a:t> </a:t>
          </a:fld>
          <a:endParaRPr lang="ja-JP" altLang="en-US" sz="1000">
            <a:latin typeface="Arial" panose="020B0604020202020204" pitchFamily="34" charset="0"/>
            <a:cs typeface="Arial" panose="020B0604020202020204" pitchFamily="34" charset="0"/>
          </a:endParaRPr>
        </a:p>
      </cdr:txBody>
    </cdr:sp>
  </cdr:relSizeAnchor>
</c:userShapes>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190500</xdr:colOff>
          <xdr:row>8</xdr:row>
          <xdr:rowOff>152400</xdr:rowOff>
        </xdr:from>
        <xdr:to>
          <xdr:col>2</xdr:col>
          <xdr:colOff>0</xdr:colOff>
          <xdr:row>9</xdr:row>
          <xdr:rowOff>152400</xdr:rowOff>
        </xdr:to>
        <xdr:sp macro="" textlink="">
          <xdr:nvSpPr>
            <xdr:cNvPr id="3073" name="Option Button 1" hidden="1">
              <a:extLst>
                <a:ext uri="{63B3BB69-23CF-44E3-9099-C40C66FF867C}">
                  <a14:compatExt spid="_x0000_s3073"/>
                </a:ext>
                <a:ext uri="{FF2B5EF4-FFF2-40B4-BE49-F238E27FC236}">
                  <a16:creationId xmlns:a16="http://schemas.microsoft.com/office/drawing/2014/main" id="{00000000-0008-0000-04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14</xdr:row>
          <xdr:rowOff>133350</xdr:rowOff>
        </xdr:from>
        <xdr:to>
          <xdr:col>2</xdr:col>
          <xdr:colOff>0</xdr:colOff>
          <xdr:row>16</xdr:row>
          <xdr:rowOff>19050</xdr:rowOff>
        </xdr:to>
        <xdr:sp macro="" textlink="">
          <xdr:nvSpPr>
            <xdr:cNvPr id="3074" name="Option Button 2" hidden="1">
              <a:extLst>
                <a:ext uri="{63B3BB69-23CF-44E3-9099-C40C66FF867C}">
                  <a14:compatExt spid="_x0000_s3074"/>
                </a:ext>
                <a:ext uri="{FF2B5EF4-FFF2-40B4-BE49-F238E27FC236}">
                  <a16:creationId xmlns:a16="http://schemas.microsoft.com/office/drawing/2014/main" id="{00000000-0008-0000-04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18</xdr:row>
          <xdr:rowOff>66675</xdr:rowOff>
        </xdr:from>
        <xdr:to>
          <xdr:col>2</xdr:col>
          <xdr:colOff>0</xdr:colOff>
          <xdr:row>20</xdr:row>
          <xdr:rowOff>114300</xdr:rowOff>
        </xdr:to>
        <xdr:sp macro="" textlink="">
          <xdr:nvSpPr>
            <xdr:cNvPr id="3075" name="Option Button 3" hidden="1">
              <a:extLst>
                <a:ext uri="{63B3BB69-23CF-44E3-9099-C40C66FF867C}">
                  <a14:compatExt spid="_x0000_s3075"/>
                </a:ext>
                <a:ext uri="{FF2B5EF4-FFF2-40B4-BE49-F238E27FC236}">
                  <a16:creationId xmlns:a16="http://schemas.microsoft.com/office/drawing/2014/main" id="{00000000-0008-0000-04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22</xdr:row>
          <xdr:rowOff>180975</xdr:rowOff>
        </xdr:from>
        <xdr:to>
          <xdr:col>2</xdr:col>
          <xdr:colOff>0</xdr:colOff>
          <xdr:row>24</xdr:row>
          <xdr:rowOff>0</xdr:rowOff>
        </xdr:to>
        <xdr:sp macro="" textlink="">
          <xdr:nvSpPr>
            <xdr:cNvPr id="3076" name="Option Button 4" hidden="1">
              <a:extLst>
                <a:ext uri="{63B3BB69-23CF-44E3-9099-C40C66FF867C}">
                  <a14:compatExt spid="_x0000_s3076"/>
                </a:ext>
                <a:ext uri="{FF2B5EF4-FFF2-40B4-BE49-F238E27FC236}">
                  <a16:creationId xmlns:a16="http://schemas.microsoft.com/office/drawing/2014/main" id="{00000000-0008-0000-04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190500</xdr:colOff>
          <xdr:row>26</xdr:row>
          <xdr:rowOff>142875</xdr:rowOff>
        </xdr:from>
        <xdr:to>
          <xdr:col>2</xdr:col>
          <xdr:colOff>0</xdr:colOff>
          <xdr:row>28</xdr:row>
          <xdr:rowOff>0</xdr:rowOff>
        </xdr:to>
        <xdr:sp macro="" textlink="">
          <xdr:nvSpPr>
            <xdr:cNvPr id="3077" name="Option Button 5" hidden="1">
              <a:extLst>
                <a:ext uri="{63B3BB69-23CF-44E3-9099-C40C66FF867C}">
                  <a14:compatExt spid="_x0000_s3077"/>
                </a:ext>
                <a:ext uri="{FF2B5EF4-FFF2-40B4-BE49-F238E27FC236}">
                  <a16:creationId xmlns:a16="http://schemas.microsoft.com/office/drawing/2014/main" id="{00000000-0008-0000-04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xdr:oneCellAnchor>
    <xdr:from>
      <xdr:col>6</xdr:col>
      <xdr:colOff>28575</xdr:colOff>
      <xdr:row>204</xdr:row>
      <xdr:rowOff>76199</xdr:rowOff>
    </xdr:from>
    <xdr:ext cx="1063364" cy="150041"/>
    <xdr:sp macro="" textlink="">
      <xdr:nvSpPr>
        <xdr:cNvPr id="2" name="テキスト ボックス 1">
          <a:extLst>
            <a:ext uri="{FF2B5EF4-FFF2-40B4-BE49-F238E27FC236}">
              <a16:creationId xmlns:a16="http://schemas.microsoft.com/office/drawing/2014/main" id="{00000000-0008-0000-0C00-000002000000}"/>
            </a:ext>
          </a:extLst>
        </xdr:cNvPr>
        <xdr:cNvSpPr txBox="1"/>
      </xdr:nvSpPr>
      <xdr:spPr>
        <a:xfrm>
          <a:off x="1562100" y="52216049"/>
          <a:ext cx="1063364" cy="150041"/>
        </a:xfrm>
        <a:prstGeom prst="rect">
          <a:avLst/>
        </a:prstGeom>
        <a:solidFill>
          <a:srgbClr val="FFFFCC"/>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none" lIns="36000" tIns="0" rIns="0" bIns="0" rtlCol="0" anchor="ctr" anchorCtr="1">
          <a:spAutoFit/>
        </a:bodyPr>
        <a:lstStyle/>
        <a:p>
          <a:r>
            <a:rPr kumimoji="1" lang="en-US" altLang="ja-JP" sz="900">
              <a:latin typeface="+mn-ea"/>
              <a:ea typeface="+mn-ea"/>
            </a:rPr>
            <a:t>(</a:t>
          </a:r>
          <a:r>
            <a:rPr kumimoji="1" lang="ja-JP" altLang="en-US" sz="900">
              <a:latin typeface="+mn-ea"/>
              <a:ea typeface="+mn-ea"/>
            </a:rPr>
            <a:t>該当するレベルなし</a:t>
          </a:r>
          <a:r>
            <a:rPr kumimoji="1" lang="en-US" altLang="ja-JP" sz="900">
              <a:latin typeface="+mn-ea"/>
              <a:ea typeface="+mn-ea"/>
            </a:rPr>
            <a:t>)</a:t>
          </a:r>
          <a:endParaRPr kumimoji="1" lang="ja-JP" altLang="en-US" sz="900">
            <a:latin typeface="+mn-ea"/>
            <a:ea typeface="+mn-ea"/>
          </a:endParaRPr>
        </a:p>
      </xdr:txBody>
    </xdr:sp>
    <xdr:clientData/>
  </xdr:oneCellAnchor>
</xdr:wsDr>
</file>

<file path=xl/drawings/drawing13.xml><?xml version="1.0" encoding="utf-8"?>
<xdr:wsDr xmlns:xdr="http://schemas.openxmlformats.org/drawingml/2006/spreadsheetDrawing" xmlns:a="http://schemas.openxmlformats.org/drawingml/2006/main">
  <xdr:twoCellAnchor>
    <xdr:from>
      <xdr:col>7</xdr:col>
      <xdr:colOff>314325</xdr:colOff>
      <xdr:row>0</xdr:row>
      <xdr:rowOff>104775</xdr:rowOff>
    </xdr:from>
    <xdr:to>
      <xdr:col>17</xdr:col>
      <xdr:colOff>657225</xdr:colOff>
      <xdr:row>35</xdr:row>
      <xdr:rowOff>161925</xdr:rowOff>
    </xdr:to>
    <xdr:sp macro="" textlink="">
      <xdr:nvSpPr>
        <xdr:cNvPr id="4098" name="Text Box 2">
          <a:extLst>
            <a:ext uri="{FF2B5EF4-FFF2-40B4-BE49-F238E27FC236}">
              <a16:creationId xmlns:a16="http://schemas.microsoft.com/office/drawing/2014/main" id="{00000000-0008-0000-1200-000002100000}"/>
            </a:ext>
          </a:extLst>
        </xdr:cNvPr>
        <xdr:cNvSpPr txBox="1">
          <a:spLocks noChangeArrowheads="1"/>
        </xdr:cNvSpPr>
      </xdr:nvSpPr>
      <xdr:spPr bwMode="auto">
        <a:xfrm>
          <a:off x="4400550" y="104775"/>
          <a:ext cx="7010400" cy="6124575"/>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FF0000"/>
              </a:solidFill>
              <a:latin typeface="ＭＳ Ｐゴシック"/>
              <a:ea typeface="ＭＳ Ｐゴシック"/>
            </a:rPr>
            <a:t>　　</a:t>
          </a:r>
        </a:p>
        <a:p>
          <a:pPr algn="l" rtl="0">
            <a:lnSpc>
              <a:spcPts val="1300"/>
            </a:lnSpc>
            <a:defRPr sz="1000"/>
          </a:pPr>
          <a:r>
            <a:rPr lang="ja-JP" altLang="en-US" sz="1100" b="0" i="0" u="none" strike="noStrike" baseline="0">
              <a:solidFill>
                <a:srgbClr val="FF0000"/>
              </a:solidFill>
              <a:latin typeface="ＭＳ Ｐゴシック"/>
              <a:ea typeface="ＭＳ Ｐゴシック"/>
            </a:rPr>
            <a:t>　　　</a:t>
          </a:r>
          <a:r>
            <a:rPr lang="ja-JP" altLang="en-US" sz="1100" b="0" i="0" u="none" strike="noStrike" baseline="0">
              <a:solidFill>
                <a:srgbClr val="000000"/>
              </a:solidFill>
              <a:latin typeface="ＭＳ Ｐゴシック"/>
              <a:ea typeface="ＭＳ Ｐゴシック"/>
            </a:rPr>
            <a:t>建築環境総合性能評価システム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建築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既存</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　評価ソフト</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Microsoft Excel 20</a:t>
          </a:r>
          <a:r>
            <a:rPr lang="en-US" altLang="ja-JP" sz="1100" b="0" i="0" u="none" strike="noStrike" baseline="0">
              <a:solidFill>
                <a:srgbClr val="000000"/>
              </a:solidFill>
              <a:latin typeface="ＭＳ Ｐゴシック"/>
              <a:ea typeface="ＭＳ Ｐゴシック"/>
            </a:rPr>
            <a:t>13</a:t>
          </a:r>
          <a:r>
            <a:rPr lang="ja-JP" altLang="en-US" sz="1100" b="0" i="0" u="none" strike="noStrike" baseline="0">
              <a:solidFill>
                <a:srgbClr val="000000"/>
              </a:solidFill>
              <a:latin typeface="ＭＳ Ｐゴシック"/>
              <a:ea typeface="ＭＳ Ｐゴシック"/>
            </a:rPr>
            <a:t>版</a:t>
          </a:r>
        </a:p>
        <a:p>
          <a:pPr algn="l" rtl="0">
            <a:lnSpc>
              <a:spcPts val="1300"/>
            </a:lnSpc>
            <a:defRPr sz="1000"/>
          </a:pPr>
          <a:r>
            <a:rPr lang="ja-JP" altLang="en-US" sz="1100" b="0" i="0" u="none" strike="noStrike" baseline="0">
              <a:solidFill>
                <a:srgbClr val="000000"/>
              </a:solidFill>
              <a:latin typeface="ＭＳ Ｐゴシック"/>
              <a:ea typeface="ＭＳ Ｐゴシック"/>
            </a:rPr>
            <a:t>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BD</a:t>
          </a:r>
          <a:r>
            <a:rPr lang="en-US" altLang="ja-JP" sz="1100" b="0" i="0" u="none" strike="noStrike" baseline="0">
              <a:solidFill>
                <a:srgbClr val="000000"/>
              </a:solidFill>
              <a:latin typeface="ＭＳ Ｐゴシック"/>
              <a:ea typeface="ＭＳ Ｐゴシック"/>
            </a:rPr>
            <a:t>_EB</a:t>
          </a:r>
          <a:r>
            <a:rPr lang="ja-JP" altLang="en-US" sz="1100" b="0" i="0" u="none" strike="noStrike" baseline="0">
              <a:solidFill>
                <a:srgbClr val="000000"/>
              </a:solidFill>
              <a:latin typeface="ＭＳ Ｐゴシック"/>
              <a:ea typeface="ＭＳ Ｐゴシック"/>
            </a:rPr>
            <a:t>_2014(v.</a:t>
          </a:r>
          <a:r>
            <a:rPr lang="en-US" altLang="ja-JP" sz="1100" b="0" i="0" u="none" strike="noStrike" baseline="0">
              <a:solidFill>
                <a:srgbClr val="000000"/>
              </a:solidFill>
              <a:latin typeface="ＭＳ Ｐゴシック"/>
              <a:ea typeface="ＭＳ Ｐゴシック"/>
            </a:rPr>
            <a:t>3.03</a:t>
          </a:r>
          <a:r>
            <a:rPr lang="ja-JP" altLang="en-US" sz="1100" b="0" i="0" u="none" strike="noStrike" baseline="0">
              <a:solidFill>
                <a:srgbClr val="000000"/>
              </a:solidFill>
              <a:latin typeface="ＭＳ Ｐゴシック"/>
              <a:ea typeface="ＭＳ Ｐゴシック"/>
            </a:rPr>
            <a:t>)</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2014年 </a:t>
          </a:r>
          <a:r>
            <a:rPr lang="en-US" altLang="ja-JP" sz="1100" b="0" i="0" u="none" strike="noStrike" baseline="0">
              <a:solidFill>
                <a:srgbClr val="000000"/>
              </a:solidFill>
              <a:latin typeface="ＭＳ Ｐゴシック"/>
              <a:ea typeface="ＭＳ Ｐゴシック"/>
            </a:rPr>
            <a:t>7</a:t>
          </a:r>
          <a:r>
            <a:rPr lang="ja-JP" altLang="en-US" sz="1100" b="0" i="0" u="none" strike="noStrike" baseline="0">
              <a:solidFill>
                <a:srgbClr val="000000"/>
              </a:solidFill>
              <a:latin typeface="ＭＳ Ｐゴシック"/>
              <a:ea typeface="ＭＳ Ｐゴシック"/>
            </a:rPr>
            <a:t>月発行　（2004年 7月初版）</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      編集協力　　 　国土交通省住宅局</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ソフト開発者　 一般社団法人　日本サステナブル建築協会　（JSBC)　　　</a:t>
          </a:r>
        </a:p>
        <a:p>
          <a:pPr algn="l" rtl="0">
            <a:defRPr sz="1000"/>
          </a:pPr>
          <a:r>
            <a:rPr lang="ja-JP" altLang="en-US" sz="1100" b="0" i="0" u="none" strike="noStrike" baseline="0">
              <a:solidFill>
                <a:srgbClr val="000000"/>
              </a:solidFill>
              <a:latin typeface="ＭＳ Ｐゴシック"/>
              <a:ea typeface="ＭＳ Ｐゴシック"/>
            </a:rPr>
            <a:t>                          ( 建築物の総合的環境評価研究委員会 )　</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企画・発行　　一般財団法人　建築環境・省エネルギー機構　　　　　　</a:t>
          </a:r>
        </a:p>
        <a:p>
          <a:pPr algn="l" rtl="0">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ソフトの内容等に関する問い合わせ　  </a:t>
          </a:r>
        </a:p>
        <a:p>
          <a:pPr algn="l" rtl="0">
            <a:lnSpc>
              <a:spcPts val="1300"/>
            </a:lnSpc>
            <a:defRPr sz="1000"/>
          </a:pPr>
          <a:r>
            <a:rPr lang="ja-JP" altLang="en-US" sz="1100" b="0" i="0" u="none" strike="noStrike" baseline="0">
              <a:solidFill>
                <a:srgbClr val="000000"/>
              </a:solidFill>
              <a:latin typeface="ＭＳ Ｐゴシック"/>
              <a:ea typeface="ＭＳ Ｐゴシック"/>
            </a:rPr>
            <a:t>　　　　　本ソフトの内容に関するご質問は、下記連絡先までE-mailにてお送りください。</a:t>
          </a:r>
        </a:p>
        <a:p>
          <a:pPr algn="l" rtl="0">
            <a:lnSpc>
              <a:spcPts val="1300"/>
            </a:lnSpc>
            <a:defRPr sz="1000"/>
          </a:pPr>
          <a:r>
            <a:rPr lang="ja-JP" altLang="en-US" sz="1100" b="0" i="0" u="none" strike="noStrike" baseline="0">
              <a:solidFill>
                <a:srgbClr val="000000"/>
              </a:solidFill>
              <a:latin typeface="ＭＳ Ｐゴシック"/>
              <a:ea typeface="ＭＳ Ｐゴシック"/>
            </a:rPr>
            <a:t>　　　　　なお、回答までに日数を要する場合がありますので、予めご了承ください。</a:t>
          </a:r>
        </a:p>
        <a:p>
          <a:pPr algn="l" rtl="0">
            <a:defRPr sz="1000"/>
          </a:pPr>
          <a:r>
            <a:rPr lang="ja-JP" altLang="en-US" sz="1100" b="0" i="0" u="none" strike="noStrike" baseline="0">
              <a:solidFill>
                <a:srgbClr val="000000"/>
              </a:solidFill>
              <a:latin typeface="ＭＳ Ｐゴシック"/>
              <a:ea typeface="ＭＳ Ｐゴシック"/>
            </a:rPr>
            <a:t>　　　　　また、Microsoft Windows、Microsoft Excel 20</a:t>
          </a:r>
          <a:r>
            <a:rPr lang="en-US" altLang="ja-JP" sz="1100" b="0" i="0" u="none" strike="noStrike" baseline="0">
              <a:solidFill>
                <a:srgbClr val="000000"/>
              </a:solidFill>
              <a:latin typeface="ＭＳ Ｐゴシック"/>
              <a:ea typeface="ＭＳ Ｐゴシック"/>
            </a:rPr>
            <a:t>13</a:t>
          </a:r>
          <a:r>
            <a:rPr lang="ja-JP" altLang="en-US" sz="1100" b="0" i="0" u="none" strike="noStrike" baseline="0">
              <a:solidFill>
                <a:srgbClr val="000000"/>
              </a:solidFill>
              <a:latin typeface="ＭＳ Ｐゴシック"/>
              <a:ea typeface="ＭＳ Ｐゴシック"/>
            </a:rPr>
            <a:t> 等の操作に関しては、</a:t>
          </a:r>
        </a:p>
        <a:p>
          <a:pPr algn="l" rtl="0">
            <a:lnSpc>
              <a:spcPts val="1300"/>
            </a:lnSpc>
            <a:defRPr sz="1000"/>
          </a:pPr>
          <a:r>
            <a:rPr lang="ja-JP" altLang="en-US" sz="1100" b="0" i="0" u="none" strike="noStrike" baseline="0">
              <a:solidFill>
                <a:srgbClr val="000000"/>
              </a:solidFill>
              <a:latin typeface="ＭＳ Ｐゴシック"/>
              <a:ea typeface="ＭＳ Ｐゴシック"/>
            </a:rPr>
            <a:t>          それぞれの操作マニュアルをご覧ください。</a:t>
          </a:r>
        </a:p>
        <a:p>
          <a:pPr algn="l" rtl="0">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一般社団法人　日本サステナブル建築協会</a:t>
          </a:r>
        </a:p>
        <a:p>
          <a:pPr algn="l" rtl="0">
            <a:lnSpc>
              <a:spcPts val="1300"/>
            </a:lnSpc>
            <a:defRPr sz="1000"/>
          </a:pPr>
          <a:r>
            <a:rPr lang="ja-JP" altLang="en-US" sz="1100" b="0" i="0" u="none" strike="noStrike" baseline="0">
              <a:solidFill>
                <a:srgbClr val="000000"/>
              </a:solidFill>
              <a:latin typeface="ＭＳ Ｐゴシック"/>
              <a:ea typeface="ＭＳ Ｐゴシック"/>
            </a:rPr>
            <a:t>　　　　　E-Mail  casbee-info@jsbc.or.jp</a:t>
          </a:r>
        </a:p>
        <a:p>
          <a:pPr algn="l" rtl="0">
            <a:lnSpc>
              <a:spcPts val="1300"/>
            </a:lnSpc>
            <a:defRPr sz="1000"/>
          </a:pPr>
          <a:r>
            <a:rPr lang="ja-JP" altLang="en-US" sz="1100" b="0" i="0" u="none" strike="noStrike" baseline="0">
              <a:solidFill>
                <a:srgbClr val="000000"/>
              </a:solidFill>
              <a:latin typeface="ＭＳ Ｐゴシック"/>
              <a:ea typeface="ＭＳ Ｐゴシック"/>
            </a:rPr>
            <a:t>　　　　　URL　http://www.jsbc.or.jp/CASBEE　　</a:t>
          </a:r>
        </a:p>
        <a:p>
          <a:pPr algn="l" rtl="0">
            <a:lnSpc>
              <a:spcPts val="1300"/>
            </a:lnSpc>
            <a:defRPr sz="1000"/>
          </a:pPr>
          <a:r>
            <a:rPr lang="ja-JP" altLang="en-US" sz="1100" b="0" i="0" u="none" strike="noStrike" baseline="0">
              <a:solidFill>
                <a:srgbClr val="000000"/>
              </a:solidFill>
              <a:latin typeface="ＭＳ Ｐゴシック"/>
              <a:ea typeface="ＭＳ Ｐゴシック"/>
            </a:rPr>
            <a:t>　　　　　</a:t>
          </a:r>
        </a:p>
        <a:p>
          <a:pPr algn="l" rtl="0">
            <a:lnSpc>
              <a:spcPts val="1300"/>
            </a:lnSpc>
            <a:defRPr sz="1000"/>
          </a:pPr>
          <a:r>
            <a:rPr lang="ja-JP" altLang="en-US" sz="1100" b="0" i="0" u="none" strike="noStrike" baseline="0">
              <a:solidFill>
                <a:srgbClr val="000000"/>
              </a:solidFill>
              <a:latin typeface="ＭＳ Ｐゴシック"/>
              <a:ea typeface="ＭＳ Ｐゴシック"/>
            </a:rPr>
            <a:t> Copyright ©2014 Japan Sustainable Building Consortium (JSBC)</a:t>
          </a:r>
        </a:p>
      </xdr:txBody>
    </xdr:sp>
    <xdr:clientData/>
  </xdr:twoCellAnchor>
  <xdr:twoCellAnchor>
    <xdr:from>
      <xdr:col>1</xdr:col>
      <xdr:colOff>28575</xdr:colOff>
      <xdr:row>0</xdr:row>
      <xdr:rowOff>104775</xdr:rowOff>
    </xdr:from>
    <xdr:to>
      <xdr:col>7</xdr:col>
      <xdr:colOff>180975</xdr:colOff>
      <xdr:row>35</xdr:row>
      <xdr:rowOff>161925</xdr:rowOff>
    </xdr:to>
    <xdr:sp macro="" textlink="">
      <xdr:nvSpPr>
        <xdr:cNvPr id="4099" name="Text Box 3">
          <a:extLst>
            <a:ext uri="{FF2B5EF4-FFF2-40B4-BE49-F238E27FC236}">
              <a16:creationId xmlns:a16="http://schemas.microsoft.com/office/drawing/2014/main" id="{00000000-0008-0000-1200-000003100000}"/>
            </a:ext>
          </a:extLst>
        </xdr:cNvPr>
        <xdr:cNvSpPr txBox="1">
          <a:spLocks noChangeArrowheads="1"/>
        </xdr:cNvSpPr>
      </xdr:nvSpPr>
      <xdr:spPr bwMode="auto">
        <a:xfrm>
          <a:off x="114300" y="104775"/>
          <a:ext cx="4152900" cy="6124575"/>
        </a:xfrm>
        <a:prstGeom prst="rect">
          <a:avLst/>
        </a:prstGeom>
        <a:solidFill>
          <a:srgbClr val="FFFFFF"/>
        </a:solidFill>
        <a:ln w="12700">
          <a:solidFill>
            <a:srgbClr val="000000"/>
          </a:solidFill>
          <a:miter lim="800000"/>
          <a:headEnd/>
          <a:tailEnd/>
        </a:ln>
      </xdr:spPr>
      <xdr:txBody>
        <a:bodyPr vertOverflow="clip" wrap="square" lIns="180000" tIns="180000" rIns="180000" bIns="180000" anchor="t"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注意事項</a:t>
          </a:r>
        </a:p>
        <a:p>
          <a:pPr algn="l" rtl="0">
            <a:lnSpc>
              <a:spcPts val="1300"/>
            </a:lnSpc>
            <a:defRPr sz="1000"/>
          </a:pPr>
          <a:r>
            <a:rPr lang="ja-JP" altLang="en-US" sz="1100" b="0" i="0" u="none" strike="noStrike" baseline="0">
              <a:solidFill>
                <a:srgbClr val="000000"/>
              </a:solidFill>
              <a:latin typeface="ＭＳ Ｐゴシック"/>
              <a:ea typeface="ＭＳ Ｐゴシック"/>
            </a:rPr>
            <a:t>1) Microsoft Excel</a:t>
          </a:r>
          <a:r>
            <a:rPr lang="ja-JP" altLang="en-US" sz="1100" b="0" i="0" u="none" strike="noStrike" baseline="0">
              <a:solidFill>
                <a:srgbClr val="FF0000"/>
              </a:solidFill>
              <a:latin typeface="ＭＳ Ｐゴシック"/>
              <a:ea typeface="ＭＳ Ｐゴシック"/>
            </a:rPr>
            <a:t>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は、米国Microsoft Corporationの米国およびその他の国におけ る登録商標です。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2) その他、記載されている会社名、製品名はすべて各社の登録商標または商標です。</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3) 「CASBEE</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建築</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既存</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　評価ソフト」は、Microsoft </a:t>
          </a:r>
          <a:r>
            <a:rPr lang="ja-JP" altLang="en-US" sz="1100" b="0" i="0" u="none" strike="noStrike" baseline="0">
              <a:solidFill>
                <a:sysClr val="windowText" lastClr="000000"/>
              </a:solidFill>
              <a:latin typeface="ＭＳ Ｐゴシック"/>
              <a:ea typeface="ＭＳ Ｐゴシック"/>
            </a:rPr>
            <a:t>Excel </a:t>
          </a:r>
          <a:r>
            <a:rPr lang="en-US" altLang="ja-JP" sz="1100" b="0" i="0" u="none" strike="noStrike" baseline="0">
              <a:solidFill>
                <a:sysClr val="windowText" lastClr="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上で開発されたデータファイルです。これらのデータファイルは、著作権法上の保護を受けています。開発・著者、企画・発行者の許諾を得ず、無断で複製、転載(改造した場合も含む）することは禁止されてお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4) ただし、この評価ソフトを用いて、利用者の皆様が作成した入力および出力結果を使用する場合はこの限りではありません。その場合、この評価ソフトを利用した旨を明記してください。なお、パソコンの画面画像を使用する場合には、別途、Microsoft Corporationの許諾が必要になる場合がありますのでご注意ください。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5) この評価ソフトおよび操作マニュアルを運用した結果の影響については、いっさい責任を負いかねますのでご了承ください。</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6) この評価ソフトの仕様および操作マニュアルの記載事項は、将来予告なしに変更することがあります。</a:t>
          </a:r>
        </a:p>
        <a:p>
          <a:pPr algn="l" rtl="0">
            <a:lnSpc>
              <a:spcPts val="1300"/>
            </a:lnSpc>
            <a:defRPr sz="1000"/>
          </a:pPr>
          <a:endParaRPr lang="ja-JP" altLang="en-US" sz="1100" b="0" i="0" u="none" strike="noStrike" baseline="0">
            <a:solidFill>
              <a:srgbClr val="000000"/>
            </a:solidFill>
            <a:latin typeface="ＭＳ Ｐゴシック"/>
            <a:ea typeface="ＭＳ Ｐゴシック"/>
          </a:endParaRPr>
        </a:p>
        <a:p>
          <a:pPr algn="l" rtl="0">
            <a:defRPr sz="1000"/>
          </a:pPr>
          <a:r>
            <a:rPr lang="ja-JP" altLang="en-US" sz="1100" b="0" i="0" u="none" strike="noStrike" baseline="0">
              <a:solidFill>
                <a:srgbClr val="000000"/>
              </a:solidFill>
              <a:latin typeface="ＭＳ Ｐゴシック"/>
              <a:ea typeface="ＭＳ Ｐゴシック"/>
            </a:rPr>
            <a:t>7) この評価ソフトは Microsoft Excel </a:t>
          </a:r>
          <a:r>
            <a:rPr lang="en-US" altLang="ja-JP" sz="1100" b="0" i="0" u="none" strike="noStrike" baseline="0">
              <a:solidFill>
                <a:srgbClr val="000000"/>
              </a:solidFill>
              <a:latin typeface="ＭＳ Ｐゴシック"/>
              <a:ea typeface="ＭＳ Ｐゴシック"/>
            </a:rPr>
            <a:t>2013 </a:t>
          </a:r>
          <a:r>
            <a:rPr lang="ja-JP" altLang="en-US" sz="1100" b="0" i="0" u="none" strike="noStrike" baseline="0">
              <a:solidFill>
                <a:srgbClr val="000000"/>
              </a:solidFill>
              <a:latin typeface="ＭＳ Ｐゴシック"/>
              <a:ea typeface="ＭＳ Ｐゴシック"/>
            </a:rPr>
            <a:t>で作成されたものであり、全てのコンピューター上での動作を保障するものではありません。</a:t>
          </a:r>
        </a:p>
        <a:p>
          <a:pPr algn="l" rtl="0">
            <a:lnSpc>
              <a:spcPts val="11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4.vml"/><Relationship Id="rId7" Type="http://schemas.openxmlformats.org/officeDocument/2006/relationships/ctrlProp" Target="../ctrlProps/ctrlProp4.xml"/><Relationship Id="rId2" Type="http://schemas.openxmlformats.org/officeDocument/2006/relationships/drawing" Target="../drawings/drawing11.xml"/><Relationship Id="rId1" Type="http://schemas.openxmlformats.org/officeDocument/2006/relationships/printerSettings" Target="../printerSettings/printerSettings5.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7.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8.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9.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autoPageBreaks="0" fitToPage="1"/>
  </sheetPr>
  <dimension ref="A1:R107"/>
  <sheetViews>
    <sheetView showGridLines="0" tabSelected="1" zoomScaleNormal="100" workbookViewId="0">
      <selection activeCell="E5" sqref="E5"/>
    </sheetView>
  </sheetViews>
  <sheetFormatPr defaultColWidth="0" defaultRowHeight="0" customHeight="1" zeroHeight="1"/>
  <cols>
    <col min="1" max="1" width="1.75" customWidth="1"/>
    <col min="2" max="2" width="21.625" customWidth="1"/>
    <col min="3" max="3" width="15.125" customWidth="1"/>
    <col min="4" max="4" width="16.5" customWidth="1"/>
    <col min="5" max="5" width="13.875" customWidth="1"/>
    <col min="6" max="6" width="11.5" customWidth="1"/>
    <col min="7" max="7" width="3.125" customWidth="1"/>
    <col min="8" max="8" width="8.25" customWidth="1"/>
    <col min="9" max="9" width="13" hidden="1" customWidth="1"/>
    <col min="10" max="10" width="11" hidden="1" customWidth="1"/>
    <col min="11" max="11" width="12.75" hidden="1" customWidth="1"/>
    <col min="12" max="12" width="39" hidden="1" customWidth="1"/>
    <col min="13" max="13" width="28.25" hidden="1" customWidth="1"/>
    <col min="14" max="14" width="2.5" hidden="1" customWidth="1"/>
    <col min="15" max="15" width="11.75" hidden="1" customWidth="1"/>
    <col min="16" max="16" width="11.625" hidden="1" customWidth="1"/>
    <col min="17" max="17" width="16.875" hidden="1" customWidth="1"/>
    <col min="18" max="18" width="9.5" hidden="1" customWidth="1"/>
  </cols>
  <sheetData>
    <row r="1" spans="1:11" ht="13.5">
      <c r="A1" s="4"/>
      <c r="B1" s="5"/>
      <c r="C1" s="4"/>
      <c r="D1" s="4"/>
      <c r="E1" s="4"/>
      <c r="F1" s="4"/>
      <c r="G1" s="4"/>
      <c r="H1" s="4"/>
    </row>
    <row r="2" spans="1:11" ht="21.75" customHeight="1">
      <c r="A2" s="4"/>
      <c r="B2" s="5"/>
      <c r="C2" s="4"/>
      <c r="D2" s="4"/>
      <c r="E2" s="4"/>
      <c r="F2" s="4"/>
      <c r="G2" s="4"/>
      <c r="H2" s="4"/>
    </row>
    <row r="3" spans="1:11" ht="21.75" customHeight="1">
      <c r="A3" s="4"/>
      <c r="B3" s="5"/>
      <c r="C3" s="4"/>
      <c r="D3" s="4"/>
      <c r="E3" s="4"/>
      <c r="F3" s="4"/>
      <c r="G3" s="4"/>
      <c r="H3" s="4"/>
      <c r="I3" t="s">
        <v>480</v>
      </c>
    </row>
    <row r="4" spans="1:11" ht="25.5">
      <c r="A4" s="4"/>
      <c r="B4" s="6" t="s">
        <v>3041</v>
      </c>
      <c r="C4" s="7"/>
      <c r="D4" s="7"/>
      <c r="E4" s="7"/>
      <c r="F4" s="8"/>
      <c r="G4" s="4"/>
      <c r="H4" s="4"/>
    </row>
    <row r="5" spans="1:11" ht="13.5">
      <c r="A5" s="9"/>
      <c r="B5" s="10" t="s">
        <v>481</v>
      </c>
      <c r="C5" s="11" t="s">
        <v>3484</v>
      </c>
      <c r="D5" s="11"/>
      <c r="E5" s="4"/>
      <c r="F5" s="4"/>
      <c r="G5" s="4"/>
      <c r="H5" s="4"/>
      <c r="I5" t="s">
        <v>66</v>
      </c>
      <c r="J5" t="s">
        <v>1412</v>
      </c>
      <c r="K5">
        <v>1</v>
      </c>
    </row>
    <row r="6" spans="1:11" ht="13.5">
      <c r="A6" s="9"/>
      <c r="B6" s="13" t="s">
        <v>2148</v>
      </c>
      <c r="C6" s="14" t="s">
        <v>3042</v>
      </c>
      <c r="D6" s="14"/>
      <c r="E6" s="4"/>
      <c r="F6" s="4"/>
      <c r="G6" s="4"/>
      <c r="H6" s="4"/>
      <c r="I6" t="s">
        <v>67</v>
      </c>
      <c r="J6" t="s">
        <v>1312</v>
      </c>
      <c r="K6">
        <v>2</v>
      </c>
    </row>
    <row r="7" spans="1:11" ht="6.75" customHeight="1" thickBot="1">
      <c r="A7" s="9"/>
      <c r="B7" s="12"/>
      <c r="C7" s="12"/>
      <c r="D7" s="12"/>
      <c r="E7" s="12"/>
      <c r="F7" s="12"/>
      <c r="G7" s="4"/>
      <c r="H7" s="4"/>
      <c r="I7" t="s">
        <v>68</v>
      </c>
      <c r="J7" t="s">
        <v>2091</v>
      </c>
      <c r="K7">
        <v>3</v>
      </c>
    </row>
    <row r="8" spans="1:11" ht="17.25" customHeight="1">
      <c r="A8" s="9"/>
      <c r="B8" s="15" t="s">
        <v>2092</v>
      </c>
      <c r="C8" s="16"/>
      <c r="D8" s="16"/>
      <c r="E8" s="16"/>
      <c r="F8" s="17"/>
      <c r="G8" s="4"/>
      <c r="H8" s="4"/>
      <c r="I8" t="s">
        <v>69</v>
      </c>
      <c r="J8" t="s">
        <v>2093</v>
      </c>
      <c r="K8">
        <v>4</v>
      </c>
    </row>
    <row r="9" spans="1:11" ht="13.5">
      <c r="A9" s="9"/>
      <c r="B9" s="18" t="s">
        <v>2094</v>
      </c>
      <c r="C9" s="19"/>
      <c r="D9" s="19"/>
      <c r="E9" s="19"/>
      <c r="F9" s="20"/>
      <c r="G9" s="4"/>
      <c r="H9" s="4"/>
      <c r="I9" t="s">
        <v>70</v>
      </c>
      <c r="J9" t="s">
        <v>2095</v>
      </c>
      <c r="K9">
        <v>5</v>
      </c>
    </row>
    <row r="10" spans="1:11" ht="13.5" hidden="1" customHeight="1">
      <c r="A10" s="9"/>
      <c r="B10" s="21"/>
      <c r="C10" s="22"/>
      <c r="D10" s="22"/>
      <c r="E10" s="22"/>
      <c r="F10" s="23"/>
      <c r="G10" s="4"/>
      <c r="H10" s="4"/>
      <c r="I10" t="s">
        <v>71</v>
      </c>
      <c r="J10" t="s">
        <v>2096</v>
      </c>
      <c r="K10">
        <v>6</v>
      </c>
    </row>
    <row r="11" spans="1:11" ht="13.5">
      <c r="A11" s="9"/>
      <c r="B11" s="24" t="s">
        <v>2097</v>
      </c>
      <c r="C11" s="2649" t="s">
        <v>676</v>
      </c>
      <c r="D11" s="2650"/>
      <c r="E11" s="2651"/>
      <c r="F11" s="27"/>
      <c r="G11" s="4"/>
      <c r="H11" s="4"/>
      <c r="I11" t="s">
        <v>72</v>
      </c>
      <c r="K11">
        <v>7</v>
      </c>
    </row>
    <row r="12" spans="1:11" ht="13.5">
      <c r="A12" s="9"/>
      <c r="B12" s="28" t="s">
        <v>3374</v>
      </c>
      <c r="C12" s="2643" t="s">
        <v>2098</v>
      </c>
      <c r="D12" s="2644"/>
      <c r="E12" s="2645"/>
      <c r="F12" s="31"/>
      <c r="G12" s="4"/>
      <c r="H12" s="4"/>
      <c r="I12" t="s">
        <v>73</v>
      </c>
      <c r="K12">
        <v>8</v>
      </c>
    </row>
    <row r="13" spans="1:11" ht="13.5" hidden="1">
      <c r="A13" s="9"/>
      <c r="B13" s="28"/>
      <c r="C13" s="29"/>
      <c r="D13" s="2135"/>
      <c r="E13" s="30"/>
      <c r="F13" s="31"/>
      <c r="G13" s="4"/>
      <c r="H13" s="4"/>
      <c r="I13" t="s">
        <v>74</v>
      </c>
    </row>
    <row r="14" spans="1:11" ht="13.5">
      <c r="A14" s="9"/>
      <c r="B14" s="28" t="s">
        <v>298</v>
      </c>
      <c r="C14" s="2643" t="s">
        <v>299</v>
      </c>
      <c r="D14" s="2644"/>
      <c r="E14" s="2645"/>
      <c r="F14" s="27"/>
      <c r="G14" s="4"/>
      <c r="H14" s="4"/>
    </row>
    <row r="15" spans="1:11" ht="16.5" customHeight="1">
      <c r="A15" s="9"/>
      <c r="B15" s="28" t="s">
        <v>300</v>
      </c>
      <c r="C15" s="32">
        <v>42705</v>
      </c>
      <c r="D15" s="26"/>
      <c r="E15" s="26"/>
      <c r="F15" s="31"/>
      <c r="G15" s="4"/>
      <c r="H15" s="4"/>
      <c r="K15" s="1" t="e">
        <f>VLOOKUP(F12,I5:K12,3)</f>
        <v>#N/A</v>
      </c>
    </row>
    <row r="16" spans="1:11" ht="13.5" hidden="1">
      <c r="A16" s="9"/>
      <c r="B16" s="28"/>
      <c r="C16" s="32"/>
      <c r="D16" s="26"/>
      <c r="E16" s="26"/>
      <c r="F16" s="33"/>
      <c r="G16" s="4"/>
      <c r="H16" s="4"/>
    </row>
    <row r="17" spans="1:12" ht="13.5">
      <c r="A17" s="9"/>
      <c r="B17" s="28" t="s">
        <v>302</v>
      </c>
      <c r="C17" s="34" t="s">
        <v>677</v>
      </c>
      <c r="D17" s="35" t="s">
        <v>678</v>
      </c>
      <c r="E17" s="35"/>
      <c r="F17" s="27"/>
      <c r="G17" s="4"/>
      <c r="H17" s="4"/>
    </row>
    <row r="18" spans="1:12" ht="17.25" customHeight="1">
      <c r="A18" s="9"/>
      <c r="B18" s="28" t="s">
        <v>303</v>
      </c>
      <c r="C18" s="34" t="s">
        <v>679</v>
      </c>
      <c r="D18" s="35" t="s">
        <v>680</v>
      </c>
      <c r="E18" s="35"/>
      <c r="F18" s="27"/>
      <c r="G18" s="4"/>
      <c r="H18" s="4"/>
    </row>
    <row r="19" spans="1:12" ht="17.25" customHeight="1">
      <c r="A19" s="9"/>
      <c r="B19" s="28" t="s">
        <v>304</v>
      </c>
      <c r="C19" s="36">
        <f>SUM(C63:C64)</f>
        <v>14500</v>
      </c>
      <c r="D19" s="35" t="s">
        <v>678</v>
      </c>
      <c r="E19" s="35"/>
      <c r="F19" s="27"/>
      <c r="G19" s="4"/>
      <c r="H19" s="4"/>
    </row>
    <row r="20" spans="1:12" ht="17.25" customHeight="1">
      <c r="A20" s="9"/>
      <c r="B20" s="28" t="s">
        <v>305</v>
      </c>
      <c r="C20" s="2643" t="s">
        <v>681</v>
      </c>
      <c r="D20" s="2644"/>
      <c r="E20" s="2645"/>
      <c r="F20" s="27"/>
      <c r="G20" s="4"/>
      <c r="H20" s="4"/>
    </row>
    <row r="21" spans="1:12" ht="17.25" customHeight="1">
      <c r="A21" s="9"/>
      <c r="B21" s="37"/>
      <c r="C21" s="2646" t="str">
        <f>O67</f>
        <v>事務所,学校,集会所,</v>
      </c>
      <c r="D21" s="2647"/>
      <c r="E21" s="2648"/>
      <c r="F21" s="27"/>
      <c r="G21" s="4"/>
      <c r="H21" s="4"/>
    </row>
    <row r="22" spans="1:12" ht="17.25" customHeight="1">
      <c r="A22" s="9"/>
      <c r="B22" s="28" t="s">
        <v>307</v>
      </c>
      <c r="C22" s="25" t="s">
        <v>308</v>
      </c>
      <c r="D22" s="26"/>
      <c r="E22" s="26"/>
      <c r="F22" s="27"/>
      <c r="G22" s="4"/>
      <c r="H22" s="4"/>
    </row>
    <row r="23" spans="1:12" ht="17.25" customHeight="1">
      <c r="A23" s="9"/>
      <c r="B23" s="28" t="s">
        <v>768</v>
      </c>
      <c r="C23" s="25" t="s">
        <v>769</v>
      </c>
      <c r="D23" s="26"/>
      <c r="E23" s="26"/>
      <c r="F23" s="27"/>
      <c r="G23" s="4"/>
      <c r="H23" s="4"/>
      <c r="I23" t="s">
        <v>770</v>
      </c>
      <c r="J23" t="s">
        <v>769</v>
      </c>
      <c r="K23" t="s">
        <v>771</v>
      </c>
      <c r="L23" t="s">
        <v>772</v>
      </c>
    </row>
    <row r="24" spans="1:12" ht="17.25" customHeight="1">
      <c r="A24" s="9"/>
      <c r="B24" s="28" t="s">
        <v>773</v>
      </c>
      <c r="C24" s="38" t="s">
        <v>682</v>
      </c>
      <c r="D24" s="35" t="s">
        <v>774</v>
      </c>
      <c r="E24" s="35"/>
      <c r="F24" s="27"/>
      <c r="G24" s="4"/>
      <c r="H24" s="4"/>
      <c r="I24" s="1">
        <f>IF(OR(C23=I23,C23=L23),1,IF(C23=J23,2,3))</f>
        <v>2</v>
      </c>
    </row>
    <row r="25" spans="1:12" ht="17.25" customHeight="1">
      <c r="A25" s="9"/>
      <c r="B25" s="28" t="s">
        <v>775</v>
      </c>
      <c r="C25" s="38" t="s">
        <v>683</v>
      </c>
      <c r="D25" s="35" t="s">
        <v>776</v>
      </c>
      <c r="E25" s="35"/>
      <c r="F25" s="27"/>
      <c r="G25" s="4"/>
      <c r="H25" s="4"/>
    </row>
    <row r="26" spans="1:12" ht="6.75" customHeight="1" thickBot="1">
      <c r="A26" s="9"/>
      <c r="B26" s="28"/>
      <c r="C26" s="39"/>
      <c r="D26" s="39"/>
      <c r="E26" s="39"/>
      <c r="F26" s="40"/>
      <c r="G26" s="4"/>
      <c r="H26" s="4"/>
    </row>
    <row r="27" spans="1:12" ht="14.25" hidden="1" thickBot="1"/>
    <row r="28" spans="1:12" ht="14.25" hidden="1" thickBot="1"/>
    <row r="29" spans="1:12" ht="14.25" hidden="1" thickBot="1"/>
    <row r="30" spans="1:12" ht="14.25" hidden="1" thickBot="1"/>
    <row r="31" spans="1:12" ht="14.25" hidden="1" thickBot="1"/>
    <row r="32" spans="1:12" ht="14.25" hidden="1" thickBot="1"/>
    <row r="33" spans="1:18" ht="14.25" hidden="1" thickBot="1"/>
    <row r="34" spans="1:18" ht="14.25" hidden="1" thickBot="1"/>
    <row r="35" spans="1:18" ht="14.25" hidden="1" thickBot="1"/>
    <row r="36" spans="1:18" ht="14.25" hidden="1" thickBot="1"/>
    <row r="37" spans="1:18" ht="14.25" hidden="1" thickBot="1"/>
    <row r="38" spans="1:18" ht="17.25" customHeight="1" thickBot="1">
      <c r="A38" s="41"/>
      <c r="B38" s="42" t="s">
        <v>777</v>
      </c>
      <c r="C38" s="43"/>
      <c r="D38" s="43"/>
      <c r="E38" s="43"/>
      <c r="F38" s="44"/>
      <c r="G38" s="4"/>
      <c r="H38" s="4"/>
      <c r="I38" t="s">
        <v>778</v>
      </c>
      <c r="J38">
        <v>0</v>
      </c>
      <c r="L38" s="1" t="s">
        <v>779</v>
      </c>
      <c r="M38" s="1" t="s">
        <v>780</v>
      </c>
    </row>
    <row r="39" spans="1:18" ht="16.5" customHeight="1">
      <c r="A39" s="41"/>
      <c r="B39" s="45" t="s">
        <v>781</v>
      </c>
      <c r="C39" s="46">
        <v>41828</v>
      </c>
      <c r="D39" s="26"/>
      <c r="E39" s="26"/>
      <c r="F39" s="2141"/>
      <c r="G39" s="4"/>
      <c r="H39" s="4"/>
      <c r="I39" t="s">
        <v>783</v>
      </c>
      <c r="J39">
        <v>1</v>
      </c>
      <c r="L39" s="1" t="s">
        <v>783</v>
      </c>
      <c r="M39" s="1" t="s">
        <v>447</v>
      </c>
    </row>
    <row r="40" spans="1:18" ht="16.5" customHeight="1">
      <c r="A40" s="41"/>
      <c r="B40" s="45" t="s">
        <v>448</v>
      </c>
      <c r="C40" s="25" t="s">
        <v>449</v>
      </c>
      <c r="D40" s="26"/>
      <c r="E40" s="26"/>
      <c r="F40" s="27"/>
      <c r="G40" s="4"/>
      <c r="H40" s="4"/>
      <c r="I40" t="s">
        <v>782</v>
      </c>
      <c r="J40">
        <v>2</v>
      </c>
      <c r="L40" s="1" t="s">
        <v>782</v>
      </c>
      <c r="M40" s="1" t="s">
        <v>450</v>
      </c>
    </row>
    <row r="41" spans="1:18" ht="16.5" customHeight="1">
      <c r="A41" s="47"/>
      <c r="B41" s="45" t="s">
        <v>451</v>
      </c>
      <c r="C41" s="46">
        <v>41830</v>
      </c>
      <c r="D41" s="26"/>
      <c r="E41" s="26"/>
      <c r="F41" s="27"/>
      <c r="G41" s="4"/>
      <c r="H41" s="4"/>
      <c r="I41" t="s">
        <v>452</v>
      </c>
      <c r="J41">
        <v>2</v>
      </c>
      <c r="L41" s="1" t="s">
        <v>452</v>
      </c>
      <c r="M41" s="1"/>
    </row>
    <row r="42" spans="1:18" ht="16.5" customHeight="1">
      <c r="A42" s="47"/>
      <c r="B42" s="45" t="s">
        <v>453</v>
      </c>
      <c r="C42" s="25" t="s">
        <v>449</v>
      </c>
      <c r="D42" s="26"/>
      <c r="E42" s="26"/>
      <c r="F42" s="27"/>
      <c r="G42" s="4"/>
      <c r="H42" s="4"/>
      <c r="I42" s="1">
        <v>0</v>
      </c>
    </row>
    <row r="43" spans="1:18" ht="17.25" customHeight="1" thickBot="1">
      <c r="A43" s="47"/>
      <c r="B43" s="48" t="s">
        <v>454</v>
      </c>
      <c r="C43" s="49" t="s">
        <v>455</v>
      </c>
      <c r="D43" s="50" t="str">
        <f>IF(C43=I43,L43,L44)</f>
        <v>→LCCO2算定条件シート（標準計算）を入力</v>
      </c>
      <c r="E43" s="26"/>
      <c r="F43" s="51"/>
      <c r="G43" s="4"/>
      <c r="H43" s="4"/>
      <c r="I43" t="s">
        <v>455</v>
      </c>
      <c r="L43" t="s">
        <v>456</v>
      </c>
    </row>
    <row r="44" spans="1:18" ht="9.75" customHeight="1" thickBot="1">
      <c r="A44" s="47"/>
      <c r="B44" s="52"/>
      <c r="C44" s="52"/>
      <c r="D44" s="52"/>
      <c r="E44" s="52"/>
      <c r="F44" s="52"/>
      <c r="G44" s="4"/>
      <c r="H44" s="4"/>
      <c r="I44" t="s">
        <v>457</v>
      </c>
      <c r="L44" t="s">
        <v>458</v>
      </c>
    </row>
    <row r="45" spans="1:18" ht="13.5">
      <c r="A45" s="47"/>
      <c r="B45" s="53" t="s">
        <v>459</v>
      </c>
      <c r="C45" s="54"/>
      <c r="D45" s="54"/>
      <c r="E45" s="54"/>
      <c r="F45" s="55"/>
      <c r="G45" s="4"/>
      <c r="H45" s="4"/>
    </row>
    <row r="46" spans="1:18" ht="14.25" thickBot="1">
      <c r="A46" s="47"/>
      <c r="B46" s="21" t="s">
        <v>460</v>
      </c>
      <c r="C46" s="56"/>
      <c r="D46" s="57"/>
      <c r="E46" s="57"/>
      <c r="F46" s="58"/>
      <c r="G46" s="4"/>
      <c r="H46" s="4"/>
      <c r="J46" t="s">
        <v>684</v>
      </c>
      <c r="K46" t="s">
        <v>1350</v>
      </c>
      <c r="L46" t="s">
        <v>685</v>
      </c>
    </row>
    <row r="47" spans="1:18" ht="13.5">
      <c r="A47" s="47"/>
      <c r="B47" s="59" t="s">
        <v>686</v>
      </c>
      <c r="C47" s="36">
        <f>E47+E48</f>
        <v>5000</v>
      </c>
      <c r="D47" s="35" t="s">
        <v>2364</v>
      </c>
      <c r="E47" s="60">
        <v>5000</v>
      </c>
      <c r="F47" s="2141" t="s">
        <v>2350</v>
      </c>
      <c r="G47" s="4"/>
      <c r="H47" s="4"/>
      <c r="I47" t="s">
        <v>461</v>
      </c>
      <c r="J47">
        <f>C47</f>
        <v>5000</v>
      </c>
      <c r="K47">
        <f>J47/$J$66</f>
        <v>0.34482758620689657</v>
      </c>
      <c r="N47">
        <f>IF(J47=0,0,RANK(J47,$J$47:$J$64))</f>
        <v>1</v>
      </c>
      <c r="O47" t="str">
        <f>IF(AND(0&lt;N47,N47&lt;4),I47&amp;",","")</f>
        <v>事務所,</v>
      </c>
      <c r="P47" s="2121" t="s">
        <v>1771</v>
      </c>
      <c r="Q47" s="2122" t="s">
        <v>461</v>
      </c>
      <c r="R47" s="2142">
        <f>E47</f>
        <v>5000</v>
      </c>
    </row>
    <row r="48" spans="1:18" ht="13.5">
      <c r="A48" s="47"/>
      <c r="B48" s="61"/>
      <c r="C48" s="35"/>
      <c r="D48" s="2140" t="s">
        <v>2356</v>
      </c>
      <c r="E48" s="60"/>
      <c r="F48" s="2141" t="s">
        <v>2360</v>
      </c>
      <c r="G48" s="4"/>
      <c r="H48" s="4"/>
      <c r="N48">
        <f t="shared" ref="N48:N64" si="0">IF(J48=0,0,RANK(J48,$J$47:$J$64))</f>
        <v>0</v>
      </c>
      <c r="O48" t="str">
        <f t="shared" ref="O48:O64" si="1">IF(AND(0&lt;N48,N48&lt;4),I48&amp;",","")</f>
        <v/>
      </c>
      <c r="P48" s="2123"/>
      <c r="Q48" s="2122" t="s">
        <v>2311</v>
      </c>
      <c r="R48" s="2142">
        <f>E48</f>
        <v>0</v>
      </c>
    </row>
    <row r="49" spans="1:18" ht="13.5">
      <c r="A49" s="47"/>
      <c r="B49" s="61" t="s">
        <v>462</v>
      </c>
      <c r="C49" s="36">
        <f>SUM(E49:E53)</f>
        <v>4000</v>
      </c>
      <c r="D49" s="35" t="s">
        <v>2363</v>
      </c>
      <c r="E49" s="60"/>
      <c r="F49" s="2141" t="s">
        <v>2360</v>
      </c>
      <c r="G49" s="4"/>
      <c r="H49" s="4"/>
      <c r="I49" t="s">
        <v>463</v>
      </c>
      <c r="J49" s="2214">
        <f>C49</f>
        <v>4000</v>
      </c>
      <c r="K49">
        <f>J49/$J$66</f>
        <v>0.27586206896551724</v>
      </c>
      <c r="N49">
        <f t="shared" si="0"/>
        <v>2</v>
      </c>
      <c r="O49" t="str">
        <f t="shared" si="1"/>
        <v>学校,</v>
      </c>
      <c r="P49" s="2125" t="s">
        <v>2315</v>
      </c>
      <c r="Q49" s="2122" t="s">
        <v>2316</v>
      </c>
      <c r="R49" s="2142">
        <f t="shared" ref="R49:R59" si="2">E49</f>
        <v>0</v>
      </c>
    </row>
    <row r="50" spans="1:18" ht="13.5">
      <c r="A50" s="47"/>
      <c r="B50" s="61"/>
      <c r="C50" s="35"/>
      <c r="D50" s="2140" t="s">
        <v>2353</v>
      </c>
      <c r="E50" s="60"/>
      <c r="F50" s="2141" t="s">
        <v>2360</v>
      </c>
      <c r="G50" s="4"/>
      <c r="H50" s="4"/>
      <c r="J50" s="2215"/>
      <c r="N50">
        <f t="shared" si="0"/>
        <v>0</v>
      </c>
      <c r="O50" t="str">
        <f t="shared" si="1"/>
        <v/>
      </c>
      <c r="P50" s="2125"/>
      <c r="Q50" s="2122" t="s">
        <v>1338</v>
      </c>
      <c r="R50" s="2142">
        <f t="shared" si="2"/>
        <v>0</v>
      </c>
    </row>
    <row r="51" spans="1:18" ht="13.5">
      <c r="A51" s="47"/>
      <c r="B51" s="61"/>
      <c r="C51" s="35"/>
      <c r="D51" s="2140" t="s">
        <v>2361</v>
      </c>
      <c r="E51" s="60">
        <v>4000</v>
      </c>
      <c r="F51" s="2141" t="s">
        <v>2360</v>
      </c>
      <c r="G51" s="4"/>
      <c r="H51" s="4"/>
      <c r="N51">
        <f t="shared" si="0"/>
        <v>0</v>
      </c>
      <c r="O51" t="str">
        <f t="shared" si="1"/>
        <v/>
      </c>
      <c r="P51" s="2125"/>
      <c r="Q51" s="2122" t="s">
        <v>1339</v>
      </c>
      <c r="R51" s="2142">
        <f t="shared" si="2"/>
        <v>4000</v>
      </c>
    </row>
    <row r="52" spans="1:18" ht="13.5">
      <c r="A52" s="47"/>
      <c r="B52" s="61"/>
      <c r="C52" s="35"/>
      <c r="D52" s="2140" t="s">
        <v>2354</v>
      </c>
      <c r="E52" s="60"/>
      <c r="F52" s="2141" t="s">
        <v>2360</v>
      </c>
      <c r="G52" s="4"/>
      <c r="H52" s="4"/>
      <c r="N52">
        <f t="shared" si="0"/>
        <v>0</v>
      </c>
      <c r="O52" t="str">
        <f t="shared" si="1"/>
        <v/>
      </c>
      <c r="P52" s="2125"/>
      <c r="Q52" s="2122" t="s">
        <v>2319</v>
      </c>
      <c r="R52" s="2142">
        <f t="shared" si="2"/>
        <v>0</v>
      </c>
    </row>
    <row r="53" spans="1:18" ht="13.5">
      <c r="A53" s="47"/>
      <c r="B53" s="61"/>
      <c r="C53" s="35"/>
      <c r="D53" s="2140" t="s">
        <v>2355</v>
      </c>
      <c r="E53" s="60"/>
      <c r="F53" s="2141" t="s">
        <v>2360</v>
      </c>
      <c r="G53" s="4"/>
      <c r="H53" s="4"/>
      <c r="N53">
        <f t="shared" si="0"/>
        <v>0</v>
      </c>
      <c r="O53" t="str">
        <f t="shared" si="1"/>
        <v/>
      </c>
      <c r="P53" s="2123"/>
      <c r="Q53" s="2122" t="s">
        <v>2320</v>
      </c>
      <c r="R53" s="2142">
        <f t="shared" si="2"/>
        <v>0</v>
      </c>
    </row>
    <row r="54" spans="1:18" ht="13.5">
      <c r="A54" s="47"/>
      <c r="B54" s="61" t="s">
        <v>464</v>
      </c>
      <c r="C54" s="36">
        <f>E54+E55</f>
        <v>0</v>
      </c>
      <c r="D54" s="35" t="s">
        <v>2365</v>
      </c>
      <c r="E54" s="60"/>
      <c r="F54" s="2141" t="s">
        <v>2360</v>
      </c>
      <c r="G54" s="4"/>
      <c r="H54" s="4"/>
      <c r="I54" t="s">
        <v>465</v>
      </c>
      <c r="J54" s="2214">
        <f>C54</f>
        <v>0</v>
      </c>
      <c r="K54">
        <f>J54/$J$66</f>
        <v>0</v>
      </c>
      <c r="N54">
        <f t="shared" si="0"/>
        <v>0</v>
      </c>
      <c r="O54" t="str">
        <f t="shared" si="1"/>
        <v/>
      </c>
      <c r="P54" s="2121" t="s">
        <v>2312</v>
      </c>
      <c r="Q54" s="2122" t="s">
        <v>1964</v>
      </c>
      <c r="R54" s="2142">
        <f t="shared" si="2"/>
        <v>0</v>
      </c>
    </row>
    <row r="55" spans="1:18" ht="13.5">
      <c r="A55" s="47"/>
      <c r="B55" s="61"/>
      <c r="C55" s="35"/>
      <c r="D55" s="2140" t="s">
        <v>2357</v>
      </c>
      <c r="E55" s="60"/>
      <c r="F55" s="2141" t="s">
        <v>2360</v>
      </c>
      <c r="G55" s="4"/>
      <c r="H55" s="4"/>
      <c r="N55">
        <f t="shared" si="0"/>
        <v>0</v>
      </c>
      <c r="O55" t="str">
        <f t="shared" si="1"/>
        <v/>
      </c>
      <c r="P55" s="2123"/>
      <c r="Q55" s="2122" t="s">
        <v>2313</v>
      </c>
      <c r="R55" s="2142">
        <f t="shared" si="2"/>
        <v>0</v>
      </c>
    </row>
    <row r="56" spans="1:18" ht="13.5">
      <c r="A56" s="47"/>
      <c r="B56" s="61" t="s">
        <v>466</v>
      </c>
      <c r="C56" s="60"/>
      <c r="D56" s="35" t="s">
        <v>687</v>
      </c>
      <c r="E56" s="35"/>
      <c r="F56" s="2141"/>
      <c r="G56" s="4"/>
      <c r="H56" s="4"/>
      <c r="I56" t="s">
        <v>467</v>
      </c>
      <c r="J56" s="2215">
        <f>C56</f>
        <v>0</v>
      </c>
      <c r="K56">
        <f>J56/$J$66</f>
        <v>0</v>
      </c>
      <c r="N56">
        <f t="shared" si="0"/>
        <v>0</v>
      </c>
      <c r="O56" t="str">
        <f t="shared" si="1"/>
        <v/>
      </c>
      <c r="P56" s="2122" t="s">
        <v>467</v>
      </c>
      <c r="Q56" s="2124"/>
      <c r="R56" s="2142">
        <f>C56</f>
        <v>0</v>
      </c>
    </row>
    <row r="57" spans="1:18" ht="13.5">
      <c r="A57" s="47"/>
      <c r="B57" s="61" t="s">
        <v>468</v>
      </c>
      <c r="C57" s="36">
        <f>E57+E58+E59</f>
        <v>3000</v>
      </c>
      <c r="D57" s="35" t="s">
        <v>2366</v>
      </c>
      <c r="E57" s="60">
        <v>3000</v>
      </c>
      <c r="F57" s="2141" t="s">
        <v>2360</v>
      </c>
      <c r="G57" s="4"/>
      <c r="H57" s="4"/>
      <c r="I57" t="s">
        <v>469</v>
      </c>
      <c r="J57">
        <f>C57</f>
        <v>3000</v>
      </c>
      <c r="K57">
        <f>J57/$J$66</f>
        <v>0.20689655172413793</v>
      </c>
      <c r="N57">
        <f t="shared" si="0"/>
        <v>3</v>
      </c>
      <c r="O57" t="str">
        <f t="shared" si="1"/>
        <v>集会所,</v>
      </c>
      <c r="P57" s="2121" t="s">
        <v>2321</v>
      </c>
      <c r="Q57" s="2122" t="s">
        <v>2322</v>
      </c>
      <c r="R57" s="2142">
        <f t="shared" si="2"/>
        <v>3000</v>
      </c>
    </row>
    <row r="58" spans="1:18" ht="13.5">
      <c r="A58" s="47"/>
      <c r="B58" s="61"/>
      <c r="C58" s="35"/>
      <c r="D58" s="2140" t="s">
        <v>2358</v>
      </c>
      <c r="E58" s="60"/>
      <c r="F58" s="2141" t="s">
        <v>2360</v>
      </c>
      <c r="G58" s="4"/>
      <c r="H58" s="4"/>
      <c r="N58">
        <f t="shared" si="0"/>
        <v>0</v>
      </c>
      <c r="O58" t="str">
        <f t="shared" si="1"/>
        <v/>
      </c>
      <c r="P58" s="2125"/>
      <c r="Q58" s="2122" t="s">
        <v>2323</v>
      </c>
      <c r="R58" s="2142">
        <f t="shared" si="2"/>
        <v>0</v>
      </c>
    </row>
    <row r="59" spans="1:18" ht="13.5">
      <c r="A59" s="47"/>
      <c r="B59" s="61"/>
      <c r="C59" s="35"/>
      <c r="D59" s="2140" t="s">
        <v>2359</v>
      </c>
      <c r="E59" s="60"/>
      <c r="F59" s="2141" t="s">
        <v>2360</v>
      </c>
      <c r="G59" s="4"/>
      <c r="H59" s="4"/>
      <c r="N59">
        <f t="shared" si="0"/>
        <v>0</v>
      </c>
      <c r="O59" t="str">
        <f t="shared" si="1"/>
        <v/>
      </c>
      <c r="P59" s="2125"/>
      <c r="Q59" s="2119" t="s">
        <v>2324</v>
      </c>
      <c r="R59" s="2142">
        <f t="shared" si="2"/>
        <v>0</v>
      </c>
    </row>
    <row r="60" spans="1:18" ht="13.5">
      <c r="A60" s="47"/>
      <c r="B60" s="61" t="s">
        <v>470</v>
      </c>
      <c r="C60" s="60"/>
      <c r="D60" s="2505" t="s">
        <v>3362</v>
      </c>
      <c r="E60" s="60"/>
      <c r="F60" s="2141" t="s">
        <v>3363</v>
      </c>
      <c r="G60" s="4"/>
      <c r="H60" s="4"/>
      <c r="I60" t="s">
        <v>477</v>
      </c>
      <c r="J60">
        <f>C60</f>
        <v>0</v>
      </c>
      <c r="K60">
        <f>J60/$J$66</f>
        <v>0</v>
      </c>
      <c r="N60">
        <f t="shared" si="0"/>
        <v>0</v>
      </c>
      <c r="O60" t="str">
        <f t="shared" si="1"/>
        <v/>
      </c>
      <c r="P60" s="2122" t="s">
        <v>477</v>
      </c>
      <c r="Q60" s="2124"/>
      <c r="R60" s="2142">
        <f>C60</f>
        <v>0</v>
      </c>
    </row>
    <row r="61" spans="1:18" ht="13.5">
      <c r="A61" s="47"/>
      <c r="B61" s="61" t="s">
        <v>472</v>
      </c>
      <c r="C61" s="60"/>
      <c r="D61" s="35" t="s">
        <v>687</v>
      </c>
      <c r="E61" s="35"/>
      <c r="F61" s="2141"/>
      <c r="G61" s="4"/>
      <c r="H61" s="4"/>
      <c r="I61" t="s">
        <v>471</v>
      </c>
      <c r="J61">
        <f>C61</f>
        <v>0</v>
      </c>
      <c r="K61">
        <f>J61/$J$66</f>
        <v>0</v>
      </c>
      <c r="L61">
        <f>J61*F68</f>
        <v>0</v>
      </c>
      <c r="N61">
        <f t="shared" si="0"/>
        <v>0</v>
      </c>
      <c r="O61" t="str">
        <f t="shared" si="1"/>
        <v/>
      </c>
      <c r="P61" s="2122" t="s">
        <v>471</v>
      </c>
      <c r="Q61" s="2124"/>
      <c r="R61" s="2142">
        <f>C61</f>
        <v>0</v>
      </c>
    </row>
    <row r="62" spans="1:18" ht="13.5">
      <c r="A62" s="47"/>
      <c r="B62" s="61" t="s">
        <v>474</v>
      </c>
      <c r="C62" s="60"/>
      <c r="D62" s="35" t="s">
        <v>687</v>
      </c>
      <c r="E62" s="35"/>
      <c r="F62" s="2141"/>
      <c r="G62" s="4"/>
      <c r="H62" s="4"/>
      <c r="I62" t="s">
        <v>688</v>
      </c>
      <c r="J62">
        <f>C62</f>
        <v>0</v>
      </c>
      <c r="K62">
        <f>J62/$J$66</f>
        <v>0</v>
      </c>
      <c r="L62">
        <f>J62*F69</f>
        <v>0</v>
      </c>
      <c r="N62">
        <f t="shared" si="0"/>
        <v>0</v>
      </c>
      <c r="O62" t="str">
        <f t="shared" si="1"/>
        <v/>
      </c>
      <c r="P62" s="2122" t="s">
        <v>2314</v>
      </c>
      <c r="Q62" s="2124"/>
      <c r="R62" s="2142">
        <f>C62</f>
        <v>0</v>
      </c>
    </row>
    <row r="63" spans="1:18" ht="13.5">
      <c r="A63" s="47"/>
      <c r="B63" s="61" t="s">
        <v>2037</v>
      </c>
      <c r="C63" s="36">
        <f>SUM(C47:C62)</f>
        <v>12000</v>
      </c>
      <c r="D63" s="35" t="s">
        <v>687</v>
      </c>
      <c r="E63" s="35"/>
      <c r="F63" s="2141"/>
      <c r="G63" s="4"/>
      <c r="H63" s="4"/>
      <c r="N63">
        <f t="shared" si="0"/>
        <v>0</v>
      </c>
      <c r="O63" t="str">
        <f t="shared" si="1"/>
        <v/>
      </c>
      <c r="P63" s="2134"/>
      <c r="Q63" s="2120"/>
    </row>
    <row r="64" spans="1:18" ht="13.5">
      <c r="A64" s="47"/>
      <c r="B64" s="61" t="s">
        <v>476</v>
      </c>
      <c r="C64" s="36">
        <f>E64+E65</f>
        <v>2500</v>
      </c>
      <c r="D64" s="35" t="s">
        <v>2367</v>
      </c>
      <c r="E64" s="60">
        <v>2000</v>
      </c>
      <c r="F64" s="2141" t="s">
        <v>2360</v>
      </c>
      <c r="G64" s="4"/>
      <c r="H64" s="4"/>
      <c r="I64" t="s">
        <v>475</v>
      </c>
      <c r="J64">
        <f>C64</f>
        <v>2500</v>
      </c>
      <c r="K64">
        <f>J64/$J$66</f>
        <v>0.17241379310344829</v>
      </c>
      <c r="L64" s="2215">
        <f>E64</f>
        <v>2000</v>
      </c>
      <c r="N64">
        <f t="shared" si="0"/>
        <v>4</v>
      </c>
      <c r="O64" t="str">
        <f t="shared" si="1"/>
        <v/>
      </c>
      <c r="P64" s="2" t="s">
        <v>2074</v>
      </c>
      <c r="Q64" s="2126" t="s">
        <v>2345</v>
      </c>
      <c r="R64" s="2142">
        <f>E64</f>
        <v>2000</v>
      </c>
    </row>
    <row r="65" spans="1:18" ht="13.5">
      <c r="A65" s="47"/>
      <c r="B65" s="2064"/>
      <c r="C65" s="35"/>
      <c r="D65" s="2140" t="s">
        <v>2362</v>
      </c>
      <c r="E65" s="60">
        <v>500</v>
      </c>
      <c r="F65" s="2141" t="s">
        <v>2360</v>
      </c>
      <c r="G65" s="4"/>
      <c r="H65" s="4"/>
      <c r="P65" s="2127"/>
      <c r="Q65" s="2122" t="s">
        <v>483</v>
      </c>
      <c r="R65" s="2142">
        <f>E65</f>
        <v>500</v>
      </c>
    </row>
    <row r="66" spans="1:18" ht="13.5">
      <c r="A66" s="47"/>
      <c r="B66" s="2064"/>
      <c r="C66" s="35"/>
      <c r="D66" s="35"/>
      <c r="E66" s="35"/>
      <c r="F66" s="27"/>
      <c r="G66" s="4"/>
      <c r="H66" s="4"/>
      <c r="I66" t="s">
        <v>479</v>
      </c>
      <c r="J66">
        <f>SUM(J47:J64)</f>
        <v>14500</v>
      </c>
      <c r="K66">
        <f>J66/$J$66</f>
        <v>1</v>
      </c>
      <c r="L66">
        <f>SUM(L47:L64)</f>
        <v>2000</v>
      </c>
      <c r="O66" t="str">
        <f>IF(MAX(N47:N63)&gt;3,"等","")</f>
        <v/>
      </c>
    </row>
    <row r="67" spans="1:18" ht="13.5">
      <c r="A67" s="47"/>
      <c r="B67" s="21" t="s">
        <v>478</v>
      </c>
      <c r="C67" s="56"/>
      <c r="D67" s="2136"/>
      <c r="E67" s="57"/>
      <c r="F67" s="58"/>
      <c r="G67" s="4"/>
      <c r="H67" s="4"/>
      <c r="O67" t="str">
        <f>O47&amp;O49&amp;O54&amp;O56&amp;O57&amp;O61&amp;O62&amp;O64&amp;O60&amp;O66</f>
        <v>事務所,学校,集会所,</v>
      </c>
    </row>
    <row r="68" spans="1:18" ht="13.5">
      <c r="A68" s="47"/>
      <c r="B68" s="61" t="s">
        <v>1769</v>
      </c>
      <c r="C68" s="62"/>
      <c r="D68" s="62"/>
      <c r="E68" s="62"/>
      <c r="F68" s="63"/>
      <c r="G68" s="4"/>
      <c r="H68" s="4"/>
    </row>
    <row r="69" spans="1:18" ht="13.5">
      <c r="A69" s="47"/>
      <c r="B69" s="61" t="s">
        <v>1770</v>
      </c>
      <c r="C69" s="62"/>
      <c r="D69" s="62"/>
      <c r="E69" s="62"/>
      <c r="F69" s="63"/>
      <c r="G69" s="4"/>
      <c r="H69" s="4"/>
    </row>
    <row r="70" spans="1:18" ht="13.5">
      <c r="A70" s="47"/>
      <c r="B70" s="61" t="s">
        <v>2494</v>
      </c>
      <c r="C70" s="2063"/>
      <c r="D70" s="2063"/>
      <c r="E70" s="2063"/>
      <c r="F70" s="2065">
        <f>IF(C64=0,0,E64/C64)</f>
        <v>0.8</v>
      </c>
      <c r="G70" s="4"/>
      <c r="H70" s="4"/>
    </row>
    <row r="71" spans="1:18" ht="14.25" thickBot="1">
      <c r="A71" s="62"/>
      <c r="B71" s="64"/>
      <c r="C71" s="65"/>
      <c r="D71" s="65"/>
      <c r="E71" s="65"/>
      <c r="F71" s="66"/>
      <c r="G71" s="62"/>
      <c r="H71" s="62"/>
    </row>
    <row r="72" spans="1:18" ht="14.25" thickBot="1">
      <c r="A72" s="62"/>
      <c r="B72" s="62"/>
      <c r="C72" s="62"/>
      <c r="D72" s="62"/>
      <c r="E72" s="62"/>
      <c r="F72" s="62"/>
      <c r="G72" s="62"/>
      <c r="H72" s="62"/>
    </row>
    <row r="73" spans="1:18" ht="14.25" thickBot="1">
      <c r="A73" s="47"/>
      <c r="B73" s="67" t="s">
        <v>1968</v>
      </c>
      <c r="C73" s="68"/>
      <c r="D73" s="68"/>
      <c r="E73" s="69"/>
      <c r="F73" s="70"/>
      <c r="G73" s="4"/>
      <c r="H73" s="4"/>
    </row>
    <row r="74" spans="1:18" ht="14.25" thickBot="1">
      <c r="A74" s="47"/>
      <c r="B74" s="71" t="s">
        <v>1969</v>
      </c>
      <c r="C74" s="72" t="s">
        <v>1970</v>
      </c>
      <c r="D74" s="2137"/>
      <c r="E74" s="73"/>
      <c r="F74" s="74"/>
      <c r="G74" s="4"/>
      <c r="H74" s="4"/>
    </row>
    <row r="75" spans="1:18" ht="13.5">
      <c r="A75" s="47"/>
      <c r="B75" s="75" t="s">
        <v>1971</v>
      </c>
      <c r="C75" s="76" t="s">
        <v>1972</v>
      </c>
      <c r="D75" s="77"/>
      <c r="E75" s="77" t="s">
        <v>1973</v>
      </c>
      <c r="F75" s="78"/>
      <c r="G75" s="4"/>
      <c r="H75" s="4"/>
    </row>
    <row r="76" spans="1:18" ht="14.25" thickBot="1">
      <c r="A76" s="9"/>
      <c r="B76" s="71" t="s">
        <v>1974</v>
      </c>
      <c r="C76" s="79" t="s">
        <v>331</v>
      </c>
      <c r="D76" s="80"/>
      <c r="E76" s="80" t="s">
        <v>332</v>
      </c>
      <c r="F76" s="81"/>
      <c r="G76" s="4"/>
      <c r="H76" s="4"/>
    </row>
    <row r="77" spans="1:18" ht="13.5">
      <c r="A77" s="47"/>
      <c r="B77" s="47"/>
      <c r="C77" s="47"/>
      <c r="D77" s="47"/>
      <c r="E77" s="47"/>
      <c r="F77" s="47"/>
      <c r="G77" s="4"/>
      <c r="H77" s="4"/>
    </row>
    <row r="78" spans="1:18" ht="13.5">
      <c r="A78" s="9"/>
      <c r="B78" s="82" t="s">
        <v>333</v>
      </c>
      <c r="C78" s="83" t="s">
        <v>334</v>
      </c>
      <c r="D78" s="2138"/>
      <c r="E78" s="84"/>
      <c r="F78" s="85"/>
      <c r="G78" s="4"/>
      <c r="H78" s="4"/>
    </row>
    <row r="79" spans="1:18" ht="13.5">
      <c r="A79" s="9"/>
      <c r="B79" s="86" t="s">
        <v>335</v>
      </c>
      <c r="C79" s="87" t="s">
        <v>3396</v>
      </c>
      <c r="D79" s="88"/>
      <c r="E79" s="88"/>
      <c r="F79" s="89"/>
      <c r="G79" s="90"/>
      <c r="H79" s="90"/>
    </row>
    <row r="80" spans="1:18" ht="13.5">
      <c r="A80" s="9"/>
      <c r="B80" s="91" t="s">
        <v>462</v>
      </c>
      <c r="C80" s="92" t="s">
        <v>1728</v>
      </c>
      <c r="D80" s="93"/>
      <c r="E80" s="93"/>
      <c r="F80" s="94"/>
      <c r="G80" s="90"/>
      <c r="H80" s="90"/>
    </row>
    <row r="81" spans="1:8" ht="13.5">
      <c r="A81" s="9"/>
      <c r="B81" s="91" t="s">
        <v>464</v>
      </c>
      <c r="C81" s="92" t="s">
        <v>2688</v>
      </c>
      <c r="D81" s="93"/>
      <c r="E81" s="93"/>
      <c r="F81" s="94"/>
      <c r="G81" s="90"/>
      <c r="H81" s="90"/>
    </row>
    <row r="82" spans="1:8" ht="13.5">
      <c r="A82" s="9"/>
      <c r="B82" s="91" t="s">
        <v>466</v>
      </c>
      <c r="C82" s="92" t="s">
        <v>1413</v>
      </c>
      <c r="D82" s="93"/>
      <c r="E82" s="93"/>
      <c r="F82" s="94"/>
      <c r="G82" s="90"/>
      <c r="H82" s="90"/>
    </row>
    <row r="83" spans="1:8" ht="13.5">
      <c r="A83" s="9"/>
      <c r="B83" s="91" t="s">
        <v>468</v>
      </c>
      <c r="C83" s="2547" t="s">
        <v>3397</v>
      </c>
      <c r="D83" s="93"/>
      <c r="E83" s="93"/>
      <c r="F83" s="94"/>
      <c r="G83" s="90"/>
      <c r="H83" s="90"/>
    </row>
    <row r="84" spans="1:8" ht="13.5">
      <c r="A84" s="9"/>
      <c r="B84" s="91" t="s">
        <v>470</v>
      </c>
      <c r="C84" s="92" t="s">
        <v>1414</v>
      </c>
      <c r="D84" s="93"/>
      <c r="E84" s="95"/>
      <c r="F84" s="94"/>
      <c r="G84" s="90"/>
      <c r="H84" s="90"/>
    </row>
    <row r="85" spans="1:8" ht="13.5">
      <c r="A85" s="9"/>
      <c r="B85" s="91" t="s">
        <v>472</v>
      </c>
      <c r="C85" s="92" t="s">
        <v>1415</v>
      </c>
      <c r="D85" s="93"/>
      <c r="E85" s="93"/>
      <c r="F85" s="94"/>
      <c r="G85" s="90"/>
      <c r="H85" s="90"/>
    </row>
    <row r="86" spans="1:8" ht="13.5">
      <c r="A86" s="9"/>
      <c r="B86" s="91" t="s">
        <v>474</v>
      </c>
      <c r="C86" s="92" t="s">
        <v>1416</v>
      </c>
      <c r="D86" s="93"/>
      <c r="E86" s="93"/>
      <c r="F86" s="94"/>
      <c r="G86" s="90"/>
      <c r="H86" s="90"/>
    </row>
    <row r="87" spans="1:8" ht="13.5">
      <c r="A87" s="9"/>
      <c r="B87" s="96" t="s">
        <v>476</v>
      </c>
      <c r="C87" s="97" t="s">
        <v>689</v>
      </c>
      <c r="D87" s="2139"/>
      <c r="E87" s="98"/>
      <c r="F87" s="99"/>
      <c r="G87" s="90"/>
      <c r="H87" s="90"/>
    </row>
    <row r="88" spans="1:8" ht="13.5">
      <c r="A88" s="9"/>
      <c r="B88" s="9"/>
      <c r="C88" s="9"/>
      <c r="D88" s="9"/>
      <c r="E88" s="9"/>
      <c r="F88" s="9"/>
      <c r="G88" s="9"/>
      <c r="H88" s="9"/>
    </row>
    <row r="89" spans="1:8" ht="14.25" hidden="1" customHeight="1"/>
    <row r="90" spans="1:8" ht="13.5" hidden="1"/>
    <row r="91" spans="1:8" ht="13.5" hidden="1"/>
    <row r="92" spans="1:8" ht="13.5" hidden="1"/>
    <row r="93" spans="1:8" ht="13.5" hidden="1"/>
    <row r="94" spans="1:8" ht="13.5" hidden="1"/>
    <row r="95" spans="1:8" ht="13.5" hidden="1"/>
    <row r="96" spans="1:8" ht="13.5" hidden="1"/>
    <row r="97" ht="13.5" hidden="1"/>
    <row r="98" ht="13.5" hidden="1"/>
    <row r="99" ht="13.5" hidden="1"/>
    <row r="100" ht="13.5" hidden="1"/>
    <row r="101" ht="13.5" hidden="1"/>
    <row r="102" ht="13.5" hidden="1"/>
    <row r="103" ht="13.5" hidden="1"/>
    <row r="104" ht="13.5" hidden="1"/>
    <row r="105" ht="13.5" hidden="1"/>
    <row r="106" ht="13.5" hidden="1"/>
    <row r="107" ht="13.5" hidden="1"/>
  </sheetData>
  <sheetProtection algorithmName="SHA-512" hashValue="2aeYufuXOdbIoE9PHXraWrTmg4KCKqexPZ78vCQurokOeeTOWRWLvp3WJfzWYLN0Vuk0dJ2MekHVWs4Ngk3lJQ==" saltValue="k4b5oBy/8UDQrAQLYz8Ycg==" spinCount="100000" sheet="1" objects="1" scenarios="1"/>
  <mergeCells count="5">
    <mergeCell ref="C12:E12"/>
    <mergeCell ref="C14:E14"/>
    <mergeCell ref="C20:E20"/>
    <mergeCell ref="C21:E21"/>
    <mergeCell ref="C11:E11"/>
  </mergeCells>
  <phoneticPr fontId="21"/>
  <conditionalFormatting sqref="C11:C18 F12:F13 D12:E14 F15:F16 C20:E20 C22:C25 C39:C40 E47:E55 C56 C60:C62 E64:E65">
    <cfRule type="cellIs" dxfId="161" priority="2" stopIfTrue="1" operator="equal">
      <formula>0</formula>
    </cfRule>
  </conditionalFormatting>
  <conditionalFormatting sqref="E57:E60">
    <cfRule type="cellIs" dxfId="160" priority="1" stopIfTrue="1" operator="equal">
      <formula>0</formula>
    </cfRule>
  </conditionalFormatting>
  <conditionalFormatting sqref="F68">
    <cfRule type="expression" dxfId="159" priority="4" stopIfTrue="1">
      <formula>AND($C$61&gt;0,F68=0)</formula>
    </cfRule>
  </conditionalFormatting>
  <conditionalFormatting sqref="F69">
    <cfRule type="expression" dxfId="158" priority="3" stopIfTrue="1">
      <formula>AND($C$62&gt;0,F69=0)</formula>
    </cfRule>
  </conditionalFormatting>
  <dataValidations count="6">
    <dataValidation type="list" allowBlank="1" showInputMessage="1" showErrorMessage="1" sqref="F13" xr:uid="{00000000-0002-0000-0100-000000000000}">
      <formula1>$I$5:$I$10</formula1>
    </dataValidation>
    <dataValidation type="list" allowBlank="1" showInputMessage="1" showErrorMessage="1" sqref="F15:F16" xr:uid="{00000000-0002-0000-0100-000001000000}">
      <formula1>"予定,竣工"</formula1>
    </dataValidation>
    <dataValidation type="decimal" allowBlank="1" showInputMessage="1" showErrorMessage="1" sqref="F68:F69" xr:uid="{00000000-0002-0000-0100-000002000000}">
      <formula1>0</formula1>
      <formula2>1</formula2>
    </dataValidation>
    <dataValidation type="list" allowBlank="1" showInputMessage="1" showErrorMessage="1" sqref="C23" xr:uid="{00000000-0002-0000-0100-000003000000}">
      <formula1>$I$23:$L$23</formula1>
    </dataValidation>
    <dataValidation type="list" allowBlank="1" showInputMessage="1" showErrorMessage="1" sqref="C43" xr:uid="{00000000-0002-0000-0100-000004000000}">
      <formula1>$I$43:$I$44</formula1>
    </dataValidation>
    <dataValidation type="list" allowBlank="1" showInputMessage="1" showErrorMessage="1" sqref="F12" xr:uid="{00000000-0002-0000-0100-000005000000}">
      <formula1>$I$5:$I$12</formula1>
    </dataValidation>
  </dataValidations>
  <hyperlinks>
    <hyperlink ref="C75" location="結果!A1" tooltip="[結果]シート" display="●結果　" xr:uid="{00000000-0004-0000-0100-000000000000}"/>
    <hyperlink ref="C74" location="スコア!A1" tooltip="[スコア入力]シート" display="●スコア" xr:uid="{00000000-0004-0000-0100-000001000000}"/>
    <hyperlink ref="C76" location="'条件(標準)'!A1" tooltip="[条件（標準）]シート" display="●標準計算" xr:uid="{00000000-0004-0000-0100-000002000000}"/>
    <hyperlink ref="E76" location="'条件(個別)'!A1" tooltip="[条件（個別 ）]シート" display="●個別計算" xr:uid="{00000000-0004-0000-0100-000003000000}"/>
    <hyperlink ref="E75" location="CO2計算!A1" tooltip="[CO2計算]シート" display="●LCCO2計算" xr:uid="{00000000-0004-0000-0100-000004000000}"/>
  </hyperlinks>
  <printOptions horizontalCentered="1"/>
  <pageMargins left="0.59055118110236227" right="0.59055118110236227" top="0.78740157480314965" bottom="0.59055118110236227" header="0.51181102362204722" footer="0.51181102362204722"/>
  <pageSetup paperSize="9" scale="96" orientation="portrait" verticalDpi="4294967293" r:id="rId1"/>
  <headerFooter alignWithMargins="0">
    <oddHeader>&amp;L&amp;F&amp;R&amp;A</oddHeader>
    <oddFooter>&amp;C&amp;P/&amp;N</oddFooter>
  </headerFooter>
  <colBreaks count="1" manualBreakCount="1">
    <brk id="15" max="1048575" man="1"/>
  </col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U211"/>
  <sheetViews>
    <sheetView showGridLines="0" workbookViewId="0">
      <selection activeCell="C11" sqref="C11"/>
    </sheetView>
  </sheetViews>
  <sheetFormatPr defaultColWidth="0" defaultRowHeight="0" customHeight="1" zeroHeight="1"/>
  <cols>
    <col min="1" max="1" width="0.75" style="147" customWidth="1"/>
    <col min="2" max="2" width="2.125" style="164" customWidth="1"/>
    <col min="3" max="3" width="13.375" style="164" customWidth="1"/>
    <col min="4" max="4" width="5.375" style="165" customWidth="1"/>
    <col min="5" max="5" width="9.75" style="166" customWidth="1"/>
    <col min="6" max="6" width="6.25" style="167" customWidth="1"/>
    <col min="7" max="7" width="6.5" style="167" customWidth="1"/>
    <col min="8" max="8" width="13.125" style="167" customWidth="1"/>
    <col min="9" max="9" width="6.875" style="168" customWidth="1"/>
    <col min="10" max="10" width="12.125" style="168" customWidth="1"/>
    <col min="11" max="12" width="11.875" style="167" customWidth="1"/>
    <col min="13" max="13" width="11.75" style="188" customWidth="1"/>
    <col min="14" max="14" width="8.625" style="188" customWidth="1"/>
    <col min="15" max="15" width="11.5" style="188" customWidth="1"/>
    <col min="16" max="16" width="0.75" style="147" customWidth="1"/>
    <col min="17" max="17" width="3.875" style="147" bestFit="1" customWidth="1"/>
    <col min="18" max="18" width="9.875" style="156" hidden="1" customWidth="1"/>
    <col min="19" max="19" width="9.875" style="517" hidden="1" customWidth="1"/>
    <col min="20" max="20" width="9.875" style="156" hidden="1" customWidth="1"/>
    <col min="21" max="21" width="9.125" style="156" hidden="1" customWidth="1"/>
    <col min="22" max="22" width="14.5" style="156" hidden="1" customWidth="1"/>
    <col min="23" max="23" width="11.125" style="156" hidden="1" customWidth="1"/>
    <col min="24" max="24" width="20.5" style="156" hidden="1" customWidth="1"/>
    <col min="25" max="25" width="18.625" style="156" hidden="1" customWidth="1"/>
    <col min="26" max="26" width="23" style="156" hidden="1" customWidth="1"/>
    <col min="27" max="27" width="4.5" style="156" hidden="1" customWidth="1"/>
    <col min="28" max="29" width="6.375" style="156" hidden="1" customWidth="1"/>
    <col min="30" max="31" width="5" style="156" hidden="1" customWidth="1"/>
    <col min="32" max="32" width="5.125" style="156" hidden="1" customWidth="1"/>
    <col min="33" max="47" width="0" style="156" hidden="1" customWidth="1"/>
    <col min="48" max="16384" width="9" style="156" hidden="1"/>
  </cols>
  <sheetData>
    <row r="1" spans="1:28" s="145" customFormat="1" ht="6" customHeight="1" thickBot="1">
      <c r="A1" s="138"/>
      <c r="B1" s="139"/>
      <c r="C1" s="140"/>
      <c r="D1" s="141"/>
      <c r="E1" s="138"/>
      <c r="F1" s="142"/>
      <c r="G1" s="142"/>
      <c r="H1" s="142"/>
      <c r="I1" s="143"/>
      <c r="J1" s="143"/>
      <c r="K1" s="142"/>
      <c r="L1" s="144"/>
      <c r="M1" s="138"/>
      <c r="N1" s="138"/>
      <c r="O1" s="138"/>
      <c r="P1" s="138"/>
      <c r="Q1" s="138"/>
      <c r="S1" s="146"/>
    </row>
    <row r="2" spans="1:28" ht="18.75" customHeight="1" thickTop="1">
      <c r="B2" s="148"/>
      <c r="C2" s="149"/>
      <c r="D2" s="150"/>
      <c r="E2" s="151"/>
      <c r="F2" s="152"/>
      <c r="G2" s="152"/>
      <c r="H2" s="152"/>
      <c r="I2" s="153"/>
      <c r="J2" s="154"/>
      <c r="K2" s="154"/>
      <c r="L2" s="154"/>
      <c r="M2" s="154"/>
      <c r="N2" s="152"/>
      <c r="O2" s="155"/>
      <c r="Q2" s="2652" t="s">
        <v>2259</v>
      </c>
      <c r="S2" s="156"/>
    </row>
    <row r="3" spans="1:28" ht="18.75" customHeight="1">
      <c r="B3" s="148"/>
      <c r="C3" s="149"/>
      <c r="D3" s="150"/>
      <c r="E3" s="151"/>
      <c r="F3" s="152"/>
      <c r="G3" s="152"/>
      <c r="H3" s="152"/>
      <c r="I3" s="153"/>
      <c r="J3" s="154"/>
      <c r="K3" s="154"/>
      <c r="L3" s="154"/>
      <c r="M3" s="154"/>
      <c r="N3" s="152"/>
      <c r="O3" s="157"/>
      <c r="Q3" s="2653"/>
      <c r="S3" s="156"/>
    </row>
    <row r="4" spans="1:28" ht="18.75" customHeight="1">
      <c r="B4" s="148"/>
      <c r="C4" s="149"/>
      <c r="D4" s="150"/>
      <c r="E4" s="151"/>
      <c r="F4" s="152"/>
      <c r="G4" s="152"/>
      <c r="H4" s="152"/>
      <c r="I4" s="158"/>
      <c r="J4" s="154"/>
      <c r="K4" s="154"/>
      <c r="L4" s="154"/>
      <c r="M4" s="154"/>
      <c r="N4" s="152"/>
      <c r="O4" s="155"/>
      <c r="Q4" s="2653"/>
      <c r="S4" s="156"/>
    </row>
    <row r="5" spans="1:28" ht="13.5" customHeight="1" thickBot="1">
      <c r="B5" s="159"/>
      <c r="C5" s="160"/>
      <c r="D5" s="150"/>
      <c r="E5" s="151"/>
      <c r="F5" s="152"/>
      <c r="G5" s="152"/>
      <c r="H5" s="152"/>
      <c r="I5" s="161"/>
      <c r="J5" s="162" t="s">
        <v>2148</v>
      </c>
      <c r="K5" s="2655" t="str">
        <f>メイン!C6</f>
        <v>CASBEE-建築(既存)2014年版</v>
      </c>
      <c r="L5" s="2656"/>
      <c r="M5" s="162" t="s">
        <v>2260</v>
      </c>
      <c r="N5" s="2655" t="str">
        <f>メイン!C5</f>
        <v>CASBEE-BD_EB_2014(v.3.03)</v>
      </c>
      <c r="O5" s="2657"/>
      <c r="Q5" s="2654"/>
      <c r="S5" s="156"/>
    </row>
    <row r="6" spans="1:28" ht="6" customHeight="1" thickTop="1" thickBot="1">
      <c r="B6" s="163"/>
      <c r="J6" s="169"/>
      <c r="K6" s="169"/>
      <c r="L6" s="170"/>
      <c r="M6" s="166"/>
      <c r="N6" s="166"/>
      <c r="O6" s="166"/>
      <c r="S6" s="156"/>
    </row>
    <row r="7" spans="1:28" ht="19.5" customHeight="1" thickBot="1">
      <c r="B7" s="171" t="s">
        <v>2261</v>
      </c>
      <c r="C7" s="172"/>
      <c r="D7" s="173"/>
      <c r="E7" s="172"/>
      <c r="F7" s="172"/>
      <c r="G7" s="172"/>
      <c r="H7" s="174"/>
      <c r="I7" s="175"/>
      <c r="J7" s="175"/>
      <c r="K7" s="175"/>
      <c r="L7" s="176" t="s">
        <v>2262</v>
      </c>
      <c r="M7" s="172"/>
      <c r="N7" s="172"/>
      <c r="O7" s="177"/>
      <c r="R7" s="178" t="s">
        <v>2263</v>
      </c>
      <c r="S7" s="156"/>
      <c r="U7" s="178" t="s">
        <v>2264</v>
      </c>
    </row>
    <row r="8" spans="1:28" ht="19.5" customHeight="1">
      <c r="B8" s="179" t="s">
        <v>2265</v>
      </c>
      <c r="C8" s="180"/>
      <c r="D8" s="181" t="str">
        <f>メイン!C11</f>
        <v>○○ビル</v>
      </c>
      <c r="E8" s="180"/>
      <c r="F8" s="180"/>
      <c r="G8" s="182"/>
      <c r="H8" s="183" t="s">
        <v>2266</v>
      </c>
      <c r="I8" s="184"/>
      <c r="J8" s="185" t="str">
        <f>メイン!C22</f>
        <v>地上○○F</v>
      </c>
      <c r="K8" s="186"/>
      <c r="L8" s="187"/>
      <c r="O8" s="189"/>
      <c r="R8" s="190" t="s">
        <v>2431</v>
      </c>
      <c r="S8" s="190">
        <f>スコア!Z8</f>
        <v>3.0127254098360656</v>
      </c>
      <c r="U8" s="191"/>
      <c r="V8" s="191" t="s">
        <v>2267</v>
      </c>
      <c r="W8" s="192" t="s">
        <v>2432</v>
      </c>
      <c r="X8" s="192">
        <v>4</v>
      </c>
      <c r="Y8" s="192">
        <v>2</v>
      </c>
      <c r="Z8" s="193" t="s">
        <v>2433</v>
      </c>
      <c r="AA8" s="190" t="s">
        <v>2434</v>
      </c>
    </row>
    <row r="9" spans="1:28" ht="19.5" customHeight="1">
      <c r="B9" s="194" t="s">
        <v>2269</v>
      </c>
      <c r="C9" s="195"/>
      <c r="D9" s="196" t="str">
        <f>メイン!C12</f>
        <v>○○県○○市</v>
      </c>
      <c r="E9" s="195"/>
      <c r="F9" s="197"/>
      <c r="G9" s="156"/>
      <c r="H9" s="198" t="s">
        <v>2270</v>
      </c>
      <c r="I9" s="199"/>
      <c r="J9" s="200" t="str">
        <f>メイン!C23</f>
        <v>RC造</v>
      </c>
      <c r="K9" s="201"/>
      <c r="L9" s="202"/>
      <c r="M9" s="156"/>
      <c r="N9" s="156"/>
      <c r="O9" s="203"/>
      <c r="R9" s="190" t="s">
        <v>2435</v>
      </c>
      <c r="S9" s="190" t="e">
        <f>スコア!Z116</f>
        <v>#N/A</v>
      </c>
      <c r="U9" s="193" t="s">
        <v>2436</v>
      </c>
      <c r="V9" s="191" t="s">
        <v>749</v>
      </c>
      <c r="W9" s="192">
        <v>5</v>
      </c>
      <c r="X9" s="192">
        <v>4</v>
      </c>
      <c r="Y9" s="192">
        <v>2</v>
      </c>
      <c r="Z9" s="204">
        <f>V45</f>
        <v>3</v>
      </c>
      <c r="AA9" s="190">
        <v>3</v>
      </c>
    </row>
    <row r="10" spans="1:28" ht="18.75" customHeight="1">
      <c r="B10" s="194" t="s">
        <v>322</v>
      </c>
      <c r="C10" s="205"/>
      <c r="D10" s="196" t="str">
        <f>メイン!C14</f>
        <v>商業地域、防火地域</v>
      </c>
      <c r="E10" s="205"/>
      <c r="F10" s="205"/>
      <c r="G10" s="156"/>
      <c r="H10" s="183" t="s">
        <v>2275</v>
      </c>
      <c r="I10" s="184"/>
      <c r="J10" s="206" t="str">
        <f>メイン!C24</f>
        <v>XX</v>
      </c>
      <c r="K10" s="197" t="s">
        <v>2276</v>
      </c>
      <c r="L10" s="207"/>
      <c r="M10" s="208"/>
      <c r="N10" s="208"/>
      <c r="O10" s="209"/>
      <c r="R10" s="193" t="s">
        <v>750</v>
      </c>
      <c r="S10" s="193">
        <f>25*(S8-1)</f>
        <v>50.318135245901644</v>
      </c>
      <c r="U10" s="193" t="s">
        <v>751</v>
      </c>
      <c r="V10" s="210" t="s">
        <v>2277</v>
      </c>
      <c r="W10" s="192">
        <v>5</v>
      </c>
      <c r="X10" s="192">
        <v>4</v>
      </c>
      <c r="Y10" s="192">
        <v>2</v>
      </c>
      <c r="Z10" s="204">
        <f>Y45</f>
        <v>3</v>
      </c>
      <c r="AA10" s="190">
        <v>3</v>
      </c>
    </row>
    <row r="11" spans="1:28" ht="18.75" customHeight="1">
      <c r="B11" s="211" t="s">
        <v>3378</v>
      </c>
      <c r="C11" s="212"/>
      <c r="D11" s="200" t="str">
        <f>IF(メイン!F12="","",メイン!F12)</f>
        <v/>
      </c>
      <c r="E11" s="212"/>
      <c r="F11" s="213"/>
      <c r="G11" s="214"/>
      <c r="H11" s="198" t="s">
        <v>2278</v>
      </c>
      <c r="I11" s="199"/>
      <c r="J11" s="215" t="str">
        <f>メイン!C25</f>
        <v>XXX</v>
      </c>
      <c r="K11" s="216" t="s">
        <v>2279</v>
      </c>
      <c r="L11" s="207"/>
      <c r="M11" s="208"/>
      <c r="N11" s="208"/>
      <c r="O11" s="209"/>
      <c r="R11" s="193" t="s">
        <v>2280</v>
      </c>
      <c r="S11" s="193" t="e">
        <f>25*(5-S9)</f>
        <v>#N/A</v>
      </c>
      <c r="U11" s="193" t="s">
        <v>1818</v>
      </c>
      <c r="V11" s="217" t="s">
        <v>2281</v>
      </c>
      <c r="W11" s="192">
        <v>5</v>
      </c>
      <c r="X11" s="192">
        <v>4</v>
      </c>
      <c r="Y11" s="192">
        <v>2</v>
      </c>
      <c r="Z11" s="204" t="e">
        <f>Y56</f>
        <v>#N/A</v>
      </c>
      <c r="AA11" s="190">
        <v>3</v>
      </c>
    </row>
    <row r="12" spans="1:28" ht="18.75" customHeight="1">
      <c r="B12" s="218" t="s">
        <v>2282</v>
      </c>
      <c r="C12" s="219"/>
      <c r="D12" s="220" t="str">
        <f>メイン!C21</f>
        <v>事務所,学校,集会所,</v>
      </c>
      <c r="E12" s="219"/>
      <c r="F12" s="219"/>
      <c r="G12" s="221"/>
      <c r="H12" s="198" t="s">
        <v>2283</v>
      </c>
      <c r="I12" s="222"/>
      <c r="J12" s="200" t="str">
        <f>IF(メイン!E39=0,"",メイン!E39&amp;"評価")</f>
        <v/>
      </c>
      <c r="K12" s="223"/>
      <c r="L12" s="207"/>
      <c r="M12" s="224" t="s">
        <v>2284</v>
      </c>
      <c r="N12" s="208"/>
      <c r="O12" s="209"/>
      <c r="R12" s="193" t="s">
        <v>2285</v>
      </c>
      <c r="S12" s="193" t="e">
        <f>S10/S11</f>
        <v>#N/A</v>
      </c>
      <c r="U12" s="193" t="s">
        <v>2397</v>
      </c>
      <c r="V12" s="217" t="s">
        <v>2286</v>
      </c>
      <c r="W12" s="192">
        <v>5</v>
      </c>
      <c r="X12" s="192">
        <v>4</v>
      </c>
      <c r="Y12" s="192">
        <v>2</v>
      </c>
      <c r="Z12" s="204">
        <f>V56</f>
        <v>3</v>
      </c>
      <c r="AA12" s="190">
        <v>3</v>
      </c>
    </row>
    <row r="13" spans="1:28" ht="18.75" customHeight="1">
      <c r="B13" s="225" t="s">
        <v>609</v>
      </c>
      <c r="C13" s="226"/>
      <c r="D13" s="2663">
        <f>メイン!C15</f>
        <v>42705</v>
      </c>
      <c r="E13" s="2664"/>
      <c r="F13" s="227">
        <f>メイン!F15</f>
        <v>0</v>
      </c>
      <c r="G13" s="221"/>
      <c r="H13" s="183" t="s">
        <v>610</v>
      </c>
      <c r="I13" s="228"/>
      <c r="J13" s="229">
        <f>IF(メイン!C39=0,"",メイン!C39)</f>
        <v>41828</v>
      </c>
      <c r="K13" s="230"/>
      <c r="L13" s="207"/>
      <c r="M13" s="231" t="s">
        <v>2948</v>
      </c>
      <c r="N13" s="208"/>
      <c r="O13" s="209"/>
      <c r="R13" s="193" t="s">
        <v>752</v>
      </c>
      <c r="S13" s="232" t="e">
        <f>ROUNDDOWN(S12,1)</f>
        <v>#N/A</v>
      </c>
      <c r="U13" s="193" t="s">
        <v>753</v>
      </c>
      <c r="V13" s="217" t="s">
        <v>754</v>
      </c>
      <c r="W13" s="192">
        <v>5</v>
      </c>
      <c r="X13" s="192">
        <v>4</v>
      </c>
      <c r="Y13" s="192">
        <v>2</v>
      </c>
      <c r="Z13" s="204" t="e">
        <f>S56</f>
        <v>#N/A</v>
      </c>
      <c r="AA13" s="190">
        <v>3</v>
      </c>
    </row>
    <row r="14" spans="1:28" ht="18.75" customHeight="1">
      <c r="B14" s="183" t="s">
        <v>611</v>
      </c>
      <c r="C14" s="233"/>
      <c r="D14" s="234"/>
      <c r="E14" s="235" t="str">
        <f>メイン!C17</f>
        <v>XXX</v>
      </c>
      <c r="F14" s="236" t="s">
        <v>755</v>
      </c>
      <c r="G14" s="156"/>
      <c r="H14" s="183" t="s">
        <v>612</v>
      </c>
      <c r="I14" s="228"/>
      <c r="J14" s="237" t="str">
        <f>IF(メイン!C40=0,"",メイン!C40)</f>
        <v>○○○</v>
      </c>
      <c r="K14" s="230"/>
      <c r="L14" s="207"/>
      <c r="M14" s="231" t="s">
        <v>2949</v>
      </c>
      <c r="N14" s="208"/>
      <c r="O14" s="209"/>
      <c r="S14" s="238"/>
      <c r="U14" s="193" t="s">
        <v>756</v>
      </c>
      <c r="V14" s="210" t="s">
        <v>613</v>
      </c>
      <c r="W14" s="192">
        <v>5</v>
      </c>
      <c r="X14" s="192">
        <v>4</v>
      </c>
      <c r="Y14" s="192">
        <v>2</v>
      </c>
      <c r="Z14" s="204">
        <f>IF(S45=0,1,S45)</f>
        <v>3</v>
      </c>
      <c r="AA14" s="190">
        <v>3</v>
      </c>
    </row>
    <row r="15" spans="1:28" ht="18.75" customHeight="1">
      <c r="B15" s="183" t="s">
        <v>614</v>
      </c>
      <c r="C15" s="233"/>
      <c r="D15" s="234"/>
      <c r="E15" s="235" t="str">
        <f>メイン!C18</f>
        <v>XXX</v>
      </c>
      <c r="F15" s="236" t="s">
        <v>757</v>
      </c>
      <c r="G15" s="156"/>
      <c r="H15" s="183" t="s">
        <v>615</v>
      </c>
      <c r="I15" s="228"/>
      <c r="J15" s="229">
        <f>IF(メイン!C41=0,"",メイン!C41)</f>
        <v>41830</v>
      </c>
      <c r="K15" s="230"/>
      <c r="L15" s="207"/>
      <c r="M15" s="208"/>
      <c r="N15" s="208"/>
      <c r="O15" s="209"/>
      <c r="R15" s="193" t="s">
        <v>616</v>
      </c>
      <c r="S15" s="239" t="e">
        <f>IF(AND($S$10&gt;=50,$S$12&gt;=3),1,IF(S13&lt;0.5,1,IF(S13&lt;1,2,IF(S13&lt;1.5,3,IF(S13&lt;3,4,4))))/5)</f>
        <v>#N/A</v>
      </c>
      <c r="V15" s="147"/>
      <c r="Z15" s="147"/>
    </row>
    <row r="16" spans="1:28" ht="18" customHeight="1" thickBot="1">
      <c r="B16" s="183" t="s">
        <v>617</v>
      </c>
      <c r="C16" s="233"/>
      <c r="D16" s="234"/>
      <c r="E16" s="240">
        <f>メイン!J66</f>
        <v>14500</v>
      </c>
      <c r="F16" s="241" t="s">
        <v>755</v>
      </c>
      <c r="G16" s="156"/>
      <c r="H16" s="183" t="s">
        <v>618</v>
      </c>
      <c r="I16" s="228"/>
      <c r="J16" s="237" t="str">
        <f>IF(メイン!C42=0,"",メイン!C42)</f>
        <v>○○○</v>
      </c>
      <c r="K16" s="230"/>
      <c r="L16" s="242"/>
      <c r="M16" s="243"/>
      <c r="N16" s="243"/>
      <c r="O16" s="244"/>
      <c r="R16" s="193" t="s">
        <v>619</v>
      </c>
      <c r="S16" s="245" t="e">
        <f>1-S15</f>
        <v>#N/A</v>
      </c>
      <c r="T16" s="147"/>
      <c r="U16" s="246"/>
      <c r="V16" s="147"/>
      <c r="W16" s="147"/>
      <c r="X16" s="147"/>
      <c r="Y16" s="147"/>
      <c r="Z16" s="147"/>
      <c r="AA16" s="147"/>
      <c r="AB16" s="147"/>
    </row>
    <row r="17" spans="2:28" ht="15" hidden="1" thickBot="1">
      <c r="B17" s="247" t="s">
        <v>620</v>
      </c>
      <c r="C17" s="156"/>
      <c r="D17" s="156"/>
      <c r="E17" s="156"/>
      <c r="F17" s="156"/>
      <c r="G17" s="156"/>
      <c r="H17" s="156"/>
      <c r="I17" s="156"/>
      <c r="J17" s="156"/>
      <c r="K17" s="156"/>
      <c r="L17" s="248" t="s">
        <v>621</v>
      </c>
      <c r="M17" s="249" t="s">
        <v>622</v>
      </c>
      <c r="N17" s="156"/>
      <c r="O17" s="203"/>
      <c r="R17" s="147"/>
      <c r="S17" s="147"/>
      <c r="T17" s="147"/>
      <c r="U17" s="147"/>
      <c r="V17" s="147"/>
      <c r="W17" s="147"/>
      <c r="X17" s="147"/>
      <c r="Y17" s="147"/>
      <c r="Z17" s="147"/>
      <c r="AA17" s="147"/>
      <c r="AB17" s="147"/>
    </row>
    <row r="18" spans="2:28" ht="15" hidden="1" thickBot="1">
      <c r="B18" s="247" t="s">
        <v>623</v>
      </c>
      <c r="C18" s="250"/>
      <c r="D18" s="156"/>
      <c r="E18" s="156"/>
      <c r="F18" s="147"/>
      <c r="G18" s="147"/>
      <c r="H18" s="156"/>
      <c r="I18" s="156"/>
      <c r="J18" s="156"/>
      <c r="K18" s="156"/>
      <c r="L18" s="251"/>
      <c r="M18" s="249" t="s">
        <v>624</v>
      </c>
      <c r="N18" s="147"/>
      <c r="O18" s="252"/>
      <c r="R18" s="241"/>
      <c r="S18" s="184"/>
      <c r="T18" s="147"/>
      <c r="U18" s="147"/>
      <c r="V18" s="184"/>
      <c r="W18" s="188"/>
      <c r="X18" s="147"/>
      <c r="Y18" s="147"/>
      <c r="Z18" s="147"/>
      <c r="AA18" s="147"/>
      <c r="AB18" s="147"/>
    </row>
    <row r="19" spans="2:28" ht="15" hidden="1" thickBot="1">
      <c r="B19" s="253" t="s">
        <v>625</v>
      </c>
      <c r="C19" s="184"/>
      <c r="D19" s="156"/>
      <c r="E19" s="156"/>
      <c r="F19" s="147"/>
      <c r="G19" s="147"/>
      <c r="H19" s="156"/>
      <c r="I19" s="156"/>
      <c r="J19" s="156"/>
      <c r="K19" s="156"/>
      <c r="L19" s="251"/>
      <c r="M19" s="249" t="s">
        <v>626</v>
      </c>
      <c r="N19" s="147"/>
      <c r="O19" s="252"/>
      <c r="R19" s="241"/>
      <c r="S19" s="184"/>
      <c r="T19" s="147"/>
      <c r="U19" s="147"/>
      <c r="V19" s="184"/>
      <c r="W19" s="188"/>
      <c r="X19" s="147"/>
      <c r="Y19" s="147"/>
      <c r="Z19" s="147"/>
      <c r="AA19" s="147"/>
      <c r="AB19" s="147"/>
    </row>
    <row r="20" spans="2:28" ht="15" hidden="1" thickBot="1">
      <c r="B20" s="253" t="s">
        <v>627</v>
      </c>
      <c r="C20" s="205"/>
      <c r="D20" s="254"/>
      <c r="E20" s="254"/>
      <c r="F20" s="255"/>
      <c r="G20" s="255"/>
      <c r="H20" s="156"/>
      <c r="I20" s="156"/>
      <c r="J20" s="156"/>
      <c r="K20" s="156"/>
      <c r="L20" s="256"/>
      <c r="M20" s="257" t="s">
        <v>628</v>
      </c>
      <c r="N20" s="255"/>
      <c r="O20" s="258"/>
      <c r="R20" s="241"/>
      <c r="S20" s="184"/>
      <c r="T20" s="147"/>
      <c r="U20" s="147"/>
      <c r="V20" s="184"/>
      <c r="W20" s="188"/>
      <c r="X20" s="147"/>
      <c r="Y20" s="147"/>
      <c r="Z20" s="147"/>
      <c r="AA20" s="147"/>
      <c r="AB20" s="147"/>
    </row>
    <row r="21" spans="2:28" ht="6.75" customHeight="1" thickBot="1">
      <c r="B21" s="259"/>
      <c r="C21" s="260"/>
      <c r="D21" s="259"/>
      <c r="E21" s="261"/>
      <c r="F21" s="261"/>
      <c r="G21" s="261"/>
      <c r="H21" s="261"/>
      <c r="I21" s="262"/>
      <c r="J21" s="263"/>
      <c r="K21" s="264"/>
      <c r="L21" s="261"/>
      <c r="M21" s="261"/>
      <c r="N21" s="261"/>
      <c r="O21" s="261"/>
      <c r="R21" s="241"/>
      <c r="S21" s="184"/>
      <c r="T21" s="147"/>
      <c r="U21" s="147"/>
      <c r="V21" s="184"/>
      <c r="W21" s="188"/>
      <c r="X21" s="147"/>
      <c r="Y21" s="147"/>
      <c r="Z21" s="147"/>
      <c r="AA21" s="147"/>
      <c r="AB21" s="147"/>
    </row>
    <row r="22" spans="2:28" ht="19.5" thickBot="1">
      <c r="B22" s="265" t="s">
        <v>629</v>
      </c>
      <c r="C22" s="266"/>
      <c r="D22" s="267"/>
      <c r="E22" s="268"/>
      <c r="F22" s="268"/>
      <c r="G22" s="268"/>
      <c r="H22" s="269" t="s">
        <v>630</v>
      </c>
      <c r="I22" s="270"/>
      <c r="J22" s="271"/>
      <c r="K22" s="271"/>
      <c r="L22" s="272" t="s">
        <v>631</v>
      </c>
      <c r="M22" s="266"/>
      <c r="N22" s="267"/>
      <c r="O22" s="268"/>
      <c r="R22" s="193" t="s">
        <v>758</v>
      </c>
      <c r="S22" s="191" t="s">
        <v>632</v>
      </c>
      <c r="T22" s="191" t="s">
        <v>633</v>
      </c>
      <c r="U22" s="191" t="s">
        <v>634</v>
      </c>
      <c r="AB22" s="147"/>
    </row>
    <row r="23" spans="2:28" ht="15" customHeight="1">
      <c r="B23" s="202"/>
      <c r="C23" s="156"/>
      <c r="D23" s="156"/>
      <c r="E23" s="156"/>
      <c r="F23" s="156"/>
      <c r="G23" s="156"/>
      <c r="H23" s="273"/>
      <c r="I23" s="274"/>
      <c r="J23" s="261"/>
      <c r="K23" s="275"/>
      <c r="L23" s="276"/>
      <c r="M23" s="156"/>
      <c r="N23" s="156"/>
      <c r="O23" s="203"/>
      <c r="P23" s="156"/>
      <c r="Q23" s="156"/>
      <c r="R23" s="193" t="s">
        <v>635</v>
      </c>
      <c r="S23" s="204"/>
      <c r="T23" s="277" t="e">
        <f>S11</f>
        <v>#N/A</v>
      </c>
      <c r="U23" s="204">
        <v>0</v>
      </c>
      <c r="V23" s="147"/>
      <c r="W23" s="191" t="s">
        <v>636</v>
      </c>
      <c r="X23" s="191"/>
      <c r="Y23" s="147"/>
      <c r="Z23" s="191" t="s">
        <v>637</v>
      </c>
      <c r="AA23" s="191"/>
      <c r="AB23" s="147"/>
    </row>
    <row r="24" spans="2:28" ht="15" customHeight="1">
      <c r="B24" s="278"/>
      <c r="C24" s="279" t="e">
        <f>S13</f>
        <v>#N/A</v>
      </c>
      <c r="D24" s="156"/>
      <c r="E24" s="156"/>
      <c r="F24" s="156"/>
      <c r="G24" s="156"/>
      <c r="H24" s="280"/>
      <c r="I24" s="281"/>
      <c r="J24" s="282"/>
      <c r="K24" s="283"/>
      <c r="L24" s="284"/>
      <c r="M24" s="156"/>
      <c r="N24" s="156"/>
      <c r="O24" s="203"/>
      <c r="P24" s="156"/>
      <c r="Q24" s="156"/>
      <c r="R24" s="193" t="s">
        <v>638</v>
      </c>
      <c r="S24" s="204"/>
      <c r="T24" s="277">
        <f>S10</f>
        <v>50.318135245901644</v>
      </c>
      <c r="U24" s="204">
        <v>0</v>
      </c>
      <c r="V24" s="147"/>
      <c r="W24" s="204">
        <v>50</v>
      </c>
      <c r="X24" s="204">
        <v>50</v>
      </c>
      <c r="Y24" s="147"/>
      <c r="Z24" s="204">
        <v>0</v>
      </c>
      <c r="AA24" s="204">
        <v>100</v>
      </c>
      <c r="AB24" s="147"/>
    </row>
    <row r="25" spans="2:28" ht="15" customHeight="1">
      <c r="B25" s="202"/>
      <c r="C25" s="156"/>
      <c r="D25" s="156"/>
      <c r="E25" s="156"/>
      <c r="F25" s="156"/>
      <c r="G25" s="156"/>
      <c r="H25" s="280"/>
      <c r="I25" s="156"/>
      <c r="J25" s="282"/>
      <c r="K25" s="283"/>
      <c r="L25" s="284"/>
      <c r="M25" s="156"/>
      <c r="N25" s="156"/>
      <c r="O25" s="203"/>
      <c r="P25" s="156"/>
      <c r="Q25" s="156"/>
      <c r="R25" s="204">
        <v>0</v>
      </c>
      <c r="S25" s="191" t="e">
        <f>T23</f>
        <v>#N/A</v>
      </c>
      <c r="T25" s="285" t="e">
        <f>T23</f>
        <v>#N/A</v>
      </c>
      <c r="U25" s="191">
        <v>0.1</v>
      </c>
      <c r="V25" s="147"/>
      <c r="W25" s="204">
        <v>0</v>
      </c>
      <c r="X25" s="204">
        <v>100</v>
      </c>
      <c r="Y25" s="147"/>
      <c r="Z25" s="204">
        <v>50</v>
      </c>
      <c r="AA25" s="204">
        <v>50</v>
      </c>
      <c r="AB25" s="147"/>
    </row>
    <row r="26" spans="2:28" ht="15" customHeight="1">
      <c r="B26" s="286"/>
      <c r="C26" s="287"/>
      <c r="D26" s="287"/>
      <c r="E26" s="287"/>
      <c r="F26" s="287"/>
      <c r="G26" s="287"/>
      <c r="H26" s="288"/>
      <c r="I26" s="289"/>
      <c r="J26" s="290"/>
      <c r="K26" s="291"/>
      <c r="L26" s="202"/>
      <c r="M26" s="156"/>
      <c r="O26" s="203"/>
      <c r="P26" s="156"/>
      <c r="Q26" s="156"/>
      <c r="R26" s="204">
        <v>0</v>
      </c>
      <c r="S26" s="191">
        <v>0</v>
      </c>
      <c r="T26" s="191">
        <f>T24</f>
        <v>50.318135245901644</v>
      </c>
      <c r="U26" s="292">
        <f>T24</f>
        <v>50.318135245901644</v>
      </c>
      <c r="V26" s="147"/>
      <c r="W26" s="147"/>
      <c r="X26" s="147"/>
      <c r="Y26" s="147"/>
      <c r="Z26" s="147"/>
      <c r="AA26" s="147"/>
      <c r="AB26" s="147"/>
    </row>
    <row r="27" spans="2:28" ht="15" customHeight="1">
      <c r="B27" s="202"/>
      <c r="C27" s="156"/>
      <c r="D27" s="156"/>
      <c r="E27" s="156"/>
      <c r="F27" s="156"/>
      <c r="G27" s="156"/>
      <c r="H27" s="293" t="str">
        <f>U35</f>
        <v>標準計算</v>
      </c>
      <c r="I27" s="156"/>
      <c r="J27" s="282"/>
      <c r="K27" s="282"/>
      <c r="L27" s="202"/>
      <c r="M27" s="156"/>
      <c r="N27" s="156"/>
      <c r="O27" s="203"/>
      <c r="P27" s="156"/>
      <c r="Q27" s="156"/>
      <c r="S27" s="156"/>
      <c r="V27" s="147"/>
      <c r="W27" s="147"/>
      <c r="X27" s="147"/>
      <c r="Y27" s="147"/>
      <c r="Z27" s="147"/>
      <c r="AA27" s="147"/>
      <c r="AB27" s="147"/>
    </row>
    <row r="28" spans="2:28" ht="15" customHeight="1">
      <c r="B28" s="202"/>
      <c r="C28" s="156"/>
      <c r="D28" s="156"/>
      <c r="E28" s="156"/>
      <c r="F28" s="156"/>
      <c r="G28" s="156"/>
      <c r="H28" s="202"/>
      <c r="I28" s="156"/>
      <c r="J28" s="282"/>
      <c r="K28" s="283"/>
      <c r="L28" s="294"/>
      <c r="M28" s="295"/>
      <c r="N28" s="296"/>
      <c r="O28" s="297"/>
      <c r="P28" s="156"/>
      <c r="Q28" s="156"/>
      <c r="R28" s="298" t="s">
        <v>759</v>
      </c>
      <c r="S28" s="191" t="s">
        <v>760</v>
      </c>
      <c r="T28" s="299">
        <v>0</v>
      </c>
      <c r="U28" s="299">
        <f>100/6</f>
        <v>16.666666666666668</v>
      </c>
      <c r="V28" s="300">
        <f>U28*2</f>
        <v>33.333333333333336</v>
      </c>
      <c r="W28" s="299">
        <f>U28*3</f>
        <v>50</v>
      </c>
      <c r="X28" s="299">
        <f>U28*4</f>
        <v>66.666666666666671</v>
      </c>
      <c r="Y28" s="299">
        <f>U28*5</f>
        <v>83.333333333333343</v>
      </c>
      <c r="Z28" s="299">
        <v>100</v>
      </c>
      <c r="AA28" s="147"/>
      <c r="AB28" s="147"/>
    </row>
    <row r="29" spans="2:28" ht="15" customHeight="1">
      <c r="B29" s="202"/>
      <c r="C29" s="156"/>
      <c r="D29" s="156"/>
      <c r="E29" s="156"/>
      <c r="F29" s="156"/>
      <c r="G29" s="156"/>
      <c r="H29" s="202"/>
      <c r="I29" s="156"/>
      <c r="J29" s="282"/>
      <c r="K29" s="283"/>
      <c r="L29" s="294"/>
      <c r="M29" s="295"/>
      <c r="N29" s="296"/>
      <c r="O29" s="297"/>
      <c r="P29" s="156"/>
      <c r="Q29" s="156"/>
      <c r="R29" s="298"/>
      <c r="S29" s="191" t="s">
        <v>761</v>
      </c>
      <c r="T29" s="299">
        <v>100</v>
      </c>
      <c r="U29" s="299">
        <v>100</v>
      </c>
      <c r="V29" s="299">
        <v>100</v>
      </c>
      <c r="W29" s="299">
        <v>100</v>
      </c>
      <c r="X29" s="299">
        <v>100</v>
      </c>
      <c r="Y29" s="299">
        <v>100</v>
      </c>
      <c r="Z29" s="299">
        <v>100</v>
      </c>
      <c r="AA29" s="147"/>
      <c r="AB29" s="147"/>
    </row>
    <row r="30" spans="2:28" ht="15" customHeight="1">
      <c r="B30" s="202"/>
      <c r="C30" s="156"/>
      <c r="D30" s="156"/>
      <c r="E30" s="156"/>
      <c r="F30" s="156"/>
      <c r="G30" s="156"/>
      <c r="H30" s="202"/>
      <c r="I30" s="156"/>
      <c r="J30" s="282"/>
      <c r="K30" s="283"/>
      <c r="L30" s="301"/>
      <c r="M30" s="302"/>
      <c r="N30" s="303"/>
      <c r="O30" s="304"/>
      <c r="P30" s="156"/>
      <c r="Q30" s="156"/>
      <c r="R30" s="298">
        <v>3</v>
      </c>
      <c r="S30" s="191" t="s">
        <v>762</v>
      </c>
      <c r="T30" s="299">
        <v>50</v>
      </c>
      <c r="U30" s="299">
        <f t="shared" ref="U30:V33" si="0">U$28*$R30</f>
        <v>50</v>
      </c>
      <c r="V30" s="299">
        <f t="shared" si="0"/>
        <v>100</v>
      </c>
      <c r="W30" s="299">
        <v>100</v>
      </c>
      <c r="X30" s="299">
        <v>100</v>
      </c>
      <c r="Y30" s="299">
        <v>100</v>
      </c>
      <c r="Z30" s="299">
        <v>100</v>
      </c>
      <c r="AA30" s="147"/>
      <c r="AB30" s="147"/>
    </row>
    <row r="31" spans="2:28" ht="15" customHeight="1">
      <c r="B31" s="202"/>
      <c r="C31" s="156"/>
      <c r="D31" s="156"/>
      <c r="E31" s="156"/>
      <c r="F31" s="156"/>
      <c r="G31" s="156"/>
      <c r="H31" s="202"/>
      <c r="I31" s="156"/>
      <c r="J31" s="282"/>
      <c r="K31" s="283"/>
      <c r="L31" s="294"/>
      <c r="M31" s="295"/>
      <c r="N31" s="296"/>
      <c r="O31" s="297"/>
      <c r="P31" s="156"/>
      <c r="Q31" s="156"/>
      <c r="R31" s="298">
        <v>1.5</v>
      </c>
      <c r="S31" s="191" t="s">
        <v>763</v>
      </c>
      <c r="T31" s="299">
        <v>0</v>
      </c>
      <c r="U31" s="299">
        <f t="shared" si="0"/>
        <v>25</v>
      </c>
      <c r="V31" s="299">
        <f t="shared" si="0"/>
        <v>50</v>
      </c>
      <c r="W31" s="299">
        <f t="shared" ref="W31:X33" si="1">W$28*$R31</f>
        <v>75</v>
      </c>
      <c r="X31" s="299">
        <f t="shared" si="1"/>
        <v>100</v>
      </c>
      <c r="Y31" s="299">
        <v>100</v>
      </c>
      <c r="Z31" s="299">
        <v>100</v>
      </c>
      <c r="AA31" s="147"/>
      <c r="AB31" s="147"/>
    </row>
    <row r="32" spans="2:28" ht="15" customHeight="1">
      <c r="B32" s="202"/>
      <c r="C32" s="156"/>
      <c r="D32" s="156"/>
      <c r="E32" s="156"/>
      <c r="F32" s="156"/>
      <c r="G32" s="156"/>
      <c r="H32" s="202"/>
      <c r="I32" s="156"/>
      <c r="J32" s="282"/>
      <c r="K32" s="283"/>
      <c r="L32" s="294"/>
      <c r="M32" s="295"/>
      <c r="N32" s="296"/>
      <c r="O32" s="297"/>
      <c r="P32" s="156"/>
      <c r="Q32" s="156"/>
      <c r="R32" s="298">
        <v>1</v>
      </c>
      <c r="S32" s="191" t="s">
        <v>764</v>
      </c>
      <c r="T32" s="299">
        <v>0</v>
      </c>
      <c r="U32" s="299">
        <f t="shared" si="0"/>
        <v>16.666666666666668</v>
      </c>
      <c r="V32" s="299">
        <f t="shared" si="0"/>
        <v>33.333333333333336</v>
      </c>
      <c r="W32" s="299">
        <f t="shared" si="1"/>
        <v>50</v>
      </c>
      <c r="X32" s="299">
        <f t="shared" si="1"/>
        <v>66.666666666666671</v>
      </c>
      <c r="Y32" s="299">
        <f>Y$28*$R32</f>
        <v>83.333333333333343</v>
      </c>
      <c r="Z32" s="299">
        <f>Z$28*$R32</f>
        <v>100</v>
      </c>
      <c r="AA32" s="147"/>
      <c r="AB32" s="147"/>
    </row>
    <row r="33" spans="2:35" ht="15" customHeight="1">
      <c r="B33" s="202"/>
      <c r="C33" s="156"/>
      <c r="D33" s="156"/>
      <c r="E33" s="156"/>
      <c r="F33" s="156"/>
      <c r="G33" s="156"/>
      <c r="H33" s="202"/>
      <c r="I33" s="156"/>
      <c r="J33" s="282"/>
      <c r="K33" s="283"/>
      <c r="L33" s="294"/>
      <c r="M33" s="295"/>
      <c r="N33" s="296"/>
      <c r="O33" s="297"/>
      <c r="P33" s="156"/>
      <c r="Q33" s="156"/>
      <c r="R33" s="298">
        <v>0.5</v>
      </c>
      <c r="S33" s="191" t="s">
        <v>765</v>
      </c>
      <c r="T33" s="299">
        <v>0</v>
      </c>
      <c r="U33" s="299">
        <f t="shared" si="0"/>
        <v>8.3333333333333339</v>
      </c>
      <c r="V33" s="299">
        <f t="shared" si="0"/>
        <v>16.666666666666668</v>
      </c>
      <c r="W33" s="299">
        <f t="shared" si="1"/>
        <v>25</v>
      </c>
      <c r="X33" s="299">
        <f t="shared" si="1"/>
        <v>33.333333333333336</v>
      </c>
      <c r="Y33" s="299">
        <f>Y$28*$R33</f>
        <v>41.666666666666671</v>
      </c>
      <c r="Z33" s="299">
        <f>Z$28*$R33</f>
        <v>50</v>
      </c>
      <c r="AA33" s="147"/>
      <c r="AB33" s="147"/>
    </row>
    <row r="34" spans="2:35" ht="15" customHeight="1">
      <c r="B34" s="202"/>
      <c r="C34" s="156"/>
      <c r="D34" s="156"/>
      <c r="E34" s="156"/>
      <c r="F34" s="156"/>
      <c r="G34" s="156"/>
      <c r="H34" s="280"/>
      <c r="I34" s="281"/>
      <c r="J34" s="282"/>
      <c r="K34" s="283"/>
      <c r="L34" s="294"/>
      <c r="M34" s="156"/>
      <c r="N34" s="156"/>
      <c r="O34" s="203"/>
      <c r="P34" s="156"/>
      <c r="Q34" s="156"/>
      <c r="R34" s="305"/>
      <c r="S34" s="246"/>
      <c r="T34" s="306"/>
      <c r="U34" s="306"/>
      <c r="V34" s="306"/>
      <c r="W34" s="306"/>
      <c r="X34" s="306"/>
      <c r="Y34" s="306"/>
      <c r="Z34" s="306"/>
      <c r="AA34" s="147"/>
      <c r="AB34" s="147"/>
    </row>
    <row r="35" spans="2:35" ht="15" customHeight="1">
      <c r="B35" s="202"/>
      <c r="C35" s="156"/>
      <c r="D35" s="156"/>
      <c r="E35" s="156"/>
      <c r="F35" s="156"/>
      <c r="G35" s="156"/>
      <c r="H35" s="307"/>
      <c r="I35" s="308"/>
      <c r="J35" s="308"/>
      <c r="K35" s="309"/>
      <c r="L35" s="294"/>
      <c r="M35" s="156"/>
      <c r="N35" s="310"/>
      <c r="O35" s="203"/>
      <c r="P35" s="156"/>
      <c r="Q35" s="156"/>
      <c r="R35" s="193" t="s">
        <v>766</v>
      </c>
      <c r="S35" s="239" t="e">
        <f>IF(T35&lt;=0.3,1,IF(T35&lt;=0.6,0.8,IF(T35&lt;=0.8,0.6,IF(T35&lt;=1,0.4,0.2))))</f>
        <v>#N/A</v>
      </c>
      <c r="T35" s="306" t="e">
        <f>IF(U35=W35,X41,X42)</f>
        <v>#N/A</v>
      </c>
      <c r="U35" s="311" t="str">
        <f>メイン!C43</f>
        <v>標準計算</v>
      </c>
      <c r="V35" s="312" t="s">
        <v>767</v>
      </c>
      <c r="W35" s="311" t="s">
        <v>455</v>
      </c>
      <c r="X35" s="311" t="s">
        <v>639</v>
      </c>
      <c r="Y35" s="306"/>
      <c r="Z35" s="306"/>
      <c r="AA35" s="147"/>
      <c r="AB35" s="147"/>
    </row>
    <row r="36" spans="2:35" ht="15" customHeight="1">
      <c r="B36" s="202"/>
      <c r="C36" s="156"/>
      <c r="D36" s="156"/>
      <c r="E36" s="156"/>
      <c r="F36" s="156"/>
      <c r="G36" s="156"/>
      <c r="H36" s="2673" t="str">
        <f>IF(U35=W35,X35,X36)</f>
        <v>このグラフは、LR3中の「地球温暖化への配慮」の内容を、一般的な建物（参照値）と比べたライフサイクルCO2 排出量の目安で示したものです</v>
      </c>
      <c r="I36" s="2674"/>
      <c r="J36" s="2674"/>
      <c r="K36" s="2675"/>
      <c r="L36" s="294"/>
      <c r="M36" s="156"/>
      <c r="N36" s="313"/>
      <c r="O36" s="203"/>
      <c r="P36" s="156"/>
      <c r="Q36" s="156"/>
      <c r="R36" s="193" t="s">
        <v>1425</v>
      </c>
      <c r="S36" s="245" t="e">
        <f>1-S35</f>
        <v>#N/A</v>
      </c>
      <c r="T36" s="306"/>
      <c r="U36" s="311" t="s">
        <v>2102</v>
      </c>
      <c r="V36" s="306" t="str">
        <f>IF(U35=W36,V35,"")</f>
        <v/>
      </c>
      <c r="W36" s="311" t="s">
        <v>457</v>
      </c>
      <c r="X36" s="311" t="s">
        <v>723</v>
      </c>
      <c r="Y36" s="306"/>
      <c r="Z36" s="306"/>
      <c r="AA36" s="147"/>
      <c r="AB36" s="147"/>
    </row>
    <row r="37" spans="2:35" ht="15" customHeight="1">
      <c r="B37" s="202"/>
      <c r="C37" s="142"/>
      <c r="D37" s="156"/>
      <c r="E37" s="156"/>
      <c r="F37" s="156"/>
      <c r="G37" s="156"/>
      <c r="H37" s="2673"/>
      <c r="I37" s="2674"/>
      <c r="J37" s="2674"/>
      <c r="K37" s="2675"/>
      <c r="L37" s="202"/>
      <c r="M37" s="314"/>
      <c r="N37" s="156"/>
      <c r="O37" s="203"/>
      <c r="P37" s="156"/>
      <c r="Q37" s="156"/>
      <c r="S37" s="156"/>
      <c r="AA37" s="147"/>
      <c r="AB37" s="147"/>
    </row>
    <row r="38" spans="2:35" ht="15" customHeight="1" thickBot="1">
      <c r="B38" s="315"/>
      <c r="C38" s="254"/>
      <c r="D38" s="254"/>
      <c r="E38" s="254"/>
      <c r="F38" s="254"/>
      <c r="G38" s="254"/>
      <c r="H38" s="2676"/>
      <c r="I38" s="2677"/>
      <c r="J38" s="2677"/>
      <c r="K38" s="2678"/>
      <c r="L38" s="315"/>
      <c r="M38" s="316"/>
      <c r="N38" s="254"/>
      <c r="O38" s="317"/>
      <c r="P38" s="156"/>
      <c r="Q38" s="156"/>
      <c r="R38" s="318" t="s">
        <v>1426</v>
      </c>
      <c r="S38" s="319" t="s">
        <v>724</v>
      </c>
      <c r="T38" s="319" t="s">
        <v>725</v>
      </c>
      <c r="U38" s="319" t="s">
        <v>726</v>
      </c>
      <c r="V38" s="319" t="s">
        <v>1427</v>
      </c>
      <c r="W38" s="319" t="s">
        <v>1428</v>
      </c>
      <c r="X38" s="319" t="s">
        <v>1429</v>
      </c>
      <c r="Y38" s="190" t="s">
        <v>1430</v>
      </c>
      <c r="AA38" s="311"/>
    </row>
    <row r="39" spans="2:35" ht="18" customHeight="1" thickBot="1">
      <c r="B39" s="320" t="s">
        <v>1431</v>
      </c>
      <c r="C39" s="321"/>
      <c r="D39" s="322"/>
      <c r="E39" s="321"/>
      <c r="F39" s="321"/>
      <c r="G39" s="321"/>
      <c r="H39" s="323"/>
      <c r="I39" s="324"/>
      <c r="J39" s="321"/>
      <c r="K39" s="321"/>
      <c r="L39" s="321"/>
      <c r="M39" s="325"/>
      <c r="N39" s="325"/>
      <c r="O39" s="326"/>
      <c r="R39" s="190" t="s">
        <v>727</v>
      </c>
      <c r="S39" s="327">
        <f>IF($U$35=$W$35,'条件(標準)'!$D9,'条件(個別)'!$D9)</f>
        <v>13.77</v>
      </c>
      <c r="T39" s="327">
        <f>IF($U$35=$W$35,'条件(標準)'!$D34,'条件(個別)'!$D34)</f>
        <v>13.322862068965517</v>
      </c>
      <c r="U39" s="327" t="e">
        <f>IF($U$35=$W$35,'条件(標準)'!$D46,'条件(個別)'!$D46)</f>
        <v>#N/A</v>
      </c>
      <c r="V39" s="328"/>
      <c r="W39" s="328"/>
      <c r="X39" s="329">
        <v>1</v>
      </c>
      <c r="Y39" s="190" t="e">
        <f>IF(COUNTIF(S39:W39,Z40)&gt;0,Z40,SUM(S39:W39))</f>
        <v>#N/A</v>
      </c>
      <c r="AA39" s="330"/>
    </row>
    <row r="40" spans="2:35" ht="18.75">
      <c r="B40" s="331" t="s">
        <v>728</v>
      </c>
      <c r="C40" s="332"/>
      <c r="D40" s="332"/>
      <c r="E40" s="333"/>
      <c r="F40" s="332"/>
      <c r="G40" s="332"/>
      <c r="H40" s="332"/>
      <c r="I40" s="332"/>
      <c r="J40" s="332"/>
      <c r="K40" s="334"/>
      <c r="L40" s="335"/>
      <c r="M40" s="336" t="s">
        <v>729</v>
      </c>
      <c r="N40" s="337">
        <f>スコア!Q8</f>
        <v>3</v>
      </c>
      <c r="O40" s="338"/>
      <c r="R40" s="190" t="s">
        <v>730</v>
      </c>
      <c r="S40" s="327">
        <f>IF($U$35=$W$35,'条件(標準)'!$E9,'条件(個別)'!$E9)</f>
        <v>13.77</v>
      </c>
      <c r="T40" s="327">
        <f>IF($U$35=$W$35,'条件(標準)'!$E34,'条件(個別)'!$E34)</f>
        <v>13.322862068965517</v>
      </c>
      <c r="U40" s="327" t="e">
        <f>IF($U$35=$W$35,'条件(標準)'!$E46,'条件(個別)'!$E46)</f>
        <v>#VALUE!</v>
      </c>
      <c r="V40" s="328"/>
      <c r="W40" s="328"/>
      <c r="X40" s="329" t="e">
        <f>IF(OR(Y39=Z40,Y40=Z40),Z40,Y40/Y39)</f>
        <v>#N/A</v>
      </c>
      <c r="Y40" s="190" t="e">
        <f>IF(COUNTIF(S40:W40,Z40)&gt;0,Z40,SUM(S40:W40))</f>
        <v>#VALUE!</v>
      </c>
      <c r="Z40" s="156" t="str">
        <f>CO2計算!R115</f>
        <v>N.A.</v>
      </c>
      <c r="AA40" s="330"/>
    </row>
    <row r="41" spans="2:35" ht="15">
      <c r="B41" s="202"/>
      <c r="C41" s="178" t="str">
        <f>スコア!B9&amp;" "&amp;スコア!C9</f>
        <v>Q1 室内環境</v>
      </c>
      <c r="D41" s="339"/>
      <c r="E41" s="339"/>
      <c r="F41" s="339"/>
      <c r="G41" s="339"/>
      <c r="H41" s="339" t="str">
        <f>"     "&amp;スコア!B61&amp;" "&amp;スコア!C61</f>
        <v xml:space="preserve">     Q2 サービス性能</v>
      </c>
      <c r="I41" s="339"/>
      <c r="J41" s="147"/>
      <c r="K41" s="147"/>
      <c r="L41" s="340" t="str">
        <f>スコア!B109&amp;" "&amp;スコア!C109</f>
        <v>Q3 室外環境（敷地内）</v>
      </c>
      <c r="M41" s="340"/>
      <c r="N41" s="147"/>
      <c r="O41" s="252"/>
      <c r="R41" s="190" t="s">
        <v>731</v>
      </c>
      <c r="S41" s="327"/>
      <c r="T41" s="327"/>
      <c r="U41" s="327"/>
      <c r="V41" s="341" t="e">
        <f>IF($U$35=$W$35,'条件(標準)'!E9+'条件(標準)'!E34+'条件(標準)'!E47,'条件(個別)'!E9+'条件(個別)'!E34+'条件(個別)'!E47)</f>
        <v>#VALUE!</v>
      </c>
      <c r="W41" s="328"/>
      <c r="X41" s="329" t="e">
        <f>IF(OR(Y39=Z41,Y41=Z41),Z41,Y41/Y39)</f>
        <v>#N/A</v>
      </c>
      <c r="Y41" s="190" t="e">
        <f>IF(COUNTIF(S41:W41,Z41)&gt;0,Z41,SUM(S41:W41))</f>
        <v>#VALUE!</v>
      </c>
      <c r="Z41" s="156" t="str">
        <f>CO2計算!R115</f>
        <v>N.A.</v>
      </c>
      <c r="AA41" s="330"/>
    </row>
    <row r="42" spans="2:35" ht="15" customHeight="1">
      <c r="B42" s="202"/>
      <c r="C42" s="342"/>
      <c r="D42" s="343"/>
      <c r="E42" s="344"/>
      <c r="F42" s="156"/>
      <c r="G42" s="339">
        <f>S45</f>
        <v>3</v>
      </c>
      <c r="H42" s="156"/>
      <c r="I42" s="344"/>
      <c r="J42" s="156"/>
      <c r="K42" s="339">
        <f>V45</f>
        <v>3</v>
      </c>
      <c r="L42" s="156"/>
      <c r="M42" s="345"/>
      <c r="N42" s="344"/>
      <c r="O42" s="346">
        <f>Y45</f>
        <v>3</v>
      </c>
      <c r="R42" s="190" t="s">
        <v>732</v>
      </c>
      <c r="S42" s="327"/>
      <c r="T42" s="327"/>
      <c r="U42" s="327"/>
      <c r="V42" s="341"/>
      <c r="W42" s="347" t="e">
        <f>IF($U$35=$W$35,'条件(標準)'!E9+'条件(標準)'!E34+'条件(標準)'!E52,'条件(個別)'!E9+'条件(個別)'!E34+'条件(個別)'!E52)</f>
        <v>#VALUE!</v>
      </c>
      <c r="X42" s="329" t="e">
        <f>IF(OR(Y39=Z42,Y42=Z42),Z42,Y42/Y39)</f>
        <v>#N/A</v>
      </c>
      <c r="Y42" s="190" t="e">
        <f>IF(COUNTIF(S42:W42,Z42)&gt;0,Z42,SUM(S42:W42))</f>
        <v>#VALUE!</v>
      </c>
      <c r="Z42" s="156" t="str">
        <f>CO2計算!R115</f>
        <v>N.A.</v>
      </c>
      <c r="AA42" s="330"/>
    </row>
    <row r="43" spans="2:35" ht="15" customHeight="1">
      <c r="B43" s="202"/>
      <c r="C43" s="156"/>
      <c r="D43" s="156"/>
      <c r="E43" s="156"/>
      <c r="F43" s="156"/>
      <c r="L43" s="147"/>
      <c r="M43" s="147"/>
      <c r="N43" s="147"/>
      <c r="O43" s="252"/>
      <c r="S43" s="156"/>
      <c r="AA43" s="147"/>
      <c r="AB43" s="147"/>
      <c r="AC43" s="348"/>
      <c r="AF43" s="348"/>
      <c r="AG43" s="348"/>
      <c r="AI43" s="348"/>
    </row>
    <row r="44" spans="2:35" ht="15" customHeight="1">
      <c r="B44" s="202"/>
      <c r="C44" s="156"/>
      <c r="D44" s="156"/>
      <c r="E44" s="156"/>
      <c r="F44" s="156"/>
      <c r="L44" s="147"/>
      <c r="M44" s="147"/>
      <c r="N44" s="147"/>
      <c r="O44" s="252"/>
      <c r="R44" s="193"/>
      <c r="S44" s="193" t="s">
        <v>2268</v>
      </c>
      <c r="T44" s="193" t="s">
        <v>733</v>
      </c>
      <c r="U44" s="193"/>
      <c r="V44" s="193" t="s">
        <v>2268</v>
      </c>
      <c r="W44" s="193" t="s">
        <v>733</v>
      </c>
      <c r="X44" s="193"/>
      <c r="Y44" s="193" t="s">
        <v>2268</v>
      </c>
      <c r="Z44" s="193" t="s">
        <v>733</v>
      </c>
      <c r="AA44" s="147"/>
      <c r="AB44" s="147"/>
    </row>
    <row r="45" spans="2:35" ht="15" customHeight="1">
      <c r="B45" s="202"/>
      <c r="C45" s="156"/>
      <c r="D45" s="156"/>
      <c r="E45" s="156"/>
      <c r="F45" s="156"/>
      <c r="L45" s="147"/>
      <c r="M45" s="147"/>
      <c r="N45" s="147"/>
      <c r="O45" s="252"/>
      <c r="R45" s="349" t="s">
        <v>929</v>
      </c>
      <c r="S45" s="350">
        <f>スコア!Q9</f>
        <v>3</v>
      </c>
      <c r="T45" s="193">
        <f>スコア!Z9</f>
        <v>3</v>
      </c>
      <c r="U45" s="191" t="s">
        <v>1432</v>
      </c>
      <c r="V45" s="351">
        <f>スコア!Q61</f>
        <v>3</v>
      </c>
      <c r="W45" s="193">
        <f>スコア!Z61</f>
        <v>3.0424180327868853</v>
      </c>
      <c r="X45" s="349" t="s">
        <v>930</v>
      </c>
      <c r="Y45" s="351">
        <f>スコア!Q109</f>
        <v>3</v>
      </c>
      <c r="Z45" s="193">
        <f>スコア!Z109</f>
        <v>3</v>
      </c>
      <c r="AA45" s="147"/>
      <c r="AB45" s="147"/>
    </row>
    <row r="46" spans="2:35" ht="15" customHeight="1">
      <c r="B46" s="202"/>
      <c r="C46" s="156"/>
      <c r="D46" s="156"/>
      <c r="E46" s="156"/>
      <c r="F46" s="156"/>
      <c r="L46" s="147"/>
      <c r="M46" s="147"/>
      <c r="N46" s="147"/>
      <c r="O46" s="252"/>
      <c r="S46" s="156"/>
      <c r="AA46" s="147"/>
      <c r="AB46" s="147"/>
    </row>
    <row r="47" spans="2:35" ht="15" customHeight="1">
      <c r="B47" s="202"/>
      <c r="C47" s="156"/>
      <c r="D47" s="156"/>
      <c r="E47" s="156"/>
      <c r="F47" s="156"/>
      <c r="L47" s="147"/>
      <c r="M47" s="147"/>
      <c r="N47" s="147"/>
      <c r="O47" s="252"/>
      <c r="R47" s="193"/>
      <c r="S47" s="193" t="s">
        <v>1433</v>
      </c>
      <c r="T47" s="193" t="s">
        <v>1434</v>
      </c>
      <c r="U47" s="193"/>
      <c r="V47" s="193" t="s">
        <v>1433</v>
      </c>
      <c r="W47" s="193" t="s">
        <v>1434</v>
      </c>
      <c r="X47" s="193"/>
      <c r="Y47" s="352" t="s">
        <v>1433</v>
      </c>
      <c r="Z47" s="193" t="s">
        <v>1434</v>
      </c>
      <c r="AA47" s="147"/>
      <c r="AB47" s="147"/>
    </row>
    <row r="48" spans="2:35" ht="15" customHeight="1">
      <c r="B48" s="202"/>
      <c r="C48" s="156"/>
      <c r="D48" s="156"/>
      <c r="E48" s="156"/>
      <c r="F48" s="156"/>
      <c r="G48" s="353"/>
      <c r="H48" s="353"/>
      <c r="L48" s="147"/>
      <c r="M48" s="147"/>
      <c r="N48" s="147"/>
      <c r="O48" s="252"/>
      <c r="R48" s="354" t="s">
        <v>931</v>
      </c>
      <c r="S48" s="350">
        <f>スコア!Q10</f>
        <v>3</v>
      </c>
      <c r="T48" s="193" t="str">
        <f>IF(S48=0,"N.A.","")</f>
        <v/>
      </c>
      <c r="U48" s="191" t="s">
        <v>932</v>
      </c>
      <c r="V48" s="351">
        <f>スコア!Q62</f>
        <v>3</v>
      </c>
      <c r="W48" s="193" t="str">
        <f t="shared" ref="W48:W50" si="2">IF(V48=0,"N.A.","")</f>
        <v/>
      </c>
      <c r="X48" s="354" t="s">
        <v>933</v>
      </c>
      <c r="Y48" s="351">
        <f>スコア!Q110</f>
        <v>3</v>
      </c>
      <c r="Z48" s="193" t="str">
        <f t="shared" ref="Z48:Z50" si="3">IF(Y48=0,"N.A.","")</f>
        <v/>
      </c>
      <c r="AA48" s="147"/>
      <c r="AB48" s="147"/>
    </row>
    <row r="49" spans="1:28" ht="15" customHeight="1">
      <c r="B49" s="202"/>
      <c r="C49" s="156"/>
      <c r="D49" s="156"/>
      <c r="E49" s="156"/>
      <c r="F49" s="156"/>
      <c r="G49" s="353"/>
      <c r="H49" s="353"/>
      <c r="L49" s="147"/>
      <c r="M49" s="147"/>
      <c r="N49" s="147"/>
      <c r="O49" s="252"/>
      <c r="R49" s="354" t="s">
        <v>934</v>
      </c>
      <c r="S49" s="350">
        <f>スコア!Q20</f>
        <v>3</v>
      </c>
      <c r="T49" s="193" t="str">
        <f t="shared" ref="T49:T51" si="4">IF(S49=0,"N.A.","")</f>
        <v/>
      </c>
      <c r="U49" s="191" t="s">
        <v>935</v>
      </c>
      <c r="V49" s="351">
        <f>スコア!Q75</f>
        <v>3.1</v>
      </c>
      <c r="W49" s="193" t="str">
        <f t="shared" si="2"/>
        <v/>
      </c>
      <c r="X49" s="354" t="s">
        <v>1435</v>
      </c>
      <c r="Y49" s="351">
        <f>スコア!Q111</f>
        <v>3</v>
      </c>
      <c r="Z49" s="193" t="str">
        <f t="shared" si="3"/>
        <v/>
      </c>
      <c r="AA49" s="147"/>
      <c r="AB49" s="147"/>
    </row>
    <row r="50" spans="1:28" ht="15" customHeight="1">
      <c r="B50" s="202"/>
      <c r="C50" s="156"/>
      <c r="D50" s="156"/>
      <c r="E50" s="156"/>
      <c r="F50" s="156"/>
      <c r="G50" s="230"/>
      <c r="H50" s="222"/>
      <c r="I50" s="355"/>
      <c r="J50" s="355"/>
      <c r="K50" s="356"/>
      <c r="L50" s="357"/>
      <c r="M50" s="357"/>
      <c r="N50" s="357"/>
      <c r="O50" s="358"/>
      <c r="R50" s="354" t="s">
        <v>936</v>
      </c>
      <c r="S50" s="350">
        <f>スコア!Q34</f>
        <v>3</v>
      </c>
      <c r="T50" s="193" t="str">
        <f t="shared" si="4"/>
        <v/>
      </c>
      <c r="U50" s="191" t="s">
        <v>937</v>
      </c>
      <c r="V50" s="351">
        <f>スコア!Q97</f>
        <v>3</v>
      </c>
      <c r="W50" s="193" t="str">
        <f t="shared" si="2"/>
        <v/>
      </c>
      <c r="X50" s="354" t="s">
        <v>83</v>
      </c>
      <c r="Y50" s="351">
        <f>スコア!Q112</f>
        <v>3</v>
      </c>
      <c r="Z50" s="193" t="str">
        <f t="shared" si="3"/>
        <v/>
      </c>
      <c r="AA50" s="147"/>
      <c r="AB50" s="147"/>
    </row>
    <row r="51" spans="1:28" ht="18" customHeight="1">
      <c r="A51" s="359"/>
      <c r="B51" s="360" t="s">
        <v>1436</v>
      </c>
      <c r="C51" s="361"/>
      <c r="D51" s="362"/>
      <c r="E51" s="361"/>
      <c r="F51" s="361"/>
      <c r="G51" s="361"/>
      <c r="H51" s="332"/>
      <c r="I51" s="332"/>
      <c r="J51" s="332"/>
      <c r="K51" s="334"/>
      <c r="L51" s="335"/>
      <c r="M51" s="336" t="s">
        <v>1437</v>
      </c>
      <c r="N51" s="363" t="e">
        <f>スコア!Q116</f>
        <v>#N/A</v>
      </c>
      <c r="O51" s="338"/>
      <c r="R51" s="354" t="s">
        <v>84</v>
      </c>
      <c r="S51" s="350">
        <f>スコア!Q47</f>
        <v>3</v>
      </c>
      <c r="T51" s="193" t="str">
        <f t="shared" si="4"/>
        <v/>
      </c>
      <c r="U51" s="147"/>
      <c r="V51" s="147"/>
      <c r="W51" s="147"/>
      <c r="X51" s="147"/>
      <c r="Y51" s="147"/>
      <c r="Z51" s="147"/>
      <c r="AA51" s="147"/>
      <c r="AB51" s="147"/>
    </row>
    <row r="52" spans="1:28" ht="15">
      <c r="B52" s="364"/>
      <c r="C52" s="340" t="str">
        <f>スコア!B117&amp;" "&amp;スコア!C117</f>
        <v>LR1 エネルギー</v>
      </c>
      <c r="D52" s="340"/>
      <c r="E52" s="365"/>
      <c r="F52" s="340"/>
      <c r="G52" s="340"/>
      <c r="H52" s="340" t="str">
        <f>"     "&amp;スコア!B140&amp;" "&amp;スコア!C140</f>
        <v xml:space="preserve">     LR2 資源・マテリアル</v>
      </c>
      <c r="I52" s="340"/>
      <c r="J52" s="340"/>
      <c r="K52" s="340"/>
      <c r="L52" s="178" t="str">
        <f>スコア!B159&amp;" "&amp;スコア!C159</f>
        <v>LR3 敷地外環境</v>
      </c>
      <c r="M52" s="340"/>
      <c r="N52" s="340"/>
      <c r="O52" s="366"/>
      <c r="R52" s="147"/>
      <c r="S52" s="147"/>
      <c r="T52" s="193"/>
      <c r="U52" s="147"/>
      <c r="V52" s="147"/>
      <c r="W52" s="147"/>
      <c r="X52" s="147"/>
      <c r="Y52" s="147"/>
      <c r="Z52" s="147"/>
      <c r="AA52" s="147"/>
      <c r="AB52" s="147"/>
    </row>
    <row r="53" spans="1:28" ht="15">
      <c r="B53" s="367"/>
      <c r="C53" s="342"/>
      <c r="D53" s="343"/>
      <c r="E53" s="344"/>
      <c r="F53" s="156"/>
      <c r="G53" s="339" t="e">
        <f>S56</f>
        <v>#N/A</v>
      </c>
      <c r="H53" s="156"/>
      <c r="I53" s="344"/>
      <c r="J53" s="156"/>
      <c r="K53" s="339">
        <f>V56</f>
        <v>3</v>
      </c>
      <c r="L53" s="344"/>
      <c r="M53" s="156"/>
      <c r="N53" s="368"/>
      <c r="O53" s="346" t="e">
        <f>Y56</f>
        <v>#N/A</v>
      </c>
      <c r="R53" s="147" t="str">
        <f>IF(S48=0,"N.A.","")</f>
        <v/>
      </c>
      <c r="S53" s="147"/>
      <c r="T53" s="147"/>
      <c r="U53" s="147"/>
      <c r="V53" s="147"/>
      <c r="W53" s="147"/>
      <c r="X53" s="147"/>
      <c r="Y53" s="147"/>
      <c r="Z53" s="147"/>
      <c r="AA53" s="147"/>
      <c r="AB53" s="147"/>
    </row>
    <row r="54" spans="1:28" ht="14.25">
      <c r="B54" s="367"/>
      <c r="C54" s="369"/>
      <c r="D54" s="369"/>
      <c r="E54" s="370"/>
      <c r="F54" s="230"/>
      <c r="G54" s="230"/>
      <c r="H54" s="230"/>
      <c r="O54" s="189"/>
      <c r="S54" s="156"/>
      <c r="AA54" s="147"/>
      <c r="AB54" s="147"/>
    </row>
    <row r="55" spans="1:28" ht="15.75" customHeight="1">
      <c r="B55" s="367"/>
      <c r="C55" s="188"/>
      <c r="D55" s="371"/>
      <c r="I55" s="372"/>
      <c r="O55" s="189"/>
      <c r="R55" s="193"/>
      <c r="S55" s="193" t="s">
        <v>1438</v>
      </c>
      <c r="T55" s="193" t="s">
        <v>1439</v>
      </c>
      <c r="U55" s="193"/>
      <c r="V55" s="193" t="s">
        <v>1438</v>
      </c>
      <c r="W55" s="193" t="s">
        <v>1439</v>
      </c>
      <c r="X55" s="193"/>
      <c r="Y55" s="193" t="s">
        <v>1438</v>
      </c>
      <c r="Z55" s="193" t="s">
        <v>1439</v>
      </c>
      <c r="AA55" s="147"/>
      <c r="AB55" s="147"/>
    </row>
    <row r="56" spans="1:28" ht="15.75" customHeight="1">
      <c r="B56" s="367"/>
      <c r="I56" s="372"/>
      <c r="O56" s="189"/>
      <c r="R56" s="191" t="s">
        <v>1440</v>
      </c>
      <c r="S56" s="351" t="e">
        <f>スコア!Q117</f>
        <v>#N/A</v>
      </c>
      <c r="T56" s="193" t="e">
        <f>スコア!Z117</f>
        <v>#N/A</v>
      </c>
      <c r="U56" s="191" t="s">
        <v>85</v>
      </c>
      <c r="V56" s="373">
        <f>スコア!Q140</f>
        <v>3</v>
      </c>
      <c r="W56" s="193">
        <f>スコア!Z140</f>
        <v>3.0466666666666669</v>
      </c>
      <c r="X56" s="191" t="s">
        <v>2394</v>
      </c>
      <c r="Y56" s="351" t="e">
        <f>スコア!Q159</f>
        <v>#N/A</v>
      </c>
      <c r="Z56" s="193" t="e">
        <f>スコア!Z159</f>
        <v>#N/A</v>
      </c>
      <c r="AA56" s="147"/>
      <c r="AB56" s="147"/>
    </row>
    <row r="57" spans="1:28" ht="15.75" customHeight="1">
      <c r="B57" s="374"/>
      <c r="I57" s="372"/>
      <c r="O57" s="189"/>
      <c r="S57" s="156"/>
      <c r="Y57" s="375"/>
      <c r="AA57" s="147"/>
      <c r="AB57" s="147"/>
    </row>
    <row r="58" spans="1:28" ht="15.75" customHeight="1">
      <c r="B58" s="374"/>
      <c r="I58" s="372"/>
      <c r="O58" s="189"/>
      <c r="R58" s="193"/>
      <c r="S58" s="193" t="s">
        <v>1441</v>
      </c>
      <c r="T58" s="193" t="s">
        <v>1442</v>
      </c>
      <c r="U58" s="193"/>
      <c r="V58" s="193" t="s">
        <v>1441</v>
      </c>
      <c r="W58" s="193" t="s">
        <v>1442</v>
      </c>
      <c r="X58" s="193"/>
      <c r="Y58" s="352" t="s">
        <v>1441</v>
      </c>
      <c r="Z58" s="193" t="s">
        <v>1442</v>
      </c>
      <c r="AA58" s="147"/>
      <c r="AB58" s="147"/>
    </row>
    <row r="59" spans="1:28" ht="15.75" customHeight="1">
      <c r="B59" s="374"/>
      <c r="I59" s="372"/>
      <c r="O59" s="189"/>
      <c r="R59" s="191" t="s">
        <v>2395</v>
      </c>
      <c r="S59" s="376">
        <f>スコア!Q118</f>
        <v>5</v>
      </c>
      <c r="T59" s="193" t="str">
        <f t="shared" ref="T59:T62" si="5">IF(S59=0,"N.A.","")</f>
        <v/>
      </c>
      <c r="U59" s="377" t="s">
        <v>2396</v>
      </c>
      <c r="V59" s="351">
        <f>スコア!Q141</f>
        <v>3</v>
      </c>
      <c r="W59" s="193" t="str">
        <f t="shared" ref="W59:W61" si="6">IF(V59=0,"N.A.","")</f>
        <v/>
      </c>
      <c r="X59" s="191" t="s">
        <v>2636</v>
      </c>
      <c r="Y59" s="351" t="e">
        <f>スコア!Q160</f>
        <v>#N/A</v>
      </c>
      <c r="Z59" s="193" t="e">
        <f>IF(Y59=0,"N.A.","")</f>
        <v>#N/A</v>
      </c>
      <c r="AA59" s="147"/>
      <c r="AB59" s="147"/>
    </row>
    <row r="60" spans="1:28" ht="15.75" customHeight="1">
      <c r="B60" s="374"/>
      <c r="I60" s="372"/>
      <c r="O60" s="189"/>
      <c r="R60" s="191" t="s">
        <v>2637</v>
      </c>
      <c r="S60" s="376">
        <f>スコア!Q119</f>
        <v>3</v>
      </c>
      <c r="T60" s="193" t="str">
        <f t="shared" si="5"/>
        <v/>
      </c>
      <c r="U60" s="377" t="s">
        <v>2638</v>
      </c>
      <c r="V60" s="351">
        <f>スコア!Q146</f>
        <v>3</v>
      </c>
      <c r="W60" s="193" t="str">
        <f t="shared" si="6"/>
        <v/>
      </c>
      <c r="X60" s="191" t="s">
        <v>2639</v>
      </c>
      <c r="Y60" s="351">
        <f>スコア!Q161</f>
        <v>3</v>
      </c>
      <c r="Z60" s="193" t="str">
        <f t="shared" ref="Z60:Z61" si="7">IF(Y60=0,"N.A.","")</f>
        <v/>
      </c>
      <c r="AA60" s="147"/>
      <c r="AB60" s="147"/>
    </row>
    <row r="61" spans="1:28" ht="15.75" customHeight="1" thickBot="1">
      <c r="B61" s="378"/>
      <c r="C61" s="379"/>
      <c r="D61" s="380"/>
      <c r="E61" s="379"/>
      <c r="F61" s="381"/>
      <c r="G61" s="381"/>
      <c r="H61" s="381"/>
      <c r="I61" s="382"/>
      <c r="J61" s="255"/>
      <c r="K61" s="255"/>
      <c r="L61" s="255"/>
      <c r="M61" s="383"/>
      <c r="N61" s="383"/>
      <c r="O61" s="384"/>
      <c r="R61" s="191" t="s">
        <v>2640</v>
      </c>
      <c r="S61" s="376" t="e">
        <f>スコア!Q124</f>
        <v>#N/A</v>
      </c>
      <c r="T61" s="193" t="e">
        <f t="shared" si="5"/>
        <v>#N/A</v>
      </c>
      <c r="U61" s="385" t="s">
        <v>2641</v>
      </c>
      <c r="V61" s="386">
        <f>スコア!Q153</f>
        <v>3.2</v>
      </c>
      <c r="W61" s="193" t="str">
        <f t="shared" si="6"/>
        <v/>
      </c>
      <c r="X61" s="191" t="s">
        <v>2642</v>
      </c>
      <c r="Y61" s="351">
        <f>スコア!Q169</f>
        <v>3</v>
      </c>
      <c r="Z61" s="193" t="str">
        <f t="shared" si="7"/>
        <v/>
      </c>
      <c r="AA61" s="147"/>
      <c r="AB61" s="147"/>
    </row>
    <row r="62" spans="1:28" ht="6" customHeight="1" thickBot="1">
      <c r="B62" s="387"/>
      <c r="C62" s="372"/>
      <c r="D62" s="388"/>
      <c r="R62" s="191" t="s">
        <v>2643</v>
      </c>
      <c r="S62" s="376">
        <f>スコア!Q133</f>
        <v>3</v>
      </c>
      <c r="T62" s="193" t="str">
        <f t="shared" si="5"/>
        <v/>
      </c>
      <c r="U62" s="147"/>
      <c r="V62" s="389"/>
      <c r="W62" s="389"/>
      <c r="X62" s="389"/>
      <c r="Y62" s="389"/>
      <c r="Z62" s="389"/>
      <c r="AA62" s="147"/>
      <c r="AB62" s="147"/>
    </row>
    <row r="63" spans="1:28" ht="15.75">
      <c r="B63" s="265" t="s">
        <v>2644</v>
      </c>
      <c r="C63" s="390"/>
      <c r="D63" s="391"/>
      <c r="E63" s="390"/>
      <c r="F63" s="390"/>
      <c r="G63" s="390"/>
      <c r="H63" s="392"/>
      <c r="I63" s="393"/>
      <c r="J63" s="390"/>
      <c r="K63" s="390"/>
      <c r="L63" s="390"/>
      <c r="M63" s="394"/>
      <c r="N63" s="394"/>
      <c r="O63" s="395"/>
      <c r="R63" s="147"/>
      <c r="S63" s="147"/>
      <c r="T63" s="147"/>
      <c r="U63" s="147"/>
      <c r="V63" s="389"/>
      <c r="W63" s="389"/>
      <c r="X63" s="389"/>
      <c r="Y63" s="389"/>
      <c r="Z63" s="389"/>
      <c r="AA63" s="147"/>
      <c r="AB63" s="147"/>
    </row>
    <row r="64" spans="1:28" ht="14.25">
      <c r="B64" s="396" t="s">
        <v>2645</v>
      </c>
      <c r="C64" s="397"/>
      <c r="D64" s="398"/>
      <c r="E64" s="397"/>
      <c r="F64" s="397"/>
      <c r="G64" s="397"/>
      <c r="H64" s="397"/>
      <c r="I64" s="397"/>
      <c r="J64" s="397"/>
      <c r="K64" s="399"/>
      <c r="L64" s="400" t="s">
        <v>2646</v>
      </c>
      <c r="M64" s="401"/>
      <c r="N64" s="401"/>
      <c r="O64" s="402"/>
      <c r="R64" s="403"/>
      <c r="S64" s="147"/>
      <c r="T64" s="147"/>
      <c r="U64" s="147"/>
      <c r="V64" s="389"/>
      <c r="W64" s="389"/>
      <c r="X64" s="389"/>
      <c r="Y64" s="389"/>
      <c r="Z64" s="389"/>
      <c r="AA64" s="147"/>
      <c r="AB64" s="147"/>
    </row>
    <row r="65" spans="1:28" ht="52.5" customHeight="1">
      <c r="B65" s="2665" t="str">
        <f>IF(配慮!C4=0,"",配慮!C4)</f>
        <v>注）　設計における総合的なコンセプトを簡潔に記載してください。
　</v>
      </c>
      <c r="C65" s="2666"/>
      <c r="D65" s="2666"/>
      <c r="E65" s="2666"/>
      <c r="F65" s="2666"/>
      <c r="G65" s="2666"/>
      <c r="H65" s="2666"/>
      <c r="I65" s="2666"/>
      <c r="J65" s="2666"/>
      <c r="K65" s="2667"/>
      <c r="L65" s="2668" t="str">
        <f>配慮!C11</f>
        <v>注）　上記の６つのカテゴリー以外に、建設工事における廃棄物削減・リサイクル、歴史的建造物の保存など、建物自体の環境性能としてＣＡＳＢＥＥで評価し難い環境配慮の取組みがあれば、ここに記載してください。</v>
      </c>
      <c r="M65" s="2669"/>
      <c r="N65" s="2669"/>
      <c r="O65" s="2670"/>
      <c r="R65" s="147"/>
      <c r="S65" s="147"/>
      <c r="T65" s="147"/>
      <c r="U65" s="147"/>
      <c r="V65" s="389"/>
      <c r="W65" s="389"/>
      <c r="X65" s="389"/>
      <c r="Y65" s="389"/>
      <c r="Z65" s="389"/>
      <c r="AA65" s="147"/>
      <c r="AB65" s="147"/>
    </row>
    <row r="66" spans="1:28" ht="15">
      <c r="B66" s="404" t="str">
        <f>配慮!B5</f>
        <v>Q1 
室内環境</v>
      </c>
      <c r="C66" s="401"/>
      <c r="D66" s="401"/>
      <c r="E66" s="401"/>
      <c r="F66" s="401"/>
      <c r="G66" s="405"/>
      <c r="H66" s="406" t="str">
        <f>配慮!B6</f>
        <v>Q2 
サービス性能</v>
      </c>
      <c r="I66" s="407"/>
      <c r="J66" s="407"/>
      <c r="K66" s="408"/>
      <c r="L66" s="409" t="str">
        <f>配慮!B7</f>
        <v>Q3 
室外環境（敷地内）</v>
      </c>
      <c r="M66" s="410"/>
      <c r="N66" s="411"/>
      <c r="O66" s="412"/>
      <c r="R66" s="147"/>
      <c r="S66" s="147"/>
      <c r="T66" s="147"/>
      <c r="U66" s="147"/>
      <c r="V66" s="147"/>
      <c r="W66" s="147"/>
      <c r="X66" s="147"/>
      <c r="Y66" s="147"/>
      <c r="Z66" s="147"/>
      <c r="AA66" s="147"/>
      <c r="AB66" s="147"/>
    </row>
    <row r="67" spans="1:28" ht="50.25" customHeight="1">
      <c r="B67" s="2671" t="str">
        <f>IF(配慮!C5=0,"",配慮!C5)</f>
        <v>注）　「Q1　室内環境」に対する配慮事項を簡潔に記載してください。</v>
      </c>
      <c r="C67" s="2669"/>
      <c r="D67" s="2669"/>
      <c r="E67" s="2669"/>
      <c r="F67" s="2669"/>
      <c r="G67" s="2672"/>
      <c r="H67" s="2679" t="str">
        <f>IF(配慮!C6=0,"",配慮!C6)</f>
        <v>注）　「Q2　サービス性能」に対する配慮事項を簡潔に記載してください。</v>
      </c>
      <c r="I67" s="2669"/>
      <c r="J67" s="2669"/>
      <c r="K67" s="2672"/>
      <c r="L67" s="2679" t="str">
        <f>IF(配慮!C7=0,"",配慮!C7)</f>
        <v>注）　「Q3　室外環境（敷地内）」に対する配慮事項を簡潔に記載してください。</v>
      </c>
      <c r="M67" s="2669"/>
      <c r="N67" s="2669"/>
      <c r="O67" s="2670"/>
      <c r="R67" s="147"/>
      <c r="S67" s="147"/>
      <c r="T67" s="147"/>
      <c r="U67" s="147"/>
      <c r="V67" s="147"/>
      <c r="W67" s="147"/>
      <c r="X67" s="147"/>
      <c r="Y67" s="147"/>
      <c r="Z67" s="147"/>
      <c r="AA67" s="147"/>
      <c r="AB67" s="147"/>
    </row>
    <row r="68" spans="1:28" ht="15">
      <c r="B68" s="413" t="str">
        <f>配慮!B8</f>
        <v>LR1 
エネルギー</v>
      </c>
      <c r="C68" s="414"/>
      <c r="D68" s="398"/>
      <c r="E68" s="398"/>
      <c r="F68" s="398"/>
      <c r="G68" s="415"/>
      <c r="H68" s="416" t="str">
        <f>配慮!B9</f>
        <v>LR2 
資源・マテリアル</v>
      </c>
      <c r="I68" s="401"/>
      <c r="J68" s="401"/>
      <c r="K68" s="405"/>
      <c r="L68" s="417" t="str">
        <f>配慮!B10</f>
        <v>LR3 
敷地外環境</v>
      </c>
      <c r="M68" s="414"/>
      <c r="N68" s="398"/>
      <c r="O68" s="418"/>
      <c r="R68" s="147"/>
      <c r="S68" s="147"/>
      <c r="T68" s="147"/>
      <c r="U68" s="147"/>
      <c r="V68" s="147"/>
      <c r="W68" s="147"/>
      <c r="X68" s="147"/>
      <c r="Y68" s="147"/>
      <c r="Z68" s="147"/>
      <c r="AA68" s="147"/>
      <c r="AB68" s="147"/>
    </row>
    <row r="69" spans="1:28" ht="61.5" customHeight="1" thickBot="1">
      <c r="B69" s="2658" t="str">
        <f>IF(配慮!C8=0,"",配慮!C8)</f>
        <v>注）　「LR1　エネルギー」に対する配慮事項を簡潔に記載してください。</v>
      </c>
      <c r="C69" s="2659"/>
      <c r="D69" s="2659"/>
      <c r="E69" s="2659"/>
      <c r="F69" s="2659"/>
      <c r="G69" s="2660"/>
      <c r="H69" s="2661" t="str">
        <f>IF(配慮!C9=0,"",配慮!C9)</f>
        <v>注）　「LR2　資源・マテリアル」に対する配慮事項を簡潔に記載してください。</v>
      </c>
      <c r="I69" s="2659"/>
      <c r="J69" s="2659"/>
      <c r="K69" s="2660"/>
      <c r="L69" s="2661" t="str">
        <f>IF(配慮!C10=0,"",配慮!C10)</f>
        <v>注）　「LR3　敷地外環境」に対する配慮事項を簡潔に記載してください。</v>
      </c>
      <c r="M69" s="2659"/>
      <c r="N69" s="2659"/>
      <c r="O69" s="2662"/>
      <c r="R69" s="147"/>
      <c r="S69" s="147"/>
      <c r="T69" s="147"/>
      <c r="U69" s="147"/>
      <c r="V69" s="147"/>
      <c r="W69" s="147"/>
      <c r="X69" s="147"/>
      <c r="Y69" s="147"/>
      <c r="Z69" s="147"/>
      <c r="AA69" s="147"/>
      <c r="AB69" s="147"/>
    </row>
    <row r="70" spans="1:28" ht="8.25" customHeight="1">
      <c r="B70" s="147"/>
      <c r="C70" s="147"/>
      <c r="D70" s="147"/>
      <c r="E70" s="147"/>
      <c r="F70" s="147"/>
      <c r="G70" s="147"/>
      <c r="H70" s="147"/>
      <c r="I70" s="147"/>
      <c r="J70" s="147"/>
      <c r="K70" s="147"/>
      <c r="L70" s="147"/>
      <c r="M70" s="147"/>
      <c r="N70" s="147"/>
      <c r="O70" s="147"/>
      <c r="R70" s="147"/>
      <c r="S70" s="147"/>
      <c r="T70" s="147"/>
      <c r="U70" s="147"/>
      <c r="V70" s="147"/>
      <c r="W70" s="147"/>
      <c r="X70" s="147"/>
      <c r="Y70" s="147"/>
      <c r="Z70" s="147"/>
      <c r="AA70" s="147"/>
      <c r="AB70" s="147"/>
    </row>
    <row r="71" spans="1:28" ht="16.5" hidden="1" thickBot="1">
      <c r="B71" s="419" t="s">
        <v>2647</v>
      </c>
      <c r="C71" s="420"/>
      <c r="D71" s="421"/>
      <c r="E71" s="420"/>
      <c r="F71" s="420"/>
      <c r="G71" s="420"/>
      <c r="H71" s="420"/>
      <c r="I71" s="420"/>
      <c r="J71" s="422"/>
      <c r="K71" s="423"/>
      <c r="L71" s="423"/>
      <c r="M71" s="423"/>
      <c r="N71" s="424"/>
      <c r="O71" s="425" t="s">
        <v>2648</v>
      </c>
      <c r="R71" s="147"/>
      <c r="S71" s="147"/>
      <c r="T71" s="147"/>
      <c r="U71" s="147"/>
      <c r="V71" s="147"/>
      <c r="W71" s="147"/>
      <c r="X71" s="147"/>
      <c r="Y71" s="147"/>
      <c r="Z71" s="147"/>
      <c r="AA71" s="147"/>
      <c r="AB71" s="147"/>
    </row>
    <row r="72" spans="1:28" ht="15.75" hidden="1">
      <c r="B72" s="426" t="s">
        <v>1324</v>
      </c>
      <c r="C72" s="427"/>
      <c r="D72" s="428"/>
      <c r="E72" s="427"/>
      <c r="F72" s="427"/>
      <c r="G72" s="427"/>
      <c r="H72" s="427"/>
      <c r="I72" s="427"/>
      <c r="J72" s="429"/>
      <c r="K72" s="430"/>
      <c r="L72" s="431"/>
      <c r="M72" s="431"/>
      <c r="N72" s="429"/>
      <c r="O72" s="432" t="s">
        <v>1904</v>
      </c>
      <c r="R72" s="147"/>
      <c r="S72" s="147"/>
      <c r="T72" s="147"/>
      <c r="U72" s="147"/>
      <c r="V72" s="147"/>
      <c r="W72" s="147"/>
      <c r="X72" s="147"/>
      <c r="Y72" s="147"/>
      <c r="Z72" s="147"/>
      <c r="AA72" s="147"/>
      <c r="AB72" s="147"/>
    </row>
    <row r="73" spans="1:28" ht="14.25" hidden="1">
      <c r="B73" s="433"/>
      <c r="C73" s="434"/>
      <c r="D73" s="435"/>
      <c r="E73" s="436" t="s">
        <v>1325</v>
      </c>
      <c r="F73" s="437"/>
      <c r="G73" s="437"/>
      <c r="H73" s="436" t="s">
        <v>524</v>
      </c>
      <c r="I73" s="437"/>
      <c r="J73" s="436" t="s">
        <v>950</v>
      </c>
      <c r="K73" s="438"/>
      <c r="L73" s="436" t="s">
        <v>951</v>
      </c>
      <c r="M73" s="437"/>
      <c r="N73" s="437"/>
      <c r="O73" s="439" t="s">
        <v>952</v>
      </c>
      <c r="R73" s="147"/>
      <c r="S73" s="147"/>
      <c r="T73" s="147"/>
      <c r="U73" s="147"/>
      <c r="V73" s="147"/>
      <c r="W73" s="147"/>
      <c r="X73" s="147"/>
      <c r="Y73" s="147"/>
      <c r="Z73" s="147"/>
      <c r="AA73" s="147"/>
      <c r="AB73" s="147"/>
    </row>
    <row r="74" spans="1:28" ht="14.25" hidden="1">
      <c r="B74" s="440"/>
      <c r="C74" s="441" t="s">
        <v>953</v>
      </c>
      <c r="D74" s="442"/>
      <c r="E74" s="443"/>
      <c r="F74" s="444" t="s">
        <v>954</v>
      </c>
      <c r="G74" s="445"/>
      <c r="H74" s="443"/>
      <c r="I74" s="444" t="s">
        <v>955</v>
      </c>
      <c r="J74" s="446"/>
      <c r="K74" s="444" t="s">
        <v>954</v>
      </c>
      <c r="L74" s="447"/>
      <c r="M74" s="448"/>
      <c r="N74" s="449"/>
      <c r="O74" s="450"/>
      <c r="R74" s="147"/>
      <c r="S74" s="147"/>
      <c r="T74" s="147"/>
      <c r="U74" s="147"/>
      <c r="V74" s="147"/>
      <c r="W74" s="147"/>
      <c r="X74" s="147"/>
      <c r="Y74" s="147"/>
      <c r="Z74" s="147"/>
      <c r="AA74" s="147"/>
      <c r="AB74" s="147"/>
    </row>
    <row r="75" spans="1:28" ht="15.75" hidden="1">
      <c r="B75" s="440"/>
      <c r="C75" s="451" t="s">
        <v>956</v>
      </c>
      <c r="D75" s="452"/>
      <c r="E75" s="453"/>
      <c r="F75" s="230" t="s">
        <v>957</v>
      </c>
      <c r="G75" s="230"/>
      <c r="H75" s="453"/>
      <c r="I75" s="230" t="s">
        <v>958</v>
      </c>
      <c r="J75" s="454"/>
      <c r="K75" s="230" t="s">
        <v>957</v>
      </c>
      <c r="L75" s="447"/>
      <c r="M75" s="156"/>
      <c r="N75" s="448"/>
      <c r="O75" s="455"/>
      <c r="S75" s="156"/>
      <c r="W75" s="147"/>
      <c r="X75" s="147"/>
      <c r="Y75" s="147"/>
      <c r="Z75" s="147"/>
      <c r="AA75" s="147"/>
      <c r="AB75" s="147"/>
    </row>
    <row r="76" spans="1:28" ht="14.25" hidden="1">
      <c r="A76" s="456"/>
      <c r="B76" s="457"/>
      <c r="C76" s="458" t="s">
        <v>959</v>
      </c>
      <c r="D76" s="452"/>
      <c r="E76" s="453"/>
      <c r="F76" s="445" t="s">
        <v>960</v>
      </c>
      <c r="G76" s="445"/>
      <c r="H76" s="453"/>
      <c r="I76" s="445" t="s">
        <v>961</v>
      </c>
      <c r="J76" s="454"/>
      <c r="K76" s="445" t="s">
        <v>960</v>
      </c>
      <c r="L76" s="447"/>
      <c r="M76" s="156"/>
      <c r="N76" s="459"/>
      <c r="O76" s="455"/>
      <c r="P76" s="456"/>
      <c r="S76" s="156"/>
      <c r="W76" s="147"/>
      <c r="X76" s="147"/>
      <c r="Y76" s="147"/>
      <c r="Z76" s="147"/>
      <c r="AA76" s="147"/>
      <c r="AB76" s="147"/>
    </row>
    <row r="77" spans="1:28" ht="15.75" hidden="1">
      <c r="B77" s="440"/>
      <c r="C77" s="460" t="s">
        <v>962</v>
      </c>
      <c r="D77" s="452"/>
      <c r="E77" s="453"/>
      <c r="F77" s="230" t="s">
        <v>957</v>
      </c>
      <c r="G77" s="230"/>
      <c r="H77" s="453"/>
      <c r="I77" s="230" t="s">
        <v>958</v>
      </c>
      <c r="J77" s="454"/>
      <c r="K77" s="230" t="s">
        <v>957</v>
      </c>
      <c r="L77" s="447"/>
      <c r="M77" s="156"/>
      <c r="N77" s="448"/>
      <c r="O77" s="461"/>
      <c r="S77" s="156"/>
      <c r="W77" s="147"/>
      <c r="X77" s="147"/>
      <c r="Y77" s="147"/>
      <c r="Z77" s="147"/>
      <c r="AA77" s="147"/>
      <c r="AB77" s="147"/>
    </row>
    <row r="78" spans="1:28" ht="14.25" hidden="1">
      <c r="B78" s="440"/>
      <c r="C78" s="460" t="s">
        <v>963</v>
      </c>
      <c r="D78" s="452"/>
      <c r="E78" s="453"/>
      <c r="F78" s="462" t="s">
        <v>964</v>
      </c>
      <c r="G78" s="230"/>
      <c r="H78" s="453"/>
      <c r="I78" s="462" t="s">
        <v>965</v>
      </c>
      <c r="J78" s="454"/>
      <c r="K78" s="462" t="s">
        <v>964</v>
      </c>
      <c r="L78" s="447"/>
      <c r="M78" s="156"/>
      <c r="N78" s="448"/>
      <c r="O78" s="189"/>
      <c r="S78" s="156"/>
      <c r="W78" s="147"/>
      <c r="X78" s="147"/>
      <c r="Y78" s="147"/>
      <c r="Z78" s="147"/>
      <c r="AA78" s="147"/>
      <c r="AB78" s="147"/>
    </row>
    <row r="79" spans="1:28" ht="14.25" hidden="1">
      <c r="B79" s="440"/>
      <c r="C79" s="460" t="s">
        <v>966</v>
      </c>
      <c r="D79" s="452"/>
      <c r="E79" s="453"/>
      <c r="F79" s="462" t="s">
        <v>964</v>
      </c>
      <c r="G79" s="230"/>
      <c r="H79" s="453"/>
      <c r="I79" s="462" t="s">
        <v>965</v>
      </c>
      <c r="J79" s="454"/>
      <c r="K79" s="462" t="s">
        <v>964</v>
      </c>
      <c r="L79" s="447"/>
      <c r="M79" s="156"/>
      <c r="N79" s="448"/>
      <c r="O79" s="455"/>
      <c r="S79" s="156"/>
      <c r="W79" s="147"/>
      <c r="X79" s="147"/>
      <c r="Y79" s="147"/>
      <c r="Z79" s="147"/>
      <c r="AA79" s="147"/>
      <c r="AB79" s="147"/>
    </row>
    <row r="80" spans="1:28" ht="15" hidden="1" thickBot="1">
      <c r="B80" s="463"/>
      <c r="C80" s="464"/>
      <c r="D80" s="465"/>
      <c r="E80" s="466"/>
      <c r="F80" s="467"/>
      <c r="G80" s="379"/>
      <c r="H80" s="466"/>
      <c r="I80" s="467"/>
      <c r="J80" s="468"/>
      <c r="K80" s="467"/>
      <c r="L80" s="447"/>
      <c r="M80" s="156"/>
      <c r="N80" s="469"/>
      <c r="O80" s="470"/>
      <c r="S80" s="156"/>
      <c r="W80" s="147"/>
      <c r="X80" s="147"/>
      <c r="Y80" s="147"/>
      <c r="Z80" s="147"/>
      <c r="AA80" s="147"/>
      <c r="AB80" s="147"/>
    </row>
    <row r="81" spans="2:28" ht="16.5" hidden="1" thickBot="1">
      <c r="B81" s="471" t="s">
        <v>967</v>
      </c>
      <c r="C81" s="472"/>
      <c r="D81" s="473"/>
      <c r="E81" s="474"/>
      <c r="F81" s="475"/>
      <c r="G81" s="475"/>
      <c r="H81" s="475"/>
      <c r="I81" s="475"/>
      <c r="J81" s="475"/>
      <c r="K81" s="475"/>
      <c r="L81" s="475"/>
      <c r="M81" s="475"/>
      <c r="N81" s="475"/>
      <c r="O81" s="476"/>
      <c r="S81" s="156"/>
      <c r="W81" s="147"/>
      <c r="X81" s="147"/>
      <c r="Y81" s="147"/>
      <c r="Z81" s="147"/>
      <c r="AA81" s="147"/>
      <c r="AB81" s="147"/>
    </row>
    <row r="82" spans="2:28" ht="15.75" hidden="1">
      <c r="B82" s="477" t="s">
        <v>968</v>
      </c>
      <c r="C82" s="478"/>
      <c r="D82" s="479"/>
      <c r="E82" s="480"/>
      <c r="F82" s="481"/>
      <c r="G82" s="481"/>
      <c r="H82" s="481"/>
      <c r="I82" s="479"/>
      <c r="J82" s="482" t="s">
        <v>969</v>
      </c>
      <c r="K82" s="483"/>
      <c r="L82" s="484"/>
      <c r="M82" s="478"/>
      <c r="N82" s="478"/>
      <c r="O82" s="485"/>
      <c r="S82" s="156"/>
      <c r="W82" s="147"/>
      <c r="X82" s="147"/>
      <c r="Y82" s="147"/>
      <c r="Z82" s="147"/>
      <c r="AA82" s="147"/>
      <c r="AB82" s="147"/>
    </row>
    <row r="83" spans="2:28" ht="15" hidden="1">
      <c r="B83" s="486"/>
      <c r="C83" s="487" t="s">
        <v>970</v>
      </c>
      <c r="D83" s="488"/>
      <c r="E83" s="488"/>
      <c r="F83" s="488"/>
      <c r="G83" s="488"/>
      <c r="H83" s="488"/>
      <c r="I83" s="488"/>
      <c r="J83" s="489" t="s">
        <v>971</v>
      </c>
      <c r="K83" s="156"/>
      <c r="L83" s="490"/>
      <c r="M83" s="156"/>
      <c r="N83" s="156"/>
      <c r="O83" s="203"/>
      <c r="S83" s="156"/>
      <c r="W83" s="147"/>
      <c r="X83" s="147"/>
      <c r="Y83" s="147"/>
      <c r="Z83" s="147"/>
      <c r="AA83" s="147"/>
      <c r="AB83" s="147"/>
    </row>
    <row r="84" spans="2:28" ht="15" hidden="1">
      <c r="B84" s="486"/>
      <c r="C84" s="487"/>
      <c r="D84" s="488"/>
      <c r="E84" s="488"/>
      <c r="F84" s="488"/>
      <c r="G84" s="488"/>
      <c r="H84" s="488"/>
      <c r="I84" s="488"/>
      <c r="J84" s="489"/>
      <c r="K84" s="156"/>
      <c r="L84" s="490"/>
      <c r="M84" s="156"/>
      <c r="N84" s="156"/>
      <c r="O84" s="203"/>
      <c r="S84" s="156"/>
      <c r="W84" s="147"/>
      <c r="X84" s="147"/>
      <c r="Y84" s="147"/>
      <c r="Z84" s="147"/>
      <c r="AA84" s="147"/>
      <c r="AB84" s="147"/>
    </row>
    <row r="85" spans="2:28" ht="15" hidden="1" thickBot="1">
      <c r="B85" s="491"/>
      <c r="C85" s="492"/>
      <c r="D85" s="493"/>
      <c r="E85" s="493"/>
      <c r="F85" s="493"/>
      <c r="G85" s="493"/>
      <c r="H85" s="493"/>
      <c r="I85" s="493"/>
      <c r="J85" s="494"/>
      <c r="K85" s="254"/>
      <c r="L85" s="495"/>
      <c r="M85" s="495"/>
      <c r="N85" s="495"/>
      <c r="O85" s="496"/>
      <c r="S85" s="156"/>
    </row>
    <row r="86" spans="2:28" ht="14.25" hidden="1">
      <c r="B86" s="230"/>
      <c r="C86" s="230"/>
      <c r="D86" s="369"/>
      <c r="E86" s="230"/>
      <c r="S86" s="156"/>
    </row>
    <row r="87" spans="2:28" ht="14.25" hidden="1">
      <c r="B87" s="497"/>
      <c r="C87" s="498"/>
      <c r="D87" s="499"/>
      <c r="E87" s="500"/>
      <c r="F87" s="500"/>
      <c r="G87" s="500"/>
      <c r="H87" s="500"/>
      <c r="I87" s="501"/>
      <c r="J87" s="502"/>
      <c r="K87" s="501"/>
      <c r="L87" s="503"/>
      <c r="M87" s="501"/>
      <c r="N87" s="504"/>
      <c r="O87" s="505"/>
      <c r="S87" s="156"/>
    </row>
    <row r="88" spans="2:28" ht="14.25" hidden="1">
      <c r="B88" s="506"/>
      <c r="C88" s="507" t="s">
        <v>972</v>
      </c>
      <c r="D88" s="508" t="s">
        <v>1905</v>
      </c>
      <c r="E88" s="509" t="s">
        <v>1906</v>
      </c>
      <c r="G88" s="156"/>
      <c r="H88" s="509" t="s">
        <v>1907</v>
      </c>
      <c r="J88" s="509" t="s">
        <v>1908</v>
      </c>
      <c r="L88" s="509" t="s">
        <v>1909</v>
      </c>
      <c r="N88" s="508" t="s">
        <v>1910</v>
      </c>
      <c r="O88" s="510"/>
      <c r="S88" s="156"/>
    </row>
    <row r="89" spans="2:28" ht="14.25" hidden="1">
      <c r="B89" s="506"/>
      <c r="C89" s="507" t="s">
        <v>2763</v>
      </c>
      <c r="D89" s="511" t="s">
        <v>2584</v>
      </c>
      <c r="E89" s="512"/>
      <c r="F89" s="513"/>
      <c r="G89" s="513"/>
      <c r="H89" s="513"/>
      <c r="I89" s="514"/>
      <c r="J89" s="514"/>
      <c r="K89" s="515"/>
      <c r="L89" s="515"/>
      <c r="O89" s="516"/>
    </row>
    <row r="90" spans="2:28" ht="14.25" hidden="1">
      <c r="B90" s="518"/>
      <c r="C90" s="507" t="s">
        <v>2585</v>
      </c>
      <c r="D90" s="511" t="s">
        <v>2586</v>
      </c>
      <c r="E90" s="511"/>
      <c r="G90" s="519"/>
      <c r="O90" s="516"/>
    </row>
    <row r="91" spans="2:28" ht="14.25" hidden="1">
      <c r="B91" s="518"/>
      <c r="C91" s="507"/>
      <c r="D91" s="511" t="s">
        <v>2587</v>
      </c>
      <c r="E91" s="511"/>
      <c r="G91" s="519"/>
      <c r="O91" s="516"/>
    </row>
    <row r="92" spans="2:28" ht="14.25" hidden="1">
      <c r="B92" s="520"/>
      <c r="C92" s="521" t="s">
        <v>2588</v>
      </c>
      <c r="D92" s="522" t="s">
        <v>1911</v>
      </c>
      <c r="E92" s="523"/>
      <c r="F92" s="356"/>
      <c r="G92" s="524"/>
      <c r="H92" s="356"/>
      <c r="I92" s="355"/>
      <c r="J92" s="355"/>
      <c r="K92" s="356"/>
      <c r="L92" s="356"/>
      <c r="M92" s="525"/>
      <c r="N92" s="525"/>
      <c r="O92" s="526"/>
    </row>
    <row r="93" spans="2:28" ht="14.25">
      <c r="G93" s="519"/>
    </row>
    <row r="94" spans="2:28" ht="14.25">
      <c r="G94" s="519"/>
      <c r="L94" s="519"/>
    </row>
    <row r="95" spans="2:28" ht="14.25">
      <c r="E95" s="188"/>
      <c r="F95" s="519"/>
      <c r="G95" s="519"/>
      <c r="H95" s="519"/>
      <c r="I95" s="515"/>
      <c r="L95" s="519"/>
    </row>
    <row r="96" spans="2:28" ht="14.25">
      <c r="C96" s="527"/>
      <c r="D96" s="371"/>
      <c r="E96" s="188"/>
      <c r="F96" s="519"/>
      <c r="G96" s="519"/>
      <c r="H96" s="519"/>
      <c r="I96" s="515"/>
      <c r="J96" s="515"/>
      <c r="K96" s="519"/>
      <c r="L96" s="519"/>
    </row>
    <row r="97" spans="2:12" ht="14.25">
      <c r="B97" s="528"/>
      <c r="C97" s="529"/>
      <c r="D97" s="530"/>
      <c r="E97" s="188"/>
      <c r="F97" s="519"/>
      <c r="G97" s="513"/>
      <c r="H97" s="513"/>
      <c r="I97" s="514"/>
      <c r="J97" s="514"/>
      <c r="K97" s="515"/>
      <c r="L97" s="515"/>
    </row>
    <row r="98" spans="2:12" ht="14.25" hidden="1">
      <c r="B98" s="528"/>
      <c r="C98" s="528"/>
      <c r="D98" s="531"/>
      <c r="G98" s="513"/>
      <c r="H98" s="513"/>
      <c r="I98" s="514"/>
      <c r="J98" s="514"/>
      <c r="K98" s="515"/>
      <c r="L98" s="515"/>
    </row>
    <row r="99" spans="2:12" ht="14.25" hidden="1"/>
    <row r="100" spans="2:12" ht="14.25" hidden="1"/>
    <row r="101" spans="2:12" ht="14.25" hidden="1"/>
    <row r="102" spans="2:12" ht="14.25" hidden="1"/>
    <row r="103" spans="2:12" ht="14.25" hidden="1"/>
    <row r="104" spans="2:12" ht="14.25" hidden="1"/>
    <row r="105" spans="2:12" ht="14.25" hidden="1"/>
    <row r="106" spans="2:12" ht="14.25" hidden="1"/>
    <row r="107" spans="2:12" ht="14.25" hidden="1"/>
    <row r="108" spans="2:12" ht="14.25" hidden="1"/>
    <row r="109" spans="2:12" ht="14.25" hidden="1"/>
    <row r="110" spans="2:12" ht="14.25" hidden="1"/>
    <row r="111" spans="2:12" ht="14.25" hidden="1"/>
    <row r="112" spans="2:12" ht="14.25" hidden="1"/>
    <row r="113" ht="14.25" hidden="1"/>
    <row r="114" ht="14.25" hidden="1"/>
    <row r="115" ht="14.25" hidden="1"/>
    <row r="116" ht="14.25" hidden="1"/>
    <row r="117" ht="14.25" hidden="1"/>
    <row r="118" ht="14.25" hidden="1"/>
    <row r="119" ht="14.25" hidden="1"/>
    <row r="120" ht="14.25" hidden="1"/>
    <row r="121" ht="14.25" hidden="1"/>
    <row r="122" ht="14.25" hidden="1"/>
    <row r="123" ht="14.25" hidden="1"/>
    <row r="124" ht="14.25" hidden="1"/>
    <row r="125" ht="14.25" hidden="1"/>
    <row r="126" ht="14.25" hidden="1"/>
    <row r="127" ht="14.25" hidden="1"/>
    <row r="128" ht="14.25" hidden="1"/>
    <row r="129" ht="14.25" hidden="1"/>
    <row r="130" ht="14.25" hidden="1"/>
    <row r="131" ht="14.25" hidden="1"/>
    <row r="132" ht="14.25" hidden="1"/>
    <row r="133" ht="14.25" hidden="1"/>
    <row r="134" ht="14.25" hidden="1"/>
    <row r="135" ht="14.25" hidden="1"/>
    <row r="136" ht="14.25" hidden="1"/>
    <row r="137" ht="14.25" hidden="1"/>
    <row r="138" ht="14.25" hidden="1"/>
    <row r="139" ht="14.25" hidden="1"/>
    <row r="140" ht="14.25" hidden="1"/>
    <row r="141" ht="14.25" hidden="1"/>
    <row r="142" ht="14.25" hidden="1"/>
    <row r="143" ht="14.25" hidden="1"/>
    <row r="144" ht="14.25" hidden="1"/>
    <row r="145" ht="14.25" hidden="1"/>
    <row r="146" ht="14.25" hidden="1"/>
    <row r="147" ht="14.25" hidden="1"/>
    <row r="148" ht="14.25" hidden="1"/>
    <row r="149" ht="14.25" hidden="1"/>
    <row r="150" ht="14.25" hidden="1"/>
    <row r="151" ht="14.25" hidden="1"/>
    <row r="152" ht="14.25" hidden="1"/>
    <row r="153" ht="14.25" hidden="1"/>
    <row r="154" ht="14.25" hidden="1"/>
    <row r="155" ht="14.25" hidden="1"/>
    <row r="156" ht="14.25" hidden="1"/>
    <row r="157" ht="14.25" hidden="1"/>
    <row r="158" ht="14.25" hidden="1"/>
    <row r="159" ht="14.25" hidden="1"/>
    <row r="160" ht="14.25" hidden="1"/>
    <row r="161" ht="14.25" hidden="1"/>
    <row r="162" ht="14.25" hidden="1"/>
    <row r="163" ht="14.25" hidden="1"/>
    <row r="164" ht="14.25" hidden="1"/>
    <row r="165" ht="14.25" hidden="1"/>
    <row r="166" ht="14.25" hidden="1"/>
    <row r="167" ht="14.25" hidden="1"/>
    <row r="168" ht="14.25" hidden="1"/>
    <row r="169" ht="14.25" hidden="1"/>
    <row r="170" ht="14.25" hidden="1"/>
    <row r="171" ht="14.25" hidden="1"/>
    <row r="172" ht="14.25" hidden="1"/>
    <row r="173" ht="14.25" hidden="1"/>
    <row r="174" ht="14.25" hidden="1"/>
    <row r="175" ht="14.25" hidden="1"/>
    <row r="176" ht="14.25" hidden="1"/>
    <row r="177" ht="14.25" hidden="1"/>
    <row r="178" ht="14.25" hidden="1"/>
    <row r="179" ht="14.25" hidden="1"/>
    <row r="180" ht="14.25" hidden="1"/>
    <row r="181" ht="14.25" hidden="1"/>
    <row r="182" ht="14.25" hidden="1"/>
    <row r="183" ht="14.25" hidden="1"/>
    <row r="184" ht="14.25" hidden="1"/>
    <row r="185" ht="14.25" hidden="1"/>
    <row r="186" ht="14.25" hidden="1"/>
    <row r="187" ht="14.25" hidden="1"/>
    <row r="188" ht="14.25" hidden="1"/>
    <row r="189" ht="14.25" hidden="1"/>
    <row r="190" ht="14.25" hidden="1"/>
    <row r="191" ht="14.25" hidden="1"/>
    <row r="192" ht="14.25" hidden="1"/>
    <row r="193" ht="14.25" hidden="1"/>
    <row r="194" ht="14.25" hidden="1"/>
    <row r="195" ht="14.25" hidden="1"/>
    <row r="196" ht="14.25" hidden="1"/>
    <row r="197" ht="14.25" hidden="1"/>
    <row r="198" ht="14.25" hidden="1"/>
    <row r="199" ht="14.25" hidden="1"/>
    <row r="200" ht="14.25" hidden="1"/>
    <row r="201" ht="14.25" hidden="1" customHeight="1"/>
    <row r="202" ht="14.25" hidden="1" customHeight="1"/>
    <row r="203" ht="14.25" hidden="1" customHeight="1"/>
    <row r="204" ht="14.25" hidden="1" customHeight="1"/>
    <row r="205" ht="14.25" hidden="1" customHeight="1"/>
    <row r="206" ht="14.25" hidden="1" customHeight="1"/>
    <row r="207" ht="14.25" hidden="1" customHeight="1"/>
    <row r="208" ht="14.25" hidden="1" customHeight="1"/>
    <row r="209" ht="14.25" hidden="1" customHeight="1"/>
    <row r="210" ht="14.25" hidden="1" customHeight="1"/>
    <row r="211" ht="14.25" hidden="1" customHeight="1"/>
  </sheetData>
  <sheetProtection sheet="1" objects="1" scenarios="1"/>
  <mergeCells count="13">
    <mergeCell ref="Q2:Q5"/>
    <mergeCell ref="K5:L5"/>
    <mergeCell ref="N5:O5"/>
    <mergeCell ref="B69:G69"/>
    <mergeCell ref="H69:K69"/>
    <mergeCell ref="L69:O69"/>
    <mergeCell ref="D13:E13"/>
    <mergeCell ref="B65:K65"/>
    <mergeCell ref="L65:O65"/>
    <mergeCell ref="B67:G67"/>
    <mergeCell ref="H36:K38"/>
    <mergeCell ref="H67:K67"/>
    <mergeCell ref="L67:O67"/>
  </mergeCells>
  <phoneticPr fontId="21"/>
  <conditionalFormatting sqref="H27">
    <cfRule type="cellIs" dxfId="157" priority="4" stopIfTrue="1" operator="equal">
      <formula>$U$35</formula>
    </cfRule>
  </conditionalFormatting>
  <conditionalFormatting sqref="H27:K34">
    <cfRule type="expression" dxfId="156" priority="1" stopIfTrue="1">
      <formula>$U$35=$W$36</formula>
    </cfRule>
  </conditionalFormatting>
  <conditionalFormatting sqref="H35:K35">
    <cfRule type="expression" dxfId="155" priority="2" stopIfTrue="1">
      <formula>$U$35=$W$36</formula>
    </cfRule>
  </conditionalFormatting>
  <hyperlinks>
    <hyperlink ref="Q2" location="メイン!A1" display="戻る" xr:uid="{00000000-0004-0000-0200-000000000000}"/>
  </hyperlinks>
  <printOptions horizontalCentered="1"/>
  <pageMargins left="0.59055118110236227" right="0.59055118110236227" top="0.78740157480314965" bottom="0.59055118110236227" header="0.51181102362204722" footer="0.51181102362204722"/>
  <pageSetup paperSize="9" scale="68" orientation="portrait" verticalDpi="4294967293" r:id="rId1"/>
  <headerFooter alignWithMargins="0">
    <oddHeader>&amp;L&amp;F&amp;R&amp;A</oddHeader>
    <oddFooter>&amp;C&amp;P/&amp;N</oddFooter>
  </headerFooter>
  <colBreaks count="1" manualBreakCount="1">
    <brk id="16" max="71" man="1"/>
  </col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autoPageBreaks="0"/>
  </sheetPr>
  <dimension ref="A1:BF182"/>
  <sheetViews>
    <sheetView showGridLines="0" zoomScaleNormal="100" workbookViewId="0">
      <selection activeCell="H24" sqref="H24:L24"/>
    </sheetView>
  </sheetViews>
  <sheetFormatPr defaultColWidth="0" defaultRowHeight="13.5" zeroHeight="1"/>
  <cols>
    <col min="1" max="1" width="1.75" customWidth="1"/>
    <col min="2" max="2" width="4" customWidth="1"/>
    <col min="3" max="3" width="5.125" customWidth="1"/>
    <col min="4" max="4" width="5.375" customWidth="1"/>
    <col min="5" max="6" width="12.625" customWidth="1"/>
    <col min="7" max="7" width="6.375" hidden="1" customWidth="1"/>
    <col min="8" max="10" width="9.25" customWidth="1"/>
    <col min="11" max="11" width="11.875" customWidth="1"/>
    <col min="12" max="12" width="9.25" customWidth="1"/>
    <col min="13" max="13" width="9.625" customWidth="1"/>
    <col min="14" max="14" width="6.625" customWidth="1"/>
    <col min="15" max="15" width="9.625" customWidth="1"/>
    <col min="16" max="16" width="6.625" customWidth="1"/>
    <col min="17" max="17" width="5.75" customWidth="1"/>
    <col min="18" max="18" width="2.25" customWidth="1"/>
    <col min="19" max="20" width="7.5" hidden="1" customWidth="1"/>
    <col min="21" max="21" width="6.375" hidden="1" customWidth="1"/>
    <col min="22" max="23" width="11.25" hidden="1" customWidth="1"/>
    <col min="24" max="24" width="9.875" hidden="1" customWidth="1"/>
    <col min="25" max="25" width="5.875" hidden="1" customWidth="1"/>
    <col min="26" max="26" width="10.625" hidden="1" customWidth="1"/>
    <col min="27" max="27" width="6.375" hidden="1" customWidth="1"/>
    <col min="28" max="28" width="16" hidden="1" customWidth="1"/>
    <col min="29" max="29" width="6.375" hidden="1" customWidth="1"/>
    <col min="30" max="30" width="12.375" hidden="1" customWidth="1"/>
    <col min="31" max="31" width="6.375" hidden="1" customWidth="1"/>
    <col min="32" max="32" width="18.75" hidden="1" customWidth="1"/>
    <col min="33" max="33" width="4.5" hidden="1" customWidth="1"/>
    <col min="34" max="36" width="6" hidden="1" customWidth="1"/>
    <col min="37" max="37" width="29.5" hidden="1" customWidth="1"/>
    <col min="38" max="38" width="5" hidden="1" customWidth="1"/>
    <col min="39" max="39" width="17.375" hidden="1" customWidth="1"/>
    <col min="40" max="40" width="5.75" hidden="1" customWidth="1"/>
    <col min="41" max="41" width="7.5" hidden="1" customWidth="1"/>
    <col min="42" max="42" width="25.25" hidden="1" customWidth="1"/>
    <col min="43" max="43" width="4.5" hidden="1" customWidth="1"/>
    <col min="44" max="44" width="5.75" hidden="1" customWidth="1"/>
    <col min="45" max="45" width="0" hidden="1" customWidth="1"/>
    <col min="46" max="46" width="9" hidden="1" customWidth="1"/>
    <col min="47" max="47" width="2.75" hidden="1" customWidth="1"/>
    <col min="48" max="48" width="4.875" hidden="1" customWidth="1"/>
    <col min="49" max="49" width="6.375" hidden="1" customWidth="1"/>
    <col min="50" max="50" width="4.75" hidden="1" customWidth="1"/>
    <col min="51" max="52" width="6.375" hidden="1" customWidth="1"/>
    <col min="53" max="53" width="6" hidden="1" customWidth="1"/>
    <col min="54" max="54" width="6.125" hidden="1" customWidth="1"/>
    <col min="55" max="55" width="8" hidden="1" customWidth="1"/>
    <col min="56" max="56" width="6.375" hidden="1" customWidth="1"/>
    <col min="57" max="57" width="5.75" hidden="1" customWidth="1"/>
    <col min="58" max="58" width="7.5" hidden="1" customWidth="1"/>
    <col min="59" max="16384" width="9" hidden="1"/>
  </cols>
  <sheetData>
    <row r="1" spans="2:58" ht="6" customHeight="1" thickBot="1"/>
    <row r="2" spans="2:58" ht="18" thickBot="1">
      <c r="B2" s="532" t="str">
        <f>メイン!C6</f>
        <v>CASBEE-建築(既存)2014年版</v>
      </c>
      <c r="C2" s="533"/>
      <c r="D2" s="534"/>
      <c r="E2" s="535"/>
      <c r="F2" s="536"/>
      <c r="G2" s="537" t="s">
        <v>2589</v>
      </c>
      <c r="H2" s="538"/>
      <c r="I2" s="538"/>
      <c r="L2" s="2700" t="s">
        <v>2148</v>
      </c>
      <c r="M2" s="2700"/>
      <c r="N2" s="184" t="str">
        <f>メイン!C6</f>
        <v>CASBEE-建築(既存)2014年版</v>
      </c>
      <c r="P2" s="539"/>
      <c r="Q2" s="539"/>
      <c r="R2" s="540"/>
      <c r="S2" s="540"/>
      <c r="T2" s="540"/>
      <c r="AM2" s="537" t="s">
        <v>2148</v>
      </c>
      <c r="AO2" s="537"/>
      <c r="AP2" s="184" t="str">
        <f>メイン!C6</f>
        <v>CASBEE-建築(既存)2014年版</v>
      </c>
      <c r="AQ2" s="184"/>
      <c r="AW2" s="1849" t="s">
        <v>461</v>
      </c>
      <c r="AX2" s="1849" t="s">
        <v>463</v>
      </c>
      <c r="AY2" s="1849" t="s">
        <v>465</v>
      </c>
      <c r="AZ2" s="1849" t="s">
        <v>467</v>
      </c>
      <c r="BA2" s="1849" t="s">
        <v>471</v>
      </c>
      <c r="BB2" s="1849" t="s">
        <v>473</v>
      </c>
      <c r="BC2" s="1849" t="s">
        <v>475</v>
      </c>
      <c r="BD2" s="1850" t="s">
        <v>1966</v>
      </c>
      <c r="BE2" s="1849" t="s">
        <v>477</v>
      </c>
      <c r="BF2" s="1849" t="s">
        <v>463</v>
      </c>
    </row>
    <row r="3" spans="2:58" ht="14.25" customHeight="1" thickBot="1">
      <c r="B3" s="2702" t="str">
        <f>メイン!$C$11</f>
        <v>○○ビル</v>
      </c>
      <c r="C3" s="2703"/>
      <c r="D3" s="2703"/>
      <c r="E3" s="2703"/>
      <c r="F3" s="2704"/>
      <c r="G3" s="541"/>
      <c r="H3" s="538"/>
      <c r="I3" s="542"/>
      <c r="J3" s="543" t="s">
        <v>2590</v>
      </c>
      <c r="K3" s="538"/>
      <c r="L3" s="2700" t="s">
        <v>2591</v>
      </c>
      <c r="M3" s="2701"/>
      <c r="N3" s="544" t="str">
        <f>メイン!C5</f>
        <v>CASBEE-BD_EB_2014(v.3.03)</v>
      </c>
      <c r="P3" s="545"/>
      <c r="Q3" s="545"/>
      <c r="R3" s="546"/>
      <c r="S3" s="546"/>
      <c r="T3" s="546"/>
      <c r="AM3" s="537" t="s">
        <v>2591</v>
      </c>
      <c r="AP3" s="544" t="str">
        <f>メイン!C5</f>
        <v>CASBEE-BD_EB_2014(v.3.03)</v>
      </c>
      <c r="AQ3" s="544"/>
      <c r="AW3" s="2340">
        <f>重み!S7</f>
        <v>0.34482758620689657</v>
      </c>
      <c r="AX3" s="2340">
        <f>重み!T7</f>
        <v>0</v>
      </c>
      <c r="AY3" s="2340">
        <f>重み!U7</f>
        <v>0</v>
      </c>
      <c r="AZ3" s="2340">
        <f>重み!V7</f>
        <v>0</v>
      </c>
      <c r="BA3" s="2340">
        <f>重み!W7</f>
        <v>0</v>
      </c>
      <c r="BB3" s="2340">
        <f>重み!X7</f>
        <v>0</v>
      </c>
      <c r="BC3" s="2340">
        <f>重み!Y7</f>
        <v>0.17241379310344829</v>
      </c>
      <c r="BD3" s="2340">
        <f>重み!Z7</f>
        <v>0.20689655172413793</v>
      </c>
      <c r="BE3" s="2340">
        <f>重み!AA7</f>
        <v>0</v>
      </c>
      <c r="BF3" s="2340">
        <f>重み!AB7</f>
        <v>0.27586206896551724</v>
      </c>
    </row>
    <row r="4" spans="2:58" ht="3.75" customHeight="1" thickBot="1">
      <c r="B4" s="547"/>
      <c r="C4" s="548"/>
      <c r="D4" s="549"/>
      <c r="E4" s="246"/>
      <c r="F4" s="246"/>
      <c r="G4" s="246"/>
      <c r="H4" s="246"/>
      <c r="I4" s="246"/>
      <c r="J4" s="246"/>
      <c r="K4" s="246"/>
      <c r="L4" s="550"/>
      <c r="M4" s="550"/>
      <c r="N4" s="246"/>
      <c r="O4" s="246"/>
      <c r="P4" s="246"/>
      <c r="Q4" s="551"/>
      <c r="R4" s="546"/>
      <c r="S4" s="546"/>
      <c r="T4" s="546"/>
      <c r="AW4" s="546"/>
      <c r="AX4" s="546"/>
      <c r="AY4" s="546"/>
      <c r="AZ4" s="546"/>
      <c r="BA4" s="546"/>
      <c r="BB4" s="546"/>
      <c r="BC4" s="546"/>
      <c r="BD4" s="546"/>
      <c r="BE4" s="546"/>
      <c r="BF4" s="546"/>
    </row>
    <row r="5" spans="2:58" ht="17.25" customHeight="1" thickBot="1">
      <c r="B5" s="471" t="s">
        <v>2592</v>
      </c>
      <c r="C5" s="552"/>
      <c r="D5" s="553"/>
      <c r="E5" s="2705" t="str">
        <f>IF(メイン!E39=0,"",メイン!E39)</f>
        <v/>
      </c>
      <c r="F5" s="2706"/>
      <c r="G5" s="554"/>
      <c r="H5" s="555"/>
      <c r="I5" s="555"/>
      <c r="J5" s="555"/>
      <c r="K5" s="555"/>
      <c r="L5" s="555"/>
      <c r="M5" s="556"/>
      <c r="N5" s="556"/>
      <c r="O5" s="556"/>
      <c r="P5" s="556"/>
      <c r="Q5" s="557"/>
      <c r="R5" s="546"/>
      <c r="S5" s="2707" t="s">
        <v>2923</v>
      </c>
      <c r="T5" s="2708"/>
      <c r="V5" s="558"/>
      <c r="W5" s="546"/>
      <c r="X5" s="558"/>
      <c r="Y5" s="546"/>
      <c r="Z5" s="546"/>
      <c r="AA5" s="546"/>
      <c r="AB5" s="559" t="s">
        <v>2594</v>
      </c>
      <c r="AC5" s="281"/>
      <c r="AD5" s="559" t="s">
        <v>2595</v>
      </c>
      <c r="AF5" s="2332" t="s">
        <v>2953</v>
      </c>
      <c r="AG5" s="555"/>
      <c r="AH5" s="555"/>
      <c r="AI5" s="555"/>
      <c r="AJ5" s="555"/>
      <c r="AK5" s="2333" t="s">
        <v>2954</v>
      </c>
      <c r="AL5" s="2333"/>
      <c r="AM5" s="555"/>
      <c r="AN5" s="555"/>
      <c r="AO5" s="555"/>
      <c r="AP5" s="556"/>
      <c r="AQ5" s="556"/>
      <c r="AR5" s="557"/>
      <c r="AW5" s="546"/>
      <c r="AX5" s="546"/>
      <c r="AY5" s="546"/>
      <c r="AZ5" s="546"/>
      <c r="BA5" s="546"/>
      <c r="BB5" s="546"/>
      <c r="BC5" s="546"/>
      <c r="BD5" s="546"/>
      <c r="BE5" s="546"/>
      <c r="BF5" s="546"/>
    </row>
    <row r="6" spans="2:58" ht="12.75" customHeight="1">
      <c r="B6" s="560"/>
      <c r="C6" s="561"/>
      <c r="D6" s="562"/>
      <c r="E6" s="563"/>
      <c r="F6" s="564"/>
      <c r="G6" s="565"/>
      <c r="H6" s="566"/>
      <c r="I6" s="567"/>
      <c r="J6" s="567"/>
      <c r="K6" s="567"/>
      <c r="L6" s="567"/>
      <c r="M6" s="568" t="s">
        <v>2594</v>
      </c>
      <c r="N6" s="569"/>
      <c r="O6" s="568" t="s">
        <v>2595</v>
      </c>
      <c r="P6" s="570"/>
      <c r="Q6" s="571"/>
      <c r="R6" s="546"/>
      <c r="S6" s="2709"/>
      <c r="T6" s="2710"/>
      <c r="V6" s="572" t="s">
        <v>2596</v>
      </c>
      <c r="W6" s="573"/>
      <c r="X6" s="574" t="s">
        <v>2597</v>
      </c>
      <c r="Y6" s="573"/>
      <c r="Z6" s="573"/>
      <c r="AA6" s="546"/>
      <c r="AB6" s="575">
        <f>重み!D7</f>
        <v>0.86206896551724133</v>
      </c>
      <c r="AC6" s="281"/>
      <c r="AD6" s="575">
        <f>重み!E7</f>
        <v>0.13793103448275865</v>
      </c>
      <c r="AF6" s="2388" t="s">
        <v>2955</v>
      </c>
      <c r="AG6" s="2388" t="s">
        <v>2956</v>
      </c>
      <c r="AH6" s="2388" t="s">
        <v>2957</v>
      </c>
      <c r="AI6" s="2388" t="s">
        <v>2958</v>
      </c>
      <c r="AJ6" s="2388" t="s">
        <v>2959</v>
      </c>
      <c r="AK6" s="2388" t="s">
        <v>2960</v>
      </c>
      <c r="AL6" s="2390" t="s">
        <v>2965</v>
      </c>
      <c r="AM6" s="2388" t="s">
        <v>2961</v>
      </c>
      <c r="AN6" s="2388" t="s">
        <v>319</v>
      </c>
      <c r="AO6" s="2389" t="s">
        <v>2962</v>
      </c>
      <c r="AP6" s="2345" t="s">
        <v>2594</v>
      </c>
      <c r="AQ6" s="2346"/>
      <c r="AR6" s="571"/>
      <c r="AT6" s="2212" t="s">
        <v>2963</v>
      </c>
      <c r="AW6" s="2340" t="str">
        <f t="shared" ref="AW6:BF6" si="0">AF6</f>
        <v>事務所</v>
      </c>
      <c r="AX6" s="2340" t="str">
        <f t="shared" si="0"/>
        <v>学校</v>
      </c>
      <c r="AY6" s="2340" t="str">
        <f t="shared" si="0"/>
        <v>物販店</v>
      </c>
      <c r="AZ6" s="2340" t="str">
        <f t="shared" si="0"/>
        <v>飲食店</v>
      </c>
      <c r="BA6" s="2340" t="str">
        <f t="shared" si="0"/>
        <v>集会所</v>
      </c>
      <c r="BB6" s="2340" t="str">
        <f t="shared" si="0"/>
        <v>工場</v>
      </c>
      <c r="BC6" s="2340" t="str">
        <f t="shared" si="0"/>
        <v>学校
(小中高)</v>
      </c>
      <c r="BD6" s="2340" t="str">
        <f t="shared" si="0"/>
        <v>病院</v>
      </c>
      <c r="BE6" s="2340" t="str">
        <f t="shared" si="0"/>
        <v>ホテル</v>
      </c>
      <c r="BF6" s="2340" t="str">
        <f t="shared" si="0"/>
        <v>集合住宅</v>
      </c>
    </row>
    <row r="7" spans="2:58" ht="23.25" customHeight="1" thickBot="1">
      <c r="B7" s="2375" t="s">
        <v>1912</v>
      </c>
      <c r="C7" s="2376"/>
      <c r="D7" s="2377"/>
      <c r="E7" s="2378"/>
      <c r="F7" s="2379"/>
      <c r="G7" s="576"/>
      <c r="H7" s="577" t="s">
        <v>1913</v>
      </c>
      <c r="I7" s="578"/>
      <c r="J7" s="578"/>
      <c r="K7" s="578"/>
      <c r="L7" s="579"/>
      <c r="M7" s="580" t="s">
        <v>2135</v>
      </c>
      <c r="N7" s="581" t="s">
        <v>2136</v>
      </c>
      <c r="O7" s="582" t="s">
        <v>2135</v>
      </c>
      <c r="P7" s="583" t="s">
        <v>2136</v>
      </c>
      <c r="Q7" s="584" t="s">
        <v>3349</v>
      </c>
      <c r="R7" s="546"/>
      <c r="S7" s="585" t="s">
        <v>2596</v>
      </c>
      <c r="T7" s="585" t="s">
        <v>2597</v>
      </c>
      <c r="V7" s="586" t="s">
        <v>2593</v>
      </c>
      <c r="W7" s="587" t="s">
        <v>2136</v>
      </c>
      <c r="X7" s="586" t="s">
        <v>2593</v>
      </c>
      <c r="Y7" s="587" t="s">
        <v>2136</v>
      </c>
      <c r="Z7" s="588" t="s">
        <v>2137</v>
      </c>
      <c r="AA7" s="546"/>
      <c r="AB7" s="575" t="s">
        <v>1915</v>
      </c>
      <c r="AC7" s="281"/>
      <c r="AD7" s="575" t="s">
        <v>1915</v>
      </c>
      <c r="AF7" s="2334">
        <f>AW7</f>
        <v>0.34482758620689657</v>
      </c>
      <c r="AG7" s="2334">
        <f t="shared" ref="AG7:AO7" si="1">AX7</f>
        <v>0</v>
      </c>
      <c r="AH7" s="2334">
        <f t="shared" si="1"/>
        <v>0</v>
      </c>
      <c r="AI7" s="2334">
        <f t="shared" si="1"/>
        <v>0</v>
      </c>
      <c r="AJ7" s="2334">
        <f t="shared" si="1"/>
        <v>0.20689655172413793</v>
      </c>
      <c r="AK7" s="2334">
        <f t="shared" si="1"/>
        <v>0</v>
      </c>
      <c r="AL7" s="2334">
        <f t="shared" si="1"/>
        <v>0.27586206896551724</v>
      </c>
      <c r="AM7" s="2334">
        <f t="shared" si="1"/>
        <v>0</v>
      </c>
      <c r="AN7" s="2334">
        <f t="shared" si="1"/>
        <v>0</v>
      </c>
      <c r="AO7" s="2342">
        <f t="shared" si="1"/>
        <v>0.17241379310344829</v>
      </c>
      <c r="AP7" s="2347" t="s">
        <v>2135</v>
      </c>
      <c r="AQ7" s="2348" t="s">
        <v>2136</v>
      </c>
      <c r="AR7" s="2335" t="s">
        <v>1914</v>
      </c>
      <c r="AT7" s="2127" t="s">
        <v>2964</v>
      </c>
      <c r="AW7" s="2340">
        <f>AW3</f>
        <v>0.34482758620689657</v>
      </c>
      <c r="AX7" s="2340">
        <f t="shared" ref="AX7:AZ7" si="2">AX3</f>
        <v>0</v>
      </c>
      <c r="AY7" s="2340">
        <f t="shared" si="2"/>
        <v>0</v>
      </c>
      <c r="AZ7" s="2340">
        <f t="shared" si="2"/>
        <v>0</v>
      </c>
      <c r="BA7" s="2340">
        <f>BD3</f>
        <v>0.20689655172413793</v>
      </c>
      <c r="BB7" s="2340">
        <f>BE3</f>
        <v>0</v>
      </c>
      <c r="BC7" s="2340">
        <f>BF3</f>
        <v>0.27586206896551724</v>
      </c>
      <c r="BD7" s="2340">
        <f>BA3</f>
        <v>0</v>
      </c>
      <c r="BE7" s="2340">
        <f t="shared" ref="BE7:BF7" si="3">BB3</f>
        <v>0</v>
      </c>
      <c r="BF7" s="2340">
        <f t="shared" si="3"/>
        <v>0.17241379310344829</v>
      </c>
    </row>
    <row r="8" spans="2:58" ht="16.5" thickBot="1">
      <c r="B8" s="2380" t="s">
        <v>1916</v>
      </c>
      <c r="C8" s="2381"/>
      <c r="D8" s="2382"/>
      <c r="E8" s="2383"/>
      <c r="F8" s="2384"/>
      <c r="G8" s="589"/>
      <c r="H8" s="590"/>
      <c r="I8" s="591"/>
      <c r="J8" s="591"/>
      <c r="K8" s="591"/>
      <c r="L8" s="592"/>
      <c r="M8" s="593"/>
      <c r="N8" s="594"/>
      <c r="O8" s="595"/>
      <c r="P8" s="596"/>
      <c r="Q8" s="597">
        <f>ROUNDDOWN(Z8,1)</f>
        <v>3</v>
      </c>
      <c r="R8" s="546"/>
      <c r="S8" s="546"/>
      <c r="T8" s="546"/>
      <c r="V8" s="598"/>
      <c r="W8" s="599"/>
      <c r="X8" s="598"/>
      <c r="Y8" s="599"/>
      <c r="Z8" s="599">
        <f>W9*Z9+W61*Z61+W109*Z109</f>
        <v>3.0127254098360656</v>
      </c>
      <c r="AA8" s="546"/>
      <c r="AB8" s="575">
        <f>重み!M8</f>
        <v>0</v>
      </c>
      <c r="AC8" s="281"/>
      <c r="AD8" s="575">
        <f>重み!N8</f>
        <v>0</v>
      </c>
      <c r="AF8" s="2336"/>
      <c r="AG8" s="2336"/>
      <c r="AH8" s="2336"/>
      <c r="AI8" s="2336"/>
      <c r="AJ8" s="2336"/>
      <c r="AK8" s="2336"/>
      <c r="AL8" s="2336"/>
      <c r="AM8" s="2336"/>
      <c r="AN8" s="2336"/>
      <c r="AO8" s="2343"/>
      <c r="AP8" s="2349"/>
      <c r="AQ8" s="2350"/>
      <c r="AR8" s="2337">
        <f t="shared" ref="AR8:AR9" si="4">ROUNDDOWN(AT8,1)</f>
        <v>3.2</v>
      </c>
      <c r="AT8" s="1">
        <f>AQ9*AT9+AQ61*AT61+AQ109*AT109</f>
        <v>3.2399999999999998</v>
      </c>
    </row>
    <row r="9" spans="2:58" ht="15.75" thickBot="1">
      <c r="B9" s="600" t="s">
        <v>1917</v>
      </c>
      <c r="C9" s="601" t="s">
        <v>2138</v>
      </c>
      <c r="D9" s="601"/>
      <c r="E9" s="601"/>
      <c r="F9" s="602"/>
      <c r="G9" s="603"/>
      <c r="H9" s="604"/>
      <c r="I9" s="605"/>
      <c r="J9" s="605"/>
      <c r="K9" s="605"/>
      <c r="L9" s="606"/>
      <c r="M9" s="607"/>
      <c r="N9" s="608">
        <f t="shared" ref="N9:P41" si="5">W9</f>
        <v>0.4</v>
      </c>
      <c r="O9" s="609"/>
      <c r="P9" s="608">
        <f t="shared" si="5"/>
        <v>0</v>
      </c>
      <c r="Q9" s="611">
        <f>ROUNDDOWN(Z9,1)</f>
        <v>3</v>
      </c>
      <c r="R9" s="546"/>
      <c r="S9" s="546"/>
      <c r="T9" s="546"/>
      <c r="V9" s="598"/>
      <c r="W9" s="612">
        <f>重み!D9</f>
        <v>0.4</v>
      </c>
      <c r="X9" s="598"/>
      <c r="Y9" s="612"/>
      <c r="Z9" s="599">
        <f>Z10*W10+Z20*W20+Z34*W34+Z47*W47</f>
        <v>3</v>
      </c>
      <c r="AA9" s="546"/>
      <c r="AB9" s="613">
        <f>重み!M9</f>
        <v>0.4</v>
      </c>
      <c r="AC9" s="281"/>
      <c r="AD9" s="575">
        <f>重み!N9</f>
        <v>0</v>
      </c>
      <c r="AF9" s="2338"/>
      <c r="AG9" s="2338"/>
      <c r="AH9" s="2338"/>
      <c r="AI9" s="2338"/>
      <c r="AJ9" s="2338"/>
      <c r="AK9" s="2338"/>
      <c r="AL9" s="2338"/>
      <c r="AM9" s="2338"/>
      <c r="AN9" s="2338"/>
      <c r="AO9" s="2344"/>
      <c r="AP9" s="2351"/>
      <c r="AQ9" s="2352">
        <f>N9</f>
        <v>0.4</v>
      </c>
      <c r="AR9" s="611">
        <f t="shared" si="4"/>
        <v>3</v>
      </c>
      <c r="AT9" s="2356">
        <f>SUMPRODUCT(AQ10:AQ60,AT10:AT60)</f>
        <v>3</v>
      </c>
    </row>
    <row r="10" spans="2:58" ht="14.25" thickBot="1">
      <c r="B10" s="614">
        <v>1</v>
      </c>
      <c r="C10" s="615" t="s">
        <v>2139</v>
      </c>
      <c r="D10" s="616"/>
      <c r="E10" s="617"/>
      <c r="F10" s="618"/>
      <c r="G10" s="619"/>
      <c r="H10" s="835"/>
      <c r="I10" s="836"/>
      <c r="J10" s="836"/>
      <c r="K10" s="836"/>
      <c r="L10" s="837"/>
      <c r="M10" s="623">
        <f>ROUNDDOWN(V10,1)</f>
        <v>3</v>
      </c>
      <c r="N10" s="624">
        <f t="shared" si="5"/>
        <v>0.15</v>
      </c>
      <c r="O10" s="623">
        <f>ROUNDDOWN(X10,1)</f>
        <v>3</v>
      </c>
      <c r="P10" s="625">
        <f t="shared" ref="P10:P41" si="6">Y10</f>
        <v>0.99999999999999989</v>
      </c>
      <c r="Q10" s="626">
        <f>ROUNDDOWN(Z10,1)</f>
        <v>3</v>
      </c>
      <c r="R10" s="546"/>
      <c r="S10" s="545"/>
      <c r="T10" s="545"/>
      <c r="V10" s="627">
        <f>V11*W11+V14*W14+V19*W19</f>
        <v>3.0000000000000004</v>
      </c>
      <c r="W10" s="628">
        <f>重み!D10</f>
        <v>0.15</v>
      </c>
      <c r="X10" s="627">
        <f>X11*Y11+X14*Y14+X19*Y19</f>
        <v>3</v>
      </c>
      <c r="Y10" s="629">
        <f>SUM(Y11,Y14,Y19)</f>
        <v>0.99999999999999989</v>
      </c>
      <c r="Z10" s="599">
        <f>IF(X10=0,V10,IF(V10=0,X10,V10*AB$6+X10*AD$6))</f>
        <v>3</v>
      </c>
      <c r="AA10" s="546"/>
      <c r="AB10" s="575">
        <f>重み!M10</f>
        <v>0.15</v>
      </c>
      <c r="AC10" s="281"/>
      <c r="AD10" s="630">
        <f>SUM(AD11,AD14,AD19)</f>
        <v>0.17241379310344832</v>
      </c>
      <c r="AF10" s="2358">
        <v>3</v>
      </c>
      <c r="AG10" s="2358"/>
      <c r="AH10" s="2358"/>
      <c r="AI10" s="2358"/>
      <c r="AJ10" s="2358"/>
      <c r="AK10" s="2358">
        <v>0</v>
      </c>
      <c r="AL10" s="2358"/>
      <c r="AM10" s="2358"/>
      <c r="AN10" s="2358"/>
      <c r="AO10" s="2359"/>
      <c r="AP10" s="2353">
        <f>ROUNDDOWN(AT10,1)</f>
        <v>3</v>
      </c>
      <c r="AQ10" s="2354">
        <f>N10</f>
        <v>0.15</v>
      </c>
      <c r="AR10" s="2339"/>
      <c r="AT10" s="2356">
        <f>IF(AV10=0,0,SUMPRODUCT($AW$7:$BF$7,AF10:AO10)/AV10)</f>
        <v>3</v>
      </c>
      <c r="AV10" s="2355">
        <f>SUMPRODUCT($AW$7:$BF$7,AW10:BF10)</f>
        <v>0.34482758620689657</v>
      </c>
      <c r="AW10" s="2341">
        <f t="shared" ref="AW10:BF10" si="7">IF(AF10&gt;0,1,0)</f>
        <v>1</v>
      </c>
      <c r="AX10" s="2341">
        <f t="shared" si="7"/>
        <v>0</v>
      </c>
      <c r="AY10" s="2341">
        <f t="shared" si="7"/>
        <v>0</v>
      </c>
      <c r="AZ10" s="2341">
        <f t="shared" si="7"/>
        <v>0</v>
      </c>
      <c r="BA10" s="2341">
        <f t="shared" si="7"/>
        <v>0</v>
      </c>
      <c r="BB10" s="2341">
        <f t="shared" si="7"/>
        <v>0</v>
      </c>
      <c r="BC10" s="2341">
        <f t="shared" si="7"/>
        <v>0</v>
      </c>
      <c r="BD10" s="2341">
        <f t="shared" si="7"/>
        <v>0</v>
      </c>
      <c r="BE10" s="2341">
        <f t="shared" si="7"/>
        <v>0</v>
      </c>
      <c r="BF10" s="2341">
        <f t="shared" si="7"/>
        <v>0</v>
      </c>
    </row>
    <row r="11" spans="2:58" ht="14.25" thickBot="1">
      <c r="B11" s="631"/>
      <c r="C11" s="632">
        <v>1.1000000000000001</v>
      </c>
      <c r="D11" s="633" t="s">
        <v>2140</v>
      </c>
      <c r="E11" s="634"/>
      <c r="F11" s="635"/>
      <c r="G11" s="636">
        <v>5</v>
      </c>
      <c r="H11" s="2680"/>
      <c r="I11" s="2681"/>
      <c r="J11" s="2681"/>
      <c r="K11" s="2681"/>
      <c r="L11" s="2682"/>
      <c r="M11" s="848">
        <f>ROUNDDOWN(V11,1)</f>
        <v>3</v>
      </c>
      <c r="N11" s="641">
        <f t="shared" si="5"/>
        <v>0.55172413793103448</v>
      </c>
      <c r="O11" s="848">
        <f>ROUNDDOWN(X11,1)</f>
        <v>3</v>
      </c>
      <c r="P11" s="641">
        <f t="shared" si="6"/>
        <v>0.39999999999999997</v>
      </c>
      <c r="Q11" s="642"/>
      <c r="R11" s="546"/>
      <c r="S11" s="643"/>
      <c r="T11" s="643"/>
      <c r="V11" s="627">
        <f>SUMPRODUCT(V12:V13,W12:W13)</f>
        <v>3</v>
      </c>
      <c r="W11" s="628">
        <f>重み!D11</f>
        <v>0.55172413793103448</v>
      </c>
      <c r="X11" s="627">
        <f>SUMPRODUCT(X12:X13,Y12:Y13)</f>
        <v>3</v>
      </c>
      <c r="Y11" s="628">
        <f>重み!E11</f>
        <v>0.39999999999999997</v>
      </c>
      <c r="Z11" s="599"/>
      <c r="AA11" s="546"/>
      <c r="AB11" s="575">
        <f>重み!M11</f>
        <v>0.55172413793103448</v>
      </c>
      <c r="AC11" s="281"/>
      <c r="AD11" s="575">
        <f>重み!N11</f>
        <v>6.8965517241379323E-2</v>
      </c>
    </row>
    <row r="12" spans="2:58" ht="14.25" hidden="1" thickBot="1">
      <c r="B12" s="631"/>
      <c r="C12" s="644"/>
      <c r="D12" s="645">
        <v>1</v>
      </c>
      <c r="E12" s="646" t="s">
        <v>2141</v>
      </c>
      <c r="F12" s="647"/>
      <c r="G12" s="636"/>
      <c r="H12" s="2680"/>
      <c r="I12" s="2681"/>
      <c r="J12" s="2681"/>
      <c r="K12" s="2681"/>
      <c r="L12" s="2682"/>
      <c r="M12" s="848">
        <f>ROUNDDOWN(S12,1)</f>
        <v>3</v>
      </c>
      <c r="N12" s="650">
        <f t="shared" si="5"/>
        <v>1</v>
      </c>
      <c r="O12" s="649">
        <f>ROUNDDOWN(T12,1)</f>
        <v>3</v>
      </c>
      <c r="P12" s="650">
        <f t="shared" si="6"/>
        <v>1</v>
      </c>
      <c r="Q12" s="626"/>
      <c r="R12" s="546"/>
      <c r="S12" s="651">
        <f>IF(採点Q1!F9="対象外",0,採点Q1!F9)</f>
        <v>3</v>
      </c>
      <c r="T12" s="652">
        <f>IF(採点Q1!L9="対象外",0,採点Q1!L9)</f>
        <v>3</v>
      </c>
      <c r="V12" s="653">
        <f>M12</f>
        <v>3</v>
      </c>
      <c r="W12" s="628">
        <f>重み!D12</f>
        <v>1</v>
      </c>
      <c r="X12" s="653">
        <f>O12</f>
        <v>3</v>
      </c>
      <c r="Y12" s="628">
        <f>重み!E12</f>
        <v>1</v>
      </c>
      <c r="Z12" s="599"/>
      <c r="AA12" s="546"/>
      <c r="AB12" s="575">
        <f>重み!M12</f>
        <v>0.7931034482758621</v>
      </c>
      <c r="AC12" s="281"/>
      <c r="AD12" s="575">
        <f>重み!N12</f>
        <v>0.17241379310344829</v>
      </c>
    </row>
    <row r="13" spans="2:58" ht="14.25" hidden="1" thickBot="1">
      <c r="B13" s="631"/>
      <c r="C13" s="654"/>
      <c r="D13" s="703">
        <v>2</v>
      </c>
      <c r="E13" s="704" t="s">
        <v>2142</v>
      </c>
      <c r="F13" s="705"/>
      <c r="G13" s="656"/>
      <c r="H13" s="2680"/>
      <c r="I13" s="2681"/>
      <c r="J13" s="2681"/>
      <c r="K13" s="2681"/>
      <c r="L13" s="2682"/>
      <c r="M13" s="657">
        <f>ROUNDDOWN(S13,1)</f>
        <v>0</v>
      </c>
      <c r="N13" s="650">
        <f t="shared" si="5"/>
        <v>0</v>
      </c>
      <c r="O13" s="657">
        <f>ROUNDDOWN(T13,1)</f>
        <v>0</v>
      </c>
      <c r="P13" s="650">
        <f t="shared" si="6"/>
        <v>0</v>
      </c>
      <c r="Q13" s="626"/>
      <c r="R13" s="546"/>
      <c r="S13" s="658">
        <f>IF(採点Q1!F34="対象外",0,採点Q1!F34)</f>
        <v>0</v>
      </c>
      <c r="T13" s="659">
        <f>採点Q1!K34</f>
        <v>0</v>
      </c>
      <c r="V13" s="653">
        <f>M13</f>
        <v>0</v>
      </c>
      <c r="W13" s="628">
        <f>重み!D13</f>
        <v>0</v>
      </c>
      <c r="X13" s="653">
        <f>O13</f>
        <v>0</v>
      </c>
      <c r="Y13" s="628">
        <f>重み!E13</f>
        <v>0</v>
      </c>
      <c r="Z13" s="599"/>
      <c r="AA13" s="546"/>
      <c r="AB13" s="575">
        <f>重み!M13</f>
        <v>0.20689655172413793</v>
      </c>
      <c r="AC13" s="281"/>
      <c r="AD13" s="575">
        <f>重み!N13</f>
        <v>0</v>
      </c>
    </row>
    <row r="14" spans="2:58" ht="14.25" thickBot="1">
      <c r="B14" s="631"/>
      <c r="C14" s="632">
        <v>1.2</v>
      </c>
      <c r="D14" s="634" t="s">
        <v>2143</v>
      </c>
      <c r="E14" s="62"/>
      <c r="F14" s="661"/>
      <c r="G14" s="636"/>
      <c r="H14" s="620"/>
      <c r="I14" s="621"/>
      <c r="J14" s="621"/>
      <c r="K14" s="621"/>
      <c r="L14" s="622"/>
      <c r="M14" s="640">
        <f>ROUNDDOWN(V14,1)</f>
        <v>3</v>
      </c>
      <c r="N14" s="650">
        <f t="shared" si="5"/>
        <v>0.24827586206896554</v>
      </c>
      <c r="O14" s="640">
        <f>ROUNDDOWN(X14,1)</f>
        <v>3</v>
      </c>
      <c r="P14" s="650">
        <f t="shared" si="6"/>
        <v>0.39999999999999997</v>
      </c>
      <c r="Q14" s="626"/>
      <c r="R14" s="546"/>
      <c r="S14" s="662"/>
      <c r="T14" s="662"/>
      <c r="V14" s="627">
        <f>SUMPRODUCT(V15:V18,W15:W18)</f>
        <v>3.0000000000000004</v>
      </c>
      <c r="W14" s="628">
        <f>重み!D14</f>
        <v>0.24827586206896554</v>
      </c>
      <c r="X14" s="627">
        <f>SUMPRODUCT(X15:X18,Y15:Y18)</f>
        <v>3</v>
      </c>
      <c r="Y14" s="628">
        <f>重み!E14</f>
        <v>0.39999999999999997</v>
      </c>
      <c r="Z14" s="599"/>
      <c r="AA14" s="546"/>
      <c r="AB14" s="575">
        <f>重み!M14</f>
        <v>0.24827586206896554</v>
      </c>
      <c r="AC14" s="281"/>
      <c r="AD14" s="575">
        <f>重み!N14</f>
        <v>6.8965517241379323E-2</v>
      </c>
    </row>
    <row r="15" spans="2:58">
      <c r="B15" s="631"/>
      <c r="C15" s="660"/>
      <c r="D15" s="703">
        <v>1</v>
      </c>
      <c r="E15" s="2435" t="s">
        <v>734</v>
      </c>
      <c r="F15" s="2436"/>
      <c r="G15" s="636"/>
      <c r="H15" s="2680"/>
      <c r="I15" s="2681"/>
      <c r="J15" s="2681"/>
      <c r="K15" s="2681"/>
      <c r="L15" s="2682"/>
      <c r="M15" s="649">
        <f>ROUNDDOWN(S15,1)</f>
        <v>0</v>
      </c>
      <c r="N15" s="650">
        <f t="shared" si="5"/>
        <v>0</v>
      </c>
      <c r="O15" s="649">
        <f>ROUNDDOWN(T15,1)</f>
        <v>0</v>
      </c>
      <c r="P15" s="650">
        <f t="shared" si="6"/>
        <v>0</v>
      </c>
      <c r="Q15" s="626"/>
      <c r="R15" s="546"/>
      <c r="S15" s="651">
        <f>IF(採点Q1!F69="対象外",0,採点Q1!F69)</f>
        <v>0</v>
      </c>
      <c r="T15" s="652">
        <f>採点Q1!K69</f>
        <v>0</v>
      </c>
      <c r="V15" s="653">
        <f>M15</f>
        <v>0</v>
      </c>
      <c r="W15" s="628">
        <f>重み!D15</f>
        <v>0</v>
      </c>
      <c r="X15" s="653">
        <f>O15</f>
        <v>0</v>
      </c>
      <c r="Y15" s="628">
        <f>重み!E15</f>
        <v>0</v>
      </c>
      <c r="Z15" s="599"/>
      <c r="AA15" s="546"/>
      <c r="AB15" s="575">
        <f>重み!M15</f>
        <v>0</v>
      </c>
      <c r="AC15" s="281"/>
      <c r="AD15" s="575">
        <f>重み!N15</f>
        <v>0</v>
      </c>
    </row>
    <row r="16" spans="2:58">
      <c r="B16" s="631"/>
      <c r="C16" s="644"/>
      <c r="D16" s="645">
        <v>2</v>
      </c>
      <c r="E16" s="655" t="s">
        <v>735</v>
      </c>
      <c r="F16" s="635"/>
      <c r="G16" s="636"/>
      <c r="H16" s="2680"/>
      <c r="I16" s="2681"/>
      <c r="J16" s="2681"/>
      <c r="K16" s="2681"/>
      <c r="L16" s="2682"/>
      <c r="M16" s="663">
        <f>ROUNDDOWN(S16,1)</f>
        <v>3</v>
      </c>
      <c r="N16" s="650">
        <f t="shared" si="5"/>
        <v>0.7333333333333335</v>
      </c>
      <c r="O16" s="663">
        <f>ROUNDDOWN(T16,1)</f>
        <v>3</v>
      </c>
      <c r="P16" s="650">
        <f t="shared" si="6"/>
        <v>0.4</v>
      </c>
      <c r="Q16" s="626"/>
      <c r="R16" s="546"/>
      <c r="S16" s="664">
        <f>IF(採点Q1!F85="対象外",0,採点Q1!F85)</f>
        <v>3</v>
      </c>
      <c r="T16" s="665">
        <f>採点Q1!K85</f>
        <v>3</v>
      </c>
      <c r="V16" s="653">
        <f>M16</f>
        <v>3</v>
      </c>
      <c r="W16" s="628">
        <f>重み!D16</f>
        <v>0.7333333333333335</v>
      </c>
      <c r="X16" s="653">
        <f>O16</f>
        <v>3</v>
      </c>
      <c r="Y16" s="628">
        <f>重み!E16</f>
        <v>0.4</v>
      </c>
      <c r="Z16" s="599"/>
      <c r="AA16" s="546"/>
      <c r="AB16" s="575">
        <f>重み!M16</f>
        <v>0.45517241379310347</v>
      </c>
      <c r="AC16" s="281"/>
      <c r="AD16" s="575">
        <f>重み!N16</f>
        <v>6.8965517241379323E-2</v>
      </c>
    </row>
    <row r="17" spans="2:58">
      <c r="B17" s="631"/>
      <c r="C17" s="644"/>
      <c r="D17" s="645">
        <v>3</v>
      </c>
      <c r="E17" s="655" t="s">
        <v>736</v>
      </c>
      <c r="F17" s="635"/>
      <c r="G17" s="636"/>
      <c r="H17" s="2680"/>
      <c r="I17" s="2681"/>
      <c r="J17" s="2681"/>
      <c r="K17" s="2681"/>
      <c r="L17" s="2682"/>
      <c r="M17" s="663">
        <f>ROUNDDOWN(S17,1)</f>
        <v>3</v>
      </c>
      <c r="N17" s="650">
        <f t="shared" si="5"/>
        <v>0.13333333333333336</v>
      </c>
      <c r="O17" s="663">
        <f>ROUNDDOWN(T17,1)</f>
        <v>3</v>
      </c>
      <c r="P17" s="650">
        <f t="shared" si="6"/>
        <v>0.3</v>
      </c>
      <c r="Q17" s="626"/>
      <c r="R17" s="546"/>
      <c r="S17" s="664">
        <f>IF(採点Q1!F101="対象外",0,採点Q1!F101)</f>
        <v>3</v>
      </c>
      <c r="T17" s="665">
        <f>採点Q1!K101</f>
        <v>3</v>
      </c>
      <c r="V17" s="653">
        <f>M17</f>
        <v>3</v>
      </c>
      <c r="W17" s="628">
        <f>重み!D17</f>
        <v>0.13333333333333336</v>
      </c>
      <c r="X17" s="653">
        <f>O17</f>
        <v>3</v>
      </c>
      <c r="Y17" s="628">
        <f>重み!E17</f>
        <v>0.3</v>
      </c>
      <c r="Z17" s="599"/>
      <c r="AA17" s="546"/>
      <c r="AB17" s="575">
        <f>重み!M17</f>
        <v>8.2758620689655171E-2</v>
      </c>
      <c r="AC17" s="281"/>
      <c r="AD17" s="575">
        <f>重み!N17</f>
        <v>5.1724137931034482E-2</v>
      </c>
    </row>
    <row r="18" spans="2:58">
      <c r="B18" s="631"/>
      <c r="C18" s="654"/>
      <c r="D18" s="645">
        <v>4</v>
      </c>
      <c r="E18" s="655" t="s">
        <v>737</v>
      </c>
      <c r="F18" s="635"/>
      <c r="G18" s="636"/>
      <c r="H18" s="2680"/>
      <c r="I18" s="2681"/>
      <c r="J18" s="2681"/>
      <c r="K18" s="2681"/>
      <c r="L18" s="2682"/>
      <c r="M18" s="663">
        <f>ROUNDDOWN(S18,1)</f>
        <v>3</v>
      </c>
      <c r="N18" s="650">
        <f t="shared" si="5"/>
        <v>0.13333333333333336</v>
      </c>
      <c r="O18" s="663">
        <f>ROUNDDOWN(T18,1)</f>
        <v>3</v>
      </c>
      <c r="P18" s="650">
        <f t="shared" si="6"/>
        <v>0.3</v>
      </c>
      <c r="Q18" s="626"/>
      <c r="R18" s="546"/>
      <c r="S18" s="664">
        <f>IF(採点Q1!F117="対象外",0,採点Q1!F117)</f>
        <v>3</v>
      </c>
      <c r="T18" s="665">
        <f>採点Q1!K117</f>
        <v>3</v>
      </c>
      <c r="V18" s="653">
        <f>M18</f>
        <v>3</v>
      </c>
      <c r="W18" s="628">
        <f>重み!D18</f>
        <v>0.13333333333333336</v>
      </c>
      <c r="X18" s="653">
        <f>O18</f>
        <v>3</v>
      </c>
      <c r="Y18" s="628">
        <f>重み!E18</f>
        <v>0.3</v>
      </c>
      <c r="Z18" s="599"/>
      <c r="AA18" s="546"/>
      <c r="AB18" s="575">
        <f>重み!M18</f>
        <v>8.2758620689655171E-2</v>
      </c>
      <c r="AC18" s="281"/>
      <c r="AD18" s="575">
        <f>重み!N18</f>
        <v>5.1724137931034482E-2</v>
      </c>
    </row>
    <row r="19" spans="2:58" ht="14.25" thickBot="1">
      <c r="B19" s="666"/>
      <c r="C19" s="667">
        <v>1.3</v>
      </c>
      <c r="D19" s="634" t="s">
        <v>738</v>
      </c>
      <c r="E19" s="634"/>
      <c r="F19" s="635"/>
      <c r="G19" s="636"/>
      <c r="H19" s="2680"/>
      <c r="I19" s="2681"/>
      <c r="J19" s="2681"/>
      <c r="K19" s="2681"/>
      <c r="L19" s="2682"/>
      <c r="M19" s="668">
        <f>ROUNDDOWN(S19,1)</f>
        <v>3</v>
      </c>
      <c r="N19" s="650">
        <f t="shared" si="5"/>
        <v>0.2</v>
      </c>
      <c r="O19" s="668">
        <f>ROUNDDOWN(T19,1)</f>
        <v>3</v>
      </c>
      <c r="P19" s="650">
        <f t="shared" si="6"/>
        <v>0.19999999999999998</v>
      </c>
      <c r="Q19" s="626"/>
      <c r="R19" s="546"/>
      <c r="S19" s="658">
        <f>IF(採点Q1!F133="対象外",0,採点Q1!F133)</f>
        <v>3</v>
      </c>
      <c r="T19" s="659">
        <f>採点Q1!K133</f>
        <v>3</v>
      </c>
      <c r="V19" s="653">
        <f>M19</f>
        <v>3</v>
      </c>
      <c r="W19" s="628">
        <f>重み!D19</f>
        <v>0.2</v>
      </c>
      <c r="X19" s="653">
        <f>O19</f>
        <v>3</v>
      </c>
      <c r="Y19" s="628">
        <f>重み!E19</f>
        <v>0.19999999999999998</v>
      </c>
      <c r="Z19" s="599"/>
      <c r="AA19" s="546"/>
      <c r="AB19" s="575">
        <f>重み!M19</f>
        <v>0.2</v>
      </c>
      <c r="AC19" s="281"/>
      <c r="AD19" s="575">
        <f>重み!N19</f>
        <v>3.4482758620689662E-2</v>
      </c>
    </row>
    <row r="20" spans="2:58">
      <c r="B20" s="747">
        <v>2</v>
      </c>
      <c r="C20" s="669" t="s">
        <v>739</v>
      </c>
      <c r="D20" s="769"/>
      <c r="E20" s="680"/>
      <c r="F20" s="681"/>
      <c r="G20" s="636"/>
      <c r="H20" s="671"/>
      <c r="I20" s="672"/>
      <c r="J20" s="672"/>
      <c r="K20" s="672"/>
      <c r="L20" s="673"/>
      <c r="M20" s="674">
        <f>ROUNDDOWN(V20,1)</f>
        <v>3</v>
      </c>
      <c r="N20" s="675">
        <f t="shared" si="5"/>
        <v>0.35</v>
      </c>
      <c r="O20" s="623">
        <f>ROUNDDOWN(X20,1)</f>
        <v>3</v>
      </c>
      <c r="P20" s="676">
        <f t="shared" si="6"/>
        <v>1</v>
      </c>
      <c r="Q20" s="677">
        <f>ROUNDDOWN(Z20,1)</f>
        <v>3</v>
      </c>
      <c r="R20" s="546"/>
      <c r="S20" s="678"/>
      <c r="T20" s="678"/>
      <c r="V20" s="627">
        <f>V21*W21+V30*W30+V31*W31</f>
        <v>3</v>
      </c>
      <c r="W20" s="628">
        <f>重み!D20</f>
        <v>0.35</v>
      </c>
      <c r="X20" s="627">
        <f>X21*Y21+X30*Y30+X31*Y31</f>
        <v>3</v>
      </c>
      <c r="Y20" s="629">
        <f>SUM(Y21,Y30,Y31)</f>
        <v>1</v>
      </c>
      <c r="Z20" s="599">
        <f>IF(X20=0,V20,IF(V20=0,X20,V20*AB$6+X20*AD$6))</f>
        <v>3</v>
      </c>
      <c r="AA20" s="546"/>
      <c r="AB20" s="575">
        <f>重み!M20</f>
        <v>0.35</v>
      </c>
      <c r="AC20" s="281"/>
      <c r="AD20" s="630">
        <f>SUM(AD21,AD30,AD31)</f>
        <v>0.17241379310344829</v>
      </c>
      <c r="AF20" s="2360">
        <v>3</v>
      </c>
      <c r="AG20" s="2360"/>
      <c r="AH20" s="2360"/>
      <c r="AI20" s="2360"/>
      <c r="AJ20" s="2360"/>
      <c r="AK20" s="2360">
        <v>0</v>
      </c>
      <c r="AL20" s="2360"/>
      <c r="AM20" s="2360"/>
      <c r="AN20" s="2360"/>
      <c r="AO20" s="2360"/>
      <c r="AP20" s="2357">
        <f t="shared" ref="AP20:AP47" si="8">ROUNDDOWN(AT20,1)</f>
        <v>3</v>
      </c>
      <c r="AQ20" s="857">
        <f>N20</f>
        <v>0.35</v>
      </c>
      <c r="AR20" s="677"/>
      <c r="AT20" s="2356">
        <f>IF(AV20=0,0,SUMPRODUCT($AW$7:$BF$7,AF20:AO20)/AV20)</f>
        <v>3</v>
      </c>
      <c r="AV20" s="2355">
        <f>SUMPRODUCT($AW$7:$BF$7,AW20:BF20)</f>
        <v>0.34482758620689657</v>
      </c>
      <c r="AW20" s="2341">
        <f t="shared" ref="AW20:BF20" si="9">IF(AF20&gt;0,1,0)</f>
        <v>1</v>
      </c>
      <c r="AX20" s="2341">
        <f t="shared" si="9"/>
        <v>0</v>
      </c>
      <c r="AY20" s="2341">
        <f t="shared" si="9"/>
        <v>0</v>
      </c>
      <c r="AZ20" s="2341">
        <f t="shared" si="9"/>
        <v>0</v>
      </c>
      <c r="BA20" s="2341">
        <f t="shared" si="9"/>
        <v>0</v>
      </c>
      <c r="BB20" s="2341">
        <f t="shared" si="9"/>
        <v>0</v>
      </c>
      <c r="BC20" s="2341">
        <f t="shared" si="9"/>
        <v>0</v>
      </c>
      <c r="BD20" s="2341">
        <f t="shared" si="9"/>
        <v>0</v>
      </c>
      <c r="BE20" s="2341">
        <f t="shared" si="9"/>
        <v>0</v>
      </c>
      <c r="BF20" s="2341">
        <f t="shared" si="9"/>
        <v>0</v>
      </c>
    </row>
    <row r="21" spans="2:58" ht="14.25" thickBot="1">
      <c r="B21" s="631"/>
      <c r="C21" s="632">
        <v>2.1</v>
      </c>
      <c r="D21" s="679" t="s">
        <v>740</v>
      </c>
      <c r="E21" s="680"/>
      <c r="F21" s="681"/>
      <c r="G21" s="636">
        <v>5</v>
      </c>
      <c r="H21" s="637"/>
      <c r="I21" s="638"/>
      <c r="J21" s="638"/>
      <c r="K21" s="638"/>
      <c r="L21" s="639"/>
      <c r="M21" s="640">
        <f>ROUNDDOWN(V21,1)</f>
        <v>3</v>
      </c>
      <c r="N21" s="682">
        <f t="shared" si="5"/>
        <v>0.5</v>
      </c>
      <c r="O21" s="683">
        <f>ROUNDDOWN(X21,1)</f>
        <v>3</v>
      </c>
      <c r="P21" s="684">
        <f t="shared" si="6"/>
        <v>1</v>
      </c>
      <c r="Q21" s="642"/>
      <c r="R21" s="546"/>
      <c r="S21" s="643"/>
      <c r="T21" s="643"/>
      <c r="V21" s="627">
        <f>SUMPRODUCT(V22:V29,W22:W29)</f>
        <v>3</v>
      </c>
      <c r="W21" s="628">
        <f>重み!D21</f>
        <v>0.5</v>
      </c>
      <c r="X21" s="627">
        <f>SUMPRODUCT(X22:X29,Y22:Y29)</f>
        <v>3</v>
      </c>
      <c r="Y21" s="628">
        <f>重み!E21</f>
        <v>1</v>
      </c>
      <c r="Z21" s="599"/>
      <c r="AA21" s="546"/>
      <c r="AB21" s="575">
        <f>重み!M21</f>
        <v>0.5</v>
      </c>
      <c r="AC21" s="281"/>
      <c r="AD21" s="575">
        <f>重み!N21</f>
        <v>0.17241379310344829</v>
      </c>
      <c r="AP21" s="2386">
        <f t="shared" si="8"/>
        <v>0</v>
      </c>
    </row>
    <row r="22" spans="2:58">
      <c r="B22" s="631"/>
      <c r="C22" s="685"/>
      <c r="D22" s="645">
        <v>1</v>
      </c>
      <c r="E22" s="634" t="s">
        <v>909</v>
      </c>
      <c r="F22" s="686"/>
      <c r="G22" s="636"/>
      <c r="H22" s="2680"/>
      <c r="I22" s="2681"/>
      <c r="J22" s="2681"/>
      <c r="K22" s="2681"/>
      <c r="L22" s="2682"/>
      <c r="M22" s="649">
        <f t="shared" ref="M22:M33" si="10">ROUNDDOWN(S22,1)</f>
        <v>3</v>
      </c>
      <c r="N22" s="650">
        <f t="shared" si="5"/>
        <v>0.46634615384615385</v>
      </c>
      <c r="O22" s="649">
        <f t="shared" ref="O22:O30" si="11">ROUNDDOWN(T22,1)</f>
        <v>0</v>
      </c>
      <c r="P22" s="650">
        <f t="shared" si="6"/>
        <v>0</v>
      </c>
      <c r="Q22" s="626"/>
      <c r="R22" s="546"/>
      <c r="S22" s="651">
        <f>IF(採点Q1!F144="対象外",0,採点Q1!F144)</f>
        <v>3</v>
      </c>
      <c r="T22" s="652">
        <f>採点Q1!M144</f>
        <v>0</v>
      </c>
      <c r="V22" s="653">
        <f>M22</f>
        <v>3</v>
      </c>
      <c r="W22" s="628">
        <f>重み!D22</f>
        <v>0.46634615384615385</v>
      </c>
      <c r="X22" s="653">
        <f>O22</f>
        <v>0</v>
      </c>
      <c r="Y22" s="628">
        <f>重み!E22</f>
        <v>0</v>
      </c>
      <c r="Z22" s="599"/>
      <c r="AA22" s="546"/>
      <c r="AB22" s="575">
        <f>重み!M22</f>
        <v>0.33448275862068966</v>
      </c>
      <c r="AC22" s="281"/>
      <c r="AD22" s="575">
        <f>重み!N22</f>
        <v>0</v>
      </c>
      <c r="AP22" s="2386">
        <f t="shared" si="8"/>
        <v>0</v>
      </c>
    </row>
    <row r="23" spans="2:58" hidden="1">
      <c r="B23" s="631"/>
      <c r="C23" s="685"/>
      <c r="D23" s="703">
        <v>2</v>
      </c>
      <c r="E23" s="704" t="s">
        <v>2899</v>
      </c>
      <c r="F23" s="705"/>
      <c r="G23" s="636"/>
      <c r="H23" s="2680"/>
      <c r="I23" s="2681"/>
      <c r="J23" s="2681"/>
      <c r="K23" s="2681"/>
      <c r="L23" s="2682"/>
      <c r="M23" s="663">
        <f t="shared" si="10"/>
        <v>0</v>
      </c>
      <c r="N23" s="650">
        <f t="shared" si="5"/>
        <v>0</v>
      </c>
      <c r="O23" s="663">
        <f t="shared" si="11"/>
        <v>0</v>
      </c>
      <c r="P23" s="650">
        <f t="shared" si="6"/>
        <v>0</v>
      </c>
      <c r="Q23" s="626"/>
      <c r="R23" s="546"/>
      <c r="S23" s="664">
        <f>IF(採点Q1!F160="対象外",0,採点Q1!F160)</f>
        <v>0</v>
      </c>
      <c r="T23" s="665"/>
      <c r="V23" s="653">
        <f>M23</f>
        <v>0</v>
      </c>
      <c r="W23" s="628">
        <f>重み!D23</f>
        <v>0</v>
      </c>
      <c r="X23" s="687"/>
      <c r="Y23" s="628">
        <f>重み!E23</f>
        <v>0</v>
      </c>
      <c r="Z23" s="599"/>
      <c r="AA23" s="546"/>
      <c r="AB23" s="575">
        <f>重み!M23</f>
        <v>0.11724137931034483</v>
      </c>
      <c r="AC23" s="281"/>
      <c r="AD23" s="575">
        <f>重み!N23</f>
        <v>0</v>
      </c>
      <c r="AP23" s="2386">
        <f t="shared" si="8"/>
        <v>0</v>
      </c>
    </row>
    <row r="24" spans="2:58">
      <c r="B24" s="631"/>
      <c r="C24" s="685"/>
      <c r="D24" s="645">
        <v>2</v>
      </c>
      <c r="E24" s="634" t="s">
        <v>741</v>
      </c>
      <c r="F24" s="686"/>
      <c r="G24" s="636"/>
      <c r="H24" s="2680"/>
      <c r="I24" s="2681"/>
      <c r="J24" s="2681"/>
      <c r="K24" s="2681"/>
      <c r="L24" s="2682"/>
      <c r="M24" s="663">
        <f t="shared" si="10"/>
        <v>3</v>
      </c>
      <c r="N24" s="650">
        <f t="shared" si="5"/>
        <v>0.30288461538461542</v>
      </c>
      <c r="O24" s="663">
        <f t="shared" si="11"/>
        <v>3</v>
      </c>
      <c r="P24" s="650">
        <f t="shared" si="6"/>
        <v>1</v>
      </c>
      <c r="Q24" s="626"/>
      <c r="R24" s="546"/>
      <c r="S24" s="664">
        <f>IF(採点Q1!F169="対象外",0,採点Q1!F169)</f>
        <v>3</v>
      </c>
      <c r="T24" s="665">
        <f>採点Q1!K169</f>
        <v>3</v>
      </c>
      <c r="V24" s="653">
        <f>M24</f>
        <v>3</v>
      </c>
      <c r="W24" s="628">
        <f>重み!D24</f>
        <v>0.30288461538461542</v>
      </c>
      <c r="X24" s="653">
        <f>O24</f>
        <v>3</v>
      </c>
      <c r="Y24" s="628">
        <f>重み!E24</f>
        <v>1</v>
      </c>
      <c r="Z24" s="599"/>
      <c r="AA24" s="546"/>
      <c r="AB24" s="575">
        <f>重み!M24</f>
        <v>0.21724137931034485</v>
      </c>
      <c r="AC24" s="281"/>
      <c r="AD24" s="575">
        <f>重み!N24</f>
        <v>0.10344827586206896</v>
      </c>
      <c r="AP24" s="2386">
        <f t="shared" si="8"/>
        <v>0</v>
      </c>
    </row>
    <row r="25" spans="2:58">
      <c r="B25" s="631"/>
      <c r="C25" s="685"/>
      <c r="D25" s="645">
        <v>3</v>
      </c>
      <c r="E25" s="634" t="s">
        <v>742</v>
      </c>
      <c r="F25" s="686"/>
      <c r="G25" s="636"/>
      <c r="H25" s="2680"/>
      <c r="I25" s="2681"/>
      <c r="J25" s="2681"/>
      <c r="K25" s="2681"/>
      <c r="L25" s="2682"/>
      <c r="M25" s="663">
        <f t="shared" si="10"/>
        <v>3</v>
      </c>
      <c r="N25" s="650">
        <f t="shared" si="5"/>
        <v>0.23076923076923078</v>
      </c>
      <c r="O25" s="663">
        <f t="shared" si="11"/>
        <v>0</v>
      </c>
      <c r="P25" s="650">
        <f t="shared" si="6"/>
        <v>0</v>
      </c>
      <c r="Q25" s="626"/>
      <c r="R25" s="546"/>
      <c r="S25" s="664">
        <f>IF(採点Q1!F185="対象外",0,採点Q1!F185)</f>
        <v>3</v>
      </c>
      <c r="T25" s="665"/>
      <c r="V25" s="653">
        <f>M25</f>
        <v>3</v>
      </c>
      <c r="W25" s="628">
        <f>重み!D25</f>
        <v>0.23076923076923078</v>
      </c>
      <c r="X25" s="687"/>
      <c r="Y25" s="628">
        <f>重み!E25</f>
        <v>0</v>
      </c>
      <c r="Z25" s="599"/>
      <c r="AA25" s="546"/>
      <c r="AB25" s="575">
        <f>重み!M25</f>
        <v>0.16551724137931034</v>
      </c>
      <c r="AC25" s="281"/>
      <c r="AD25" s="575">
        <f>重み!N25</f>
        <v>0</v>
      </c>
      <c r="AP25" s="2386">
        <f t="shared" si="8"/>
        <v>0</v>
      </c>
    </row>
    <row r="26" spans="2:58" hidden="1">
      <c r="B26" s="631"/>
      <c r="C26" s="685"/>
      <c r="D26" s="703">
        <v>5</v>
      </c>
      <c r="E26" s="704" t="s">
        <v>1918</v>
      </c>
      <c r="F26" s="705"/>
      <c r="G26" s="636"/>
      <c r="H26" s="2680"/>
      <c r="I26" s="2681"/>
      <c r="J26" s="2681"/>
      <c r="K26" s="2681"/>
      <c r="L26" s="2682"/>
      <c r="M26" s="663">
        <f t="shared" si="10"/>
        <v>0</v>
      </c>
      <c r="N26" s="650">
        <f t="shared" si="5"/>
        <v>0</v>
      </c>
      <c r="O26" s="663">
        <f t="shared" si="11"/>
        <v>0</v>
      </c>
      <c r="P26" s="650">
        <f t="shared" si="6"/>
        <v>0</v>
      </c>
      <c r="Q26" s="626"/>
      <c r="R26" s="546"/>
      <c r="S26" s="664">
        <f>IF(採点Q1!F194="対象外",0,採点Q1!F194)</f>
        <v>0</v>
      </c>
      <c r="T26" s="665">
        <f>採点Q1!K194</f>
        <v>0</v>
      </c>
      <c r="V26" s="653">
        <f>M26</f>
        <v>0</v>
      </c>
      <c r="W26" s="628">
        <f>重み!D26</f>
        <v>0</v>
      </c>
      <c r="X26" s="653">
        <f>O26</f>
        <v>0</v>
      </c>
      <c r="Y26" s="628">
        <f>重み!E26</f>
        <v>0</v>
      </c>
      <c r="Z26" s="599"/>
      <c r="AA26" s="546"/>
      <c r="AB26" s="575">
        <f>重み!M26</f>
        <v>0.11724137931034484</v>
      </c>
      <c r="AC26" s="281"/>
      <c r="AD26" s="575">
        <f>重み!N26</f>
        <v>0</v>
      </c>
      <c r="AP26" s="2386">
        <f t="shared" si="8"/>
        <v>0</v>
      </c>
    </row>
    <row r="27" spans="2:58" hidden="1">
      <c r="B27" s="631"/>
      <c r="C27" s="685"/>
      <c r="D27" s="703">
        <v>6</v>
      </c>
      <c r="E27" s="704" t="s">
        <v>743</v>
      </c>
      <c r="F27" s="705"/>
      <c r="G27" s="636"/>
      <c r="H27" s="2680"/>
      <c r="I27" s="2681"/>
      <c r="J27" s="2681"/>
      <c r="K27" s="2681"/>
      <c r="L27" s="2682"/>
      <c r="M27" s="663">
        <f t="shared" si="10"/>
        <v>0</v>
      </c>
      <c r="N27" s="650">
        <f t="shared" si="5"/>
        <v>0</v>
      </c>
      <c r="O27" s="663">
        <f t="shared" si="11"/>
        <v>0</v>
      </c>
      <c r="P27" s="650">
        <f t="shared" si="6"/>
        <v>0</v>
      </c>
      <c r="Q27" s="626"/>
      <c r="R27" s="546"/>
      <c r="S27" s="664"/>
      <c r="T27" s="665">
        <f>採点Q1!F203</f>
        <v>0</v>
      </c>
      <c r="V27" s="653"/>
      <c r="W27" s="628">
        <f>重み!D27</f>
        <v>0</v>
      </c>
      <c r="X27" s="653">
        <f>O27</f>
        <v>0</v>
      </c>
      <c r="Y27" s="628">
        <f>重み!E27</f>
        <v>0</v>
      </c>
      <c r="Z27" s="599"/>
      <c r="AA27" s="546"/>
      <c r="AB27" s="575">
        <f>重み!M27</f>
        <v>0</v>
      </c>
      <c r="AC27" s="281"/>
      <c r="AD27" s="575">
        <f>重み!N27</f>
        <v>6.8965517241379323E-2</v>
      </c>
      <c r="AP27" s="2386">
        <f t="shared" si="8"/>
        <v>0</v>
      </c>
    </row>
    <row r="28" spans="2:58" hidden="1">
      <c r="B28" s="631"/>
      <c r="C28" s="685"/>
      <c r="D28" s="703">
        <v>7</v>
      </c>
      <c r="E28" s="704" t="s">
        <v>263</v>
      </c>
      <c r="F28" s="705"/>
      <c r="G28" s="636"/>
      <c r="H28" s="2680"/>
      <c r="I28" s="2681"/>
      <c r="J28" s="2681"/>
      <c r="K28" s="2681"/>
      <c r="L28" s="2682"/>
      <c r="M28" s="663">
        <f t="shared" si="10"/>
        <v>0</v>
      </c>
      <c r="N28" s="650">
        <f t="shared" si="5"/>
        <v>0</v>
      </c>
      <c r="O28" s="663">
        <f t="shared" si="11"/>
        <v>0</v>
      </c>
      <c r="P28" s="650">
        <f t="shared" si="6"/>
        <v>0</v>
      </c>
      <c r="Q28" s="626"/>
      <c r="R28" s="546"/>
      <c r="S28" s="664">
        <f>IF(採点Q1!F212="対象外",0,採点Q1!F212)</f>
        <v>0</v>
      </c>
      <c r="T28" s="665"/>
      <c r="V28" s="653">
        <f>M28</f>
        <v>0</v>
      </c>
      <c r="W28" s="628">
        <f>重み!D28</f>
        <v>0</v>
      </c>
      <c r="X28" s="687"/>
      <c r="Y28" s="628">
        <f>重み!E28</f>
        <v>0</v>
      </c>
      <c r="Z28" s="599"/>
      <c r="AA28" s="546"/>
      <c r="AB28" s="575">
        <f>重み!M28</f>
        <v>8.9655172413793116E-2</v>
      </c>
      <c r="AC28" s="281"/>
      <c r="AD28" s="575">
        <f>重み!N28</f>
        <v>0</v>
      </c>
      <c r="AP28" s="2386">
        <f t="shared" si="8"/>
        <v>0</v>
      </c>
    </row>
    <row r="29" spans="2:58" hidden="1">
      <c r="B29" s="631"/>
      <c r="C29" s="685"/>
      <c r="D29" s="703">
        <v>8</v>
      </c>
      <c r="E29" s="704" t="s">
        <v>264</v>
      </c>
      <c r="F29" s="705"/>
      <c r="G29" s="636"/>
      <c r="H29" s="2680"/>
      <c r="I29" s="2681"/>
      <c r="J29" s="2681"/>
      <c r="K29" s="2681"/>
      <c r="L29" s="2682"/>
      <c r="M29" s="663">
        <f t="shared" si="10"/>
        <v>0</v>
      </c>
      <c r="N29" s="650">
        <f t="shared" si="5"/>
        <v>0</v>
      </c>
      <c r="O29" s="663">
        <f t="shared" si="11"/>
        <v>0</v>
      </c>
      <c r="P29" s="650">
        <f t="shared" si="6"/>
        <v>0</v>
      </c>
      <c r="Q29" s="626"/>
      <c r="R29" s="546"/>
      <c r="S29" s="664">
        <f>IF(採点Q1!K212="対象外",0,採点Q1!K212)</f>
        <v>0</v>
      </c>
      <c r="T29" s="665"/>
      <c r="V29" s="653">
        <f>M29</f>
        <v>0</v>
      </c>
      <c r="W29" s="628">
        <f>重み!D29</f>
        <v>0</v>
      </c>
      <c r="X29" s="687"/>
      <c r="Y29" s="628">
        <f>重み!E29</f>
        <v>0</v>
      </c>
      <c r="Z29" s="599"/>
      <c r="AA29" s="546"/>
      <c r="AB29" s="575">
        <f>重み!M29</f>
        <v>0</v>
      </c>
      <c r="AC29" s="281"/>
      <c r="AD29" s="575">
        <f>重み!N29</f>
        <v>0</v>
      </c>
      <c r="AP29" s="2386">
        <f t="shared" si="8"/>
        <v>0</v>
      </c>
    </row>
    <row r="30" spans="2:58" ht="14.25" thickBot="1">
      <c r="B30" s="631"/>
      <c r="C30" s="667">
        <v>2.2000000000000002</v>
      </c>
      <c r="D30" s="634" t="s">
        <v>265</v>
      </c>
      <c r="E30" s="688"/>
      <c r="F30" s="686"/>
      <c r="G30" s="636">
        <v>5</v>
      </c>
      <c r="H30" s="2680"/>
      <c r="I30" s="2681"/>
      <c r="J30" s="2681"/>
      <c r="K30" s="2681"/>
      <c r="L30" s="2682"/>
      <c r="M30" s="668">
        <f t="shared" si="10"/>
        <v>3</v>
      </c>
      <c r="N30" s="650">
        <f t="shared" si="5"/>
        <v>0.2</v>
      </c>
      <c r="O30" s="668">
        <f t="shared" si="11"/>
        <v>0</v>
      </c>
      <c r="P30" s="650">
        <f t="shared" si="6"/>
        <v>0</v>
      </c>
      <c r="Q30" s="626"/>
      <c r="R30" s="546"/>
      <c r="S30" s="664">
        <f>IF(採点Q1!F221="対象外",0,採点Q1!F221)</f>
        <v>3</v>
      </c>
      <c r="T30" s="665">
        <f>採点Q1!K221</f>
        <v>0</v>
      </c>
      <c r="V30" s="653">
        <f>M30</f>
        <v>3</v>
      </c>
      <c r="W30" s="628">
        <f>重み!D30</f>
        <v>0.2</v>
      </c>
      <c r="X30" s="653">
        <f>O30</f>
        <v>0</v>
      </c>
      <c r="Y30" s="628">
        <f>重み!E30</f>
        <v>0</v>
      </c>
      <c r="Z30" s="599"/>
      <c r="AA30" s="546"/>
      <c r="AB30" s="575">
        <f>重み!M30</f>
        <v>0.2</v>
      </c>
      <c r="AC30" s="281"/>
      <c r="AD30" s="575">
        <f>重み!N30</f>
        <v>0</v>
      </c>
      <c r="AP30" s="2386">
        <f t="shared" si="8"/>
        <v>0</v>
      </c>
    </row>
    <row r="31" spans="2:58" ht="14.25" thickBot="1">
      <c r="B31" s="631"/>
      <c r="C31" s="660">
        <v>2.2999999999999998</v>
      </c>
      <c r="D31" s="634" t="s">
        <v>266</v>
      </c>
      <c r="E31" s="688"/>
      <c r="F31" s="686"/>
      <c r="G31" s="636">
        <v>5</v>
      </c>
      <c r="H31" s="620"/>
      <c r="I31" s="621"/>
      <c r="J31" s="621"/>
      <c r="K31" s="621"/>
      <c r="L31" s="622"/>
      <c r="M31" s="866">
        <f>ROUNDDOWN(V31,1)</f>
        <v>3</v>
      </c>
      <c r="N31" s="624">
        <f t="shared" si="5"/>
        <v>0.3</v>
      </c>
      <c r="O31" s="702">
        <f t="shared" ref="O31:O33" si="12">ROUNDDOWN(X31,1)</f>
        <v>0</v>
      </c>
      <c r="P31" s="625">
        <f t="shared" si="6"/>
        <v>0</v>
      </c>
      <c r="Q31" s="626"/>
      <c r="R31" s="546"/>
      <c r="S31" s="664">
        <f>IF(採点Q1!F238="対象外",0,採点Q1!F238)</f>
        <v>0</v>
      </c>
      <c r="T31" s="665">
        <f>採点Q1!K238</f>
        <v>0</v>
      </c>
      <c r="V31" s="627">
        <f>SUMPRODUCT(V32:V33,W32:W33)</f>
        <v>3</v>
      </c>
      <c r="W31" s="628">
        <f>重み!D31</f>
        <v>0.3</v>
      </c>
      <c r="X31" s="627">
        <f>SUMPRODUCT(X32:X33,Y32:Y33)</f>
        <v>0</v>
      </c>
      <c r="Y31" s="628">
        <f>重み!E31</f>
        <v>0</v>
      </c>
      <c r="Z31" s="599"/>
      <c r="AA31" s="546"/>
      <c r="AB31" s="575">
        <f>重み!M31</f>
        <v>0.3</v>
      </c>
      <c r="AC31" s="281"/>
      <c r="AD31" s="575">
        <f>重み!N31</f>
        <v>0</v>
      </c>
      <c r="AP31" s="2386">
        <f t="shared" si="8"/>
        <v>0</v>
      </c>
    </row>
    <row r="32" spans="2:58">
      <c r="B32" s="631"/>
      <c r="C32" s="690"/>
      <c r="D32" s="645">
        <v>1</v>
      </c>
      <c r="E32" s="634" t="s">
        <v>267</v>
      </c>
      <c r="F32" s="686"/>
      <c r="G32" s="691"/>
      <c r="H32" s="2680"/>
      <c r="I32" s="2681"/>
      <c r="J32" s="2681"/>
      <c r="K32" s="2681"/>
      <c r="L32" s="2682"/>
      <c r="M32" s="649">
        <f t="shared" si="10"/>
        <v>3</v>
      </c>
      <c r="N32" s="624">
        <f t="shared" si="5"/>
        <v>0.5</v>
      </c>
      <c r="O32" s="702">
        <f t="shared" si="12"/>
        <v>0</v>
      </c>
      <c r="P32" s="625">
        <f t="shared" si="6"/>
        <v>0</v>
      </c>
      <c r="Q32" s="692"/>
      <c r="R32" s="693"/>
      <c r="S32" s="664">
        <f>採点Q1!F255</f>
        <v>3</v>
      </c>
      <c r="T32" s="665"/>
      <c r="V32" s="653">
        <f>M32</f>
        <v>3</v>
      </c>
      <c r="W32" s="628">
        <f>重み!D32</f>
        <v>0.5</v>
      </c>
      <c r="X32" s="694"/>
      <c r="Y32" s="628">
        <f>重み!E32</f>
        <v>0</v>
      </c>
      <c r="Z32" s="695"/>
      <c r="AA32" s="693"/>
      <c r="AB32" s="696">
        <f>重み!M32</f>
        <v>0.5</v>
      </c>
      <c r="AC32" s="152"/>
      <c r="AD32" s="696">
        <f>重み!N32</f>
        <v>0</v>
      </c>
      <c r="AP32" s="2386">
        <f t="shared" si="8"/>
        <v>0</v>
      </c>
    </row>
    <row r="33" spans="2:58" ht="14.25" thickBot="1">
      <c r="B33" s="697"/>
      <c r="C33" s="698"/>
      <c r="D33" s="645">
        <v>2</v>
      </c>
      <c r="E33" s="634" t="s">
        <v>1823</v>
      </c>
      <c r="F33" s="686"/>
      <c r="G33" s="691"/>
      <c r="H33" s="2680"/>
      <c r="I33" s="2681"/>
      <c r="J33" s="2681"/>
      <c r="K33" s="2681"/>
      <c r="L33" s="2682"/>
      <c r="M33" s="657">
        <f t="shared" si="10"/>
        <v>3</v>
      </c>
      <c r="N33" s="624">
        <f t="shared" si="5"/>
        <v>0.5</v>
      </c>
      <c r="O33" s="2497">
        <f t="shared" si="12"/>
        <v>0</v>
      </c>
      <c r="P33" s="625">
        <f t="shared" si="6"/>
        <v>0</v>
      </c>
      <c r="Q33" s="692"/>
      <c r="R33" s="693"/>
      <c r="S33" s="664">
        <f>採点Q1!K255</f>
        <v>3</v>
      </c>
      <c r="T33" s="665"/>
      <c r="V33" s="2361">
        <f>M33</f>
        <v>3</v>
      </c>
      <c r="W33" s="2362">
        <f>重み!D33</f>
        <v>0.5</v>
      </c>
      <c r="X33" s="2363"/>
      <c r="Y33" s="2362">
        <f>重み!E33</f>
        <v>0</v>
      </c>
      <c r="Z33" s="695"/>
      <c r="AA33" s="693"/>
      <c r="AB33" s="696">
        <f>重み!M33</f>
        <v>0.5</v>
      </c>
      <c r="AC33" s="152"/>
      <c r="AD33" s="696">
        <f>重み!N33</f>
        <v>0</v>
      </c>
      <c r="AP33" s="2386">
        <f t="shared" si="8"/>
        <v>0</v>
      </c>
    </row>
    <row r="34" spans="2:58">
      <c r="B34" s="747">
        <v>3</v>
      </c>
      <c r="C34" s="669" t="s">
        <v>1824</v>
      </c>
      <c r="D34" s="769"/>
      <c r="E34" s="680"/>
      <c r="F34" s="681"/>
      <c r="G34" s="636"/>
      <c r="H34" s="671"/>
      <c r="I34" s="672"/>
      <c r="J34" s="672"/>
      <c r="K34" s="672"/>
      <c r="L34" s="673"/>
      <c r="M34" s="674">
        <f>ROUNDDOWN(V34,1)</f>
        <v>3</v>
      </c>
      <c r="N34" s="675">
        <f t="shared" si="5"/>
        <v>0.25</v>
      </c>
      <c r="O34" s="674">
        <f>ROUNDDOWN(X34,1)</f>
        <v>3</v>
      </c>
      <c r="P34" s="676">
        <f t="shared" si="6"/>
        <v>1</v>
      </c>
      <c r="Q34" s="677">
        <f>ROUNDDOWN(Z34,1)</f>
        <v>3</v>
      </c>
      <c r="R34" s="546"/>
      <c r="S34" s="678"/>
      <c r="T34" s="678"/>
      <c r="V34" s="627">
        <f>V35*W35+V39*W39+V43*W43+V46*W46</f>
        <v>3</v>
      </c>
      <c r="W34" s="628">
        <f>重み!D34</f>
        <v>0.25</v>
      </c>
      <c r="X34" s="627">
        <f>X35*Y35+X39*Y39+X43*Y43+X46*Y46</f>
        <v>3</v>
      </c>
      <c r="Y34" s="629">
        <f>SUM(Y35,Y39,Y43,Y46)</f>
        <v>1</v>
      </c>
      <c r="Z34" s="599">
        <f>IF(X34=0,V34,IF(V34=0,X34,V34*AB$6+X34*AD$6))</f>
        <v>3</v>
      </c>
      <c r="AA34" s="546"/>
      <c r="AB34" s="575">
        <f>重み!M34</f>
        <v>0.25</v>
      </c>
      <c r="AC34" s="281"/>
      <c r="AD34" s="630">
        <f>SUM(AD35,AD39,AD43,AD46)</f>
        <v>0.17241379310344829</v>
      </c>
      <c r="AF34" s="2360">
        <v>3</v>
      </c>
      <c r="AG34" s="2360"/>
      <c r="AH34" s="2360"/>
      <c r="AI34" s="2360"/>
      <c r="AJ34" s="2360"/>
      <c r="AK34" s="2360">
        <v>0</v>
      </c>
      <c r="AL34" s="2360"/>
      <c r="AM34" s="2360"/>
      <c r="AN34" s="2360"/>
      <c r="AO34" s="2360"/>
      <c r="AP34" s="2357">
        <f t="shared" si="8"/>
        <v>3</v>
      </c>
      <c r="AQ34" s="857">
        <f>N34</f>
        <v>0.25</v>
      </c>
      <c r="AR34" s="677"/>
      <c r="AT34" s="2356">
        <f>IF(AV34=0,0,SUMPRODUCT($AW$7:$BF$7,AF34:AO34)/AV34)</f>
        <v>3</v>
      </c>
      <c r="AV34" s="2355">
        <f>SUMPRODUCT($AW$7:$BF$7,AW34:BF34)</f>
        <v>0.34482758620689657</v>
      </c>
      <c r="AW34" s="2341">
        <f t="shared" ref="AW34:BF34" si="13">IF(AF34&gt;0,1,0)</f>
        <v>1</v>
      </c>
      <c r="AX34" s="2341">
        <f t="shared" si="13"/>
        <v>0</v>
      </c>
      <c r="AY34" s="2341">
        <f t="shared" si="13"/>
        <v>0</v>
      </c>
      <c r="AZ34" s="2341">
        <f t="shared" si="13"/>
        <v>0</v>
      </c>
      <c r="BA34" s="2341">
        <f t="shared" si="13"/>
        <v>0</v>
      </c>
      <c r="BB34" s="2341">
        <f t="shared" si="13"/>
        <v>0</v>
      </c>
      <c r="BC34" s="2341">
        <f t="shared" si="13"/>
        <v>0</v>
      </c>
      <c r="BD34" s="2341">
        <f t="shared" si="13"/>
        <v>0</v>
      </c>
      <c r="BE34" s="2341">
        <f t="shared" si="13"/>
        <v>0</v>
      </c>
      <c r="BF34" s="2341">
        <f t="shared" si="13"/>
        <v>0</v>
      </c>
    </row>
    <row r="35" spans="2:58" ht="14.25" thickBot="1">
      <c r="B35" s="631"/>
      <c r="C35" s="632">
        <v>3.1</v>
      </c>
      <c r="D35" s="679" t="s">
        <v>1825</v>
      </c>
      <c r="E35" s="680"/>
      <c r="F35" s="681"/>
      <c r="G35" s="636">
        <v>5</v>
      </c>
      <c r="H35" s="637"/>
      <c r="I35" s="638"/>
      <c r="J35" s="638"/>
      <c r="K35" s="638"/>
      <c r="L35" s="639"/>
      <c r="M35" s="640">
        <f>ROUNDDOWN(V35,1)</f>
        <v>3</v>
      </c>
      <c r="N35" s="682">
        <f t="shared" si="5"/>
        <v>0.3</v>
      </c>
      <c r="O35" s="683">
        <f>ROUNDDOWN(X35,1)</f>
        <v>3</v>
      </c>
      <c r="P35" s="684">
        <f t="shared" si="6"/>
        <v>0.3</v>
      </c>
      <c r="Q35" s="642"/>
      <c r="R35" s="546"/>
      <c r="S35" s="643"/>
      <c r="T35" s="643"/>
      <c r="V35" s="627">
        <f>SUMPRODUCT(V36:V38,W36:W38)</f>
        <v>3</v>
      </c>
      <c r="W35" s="628">
        <f>重み!D35</f>
        <v>0.3</v>
      </c>
      <c r="X35" s="627">
        <f>SUMPRODUCT(X36:X38,Y36:Y38)</f>
        <v>3</v>
      </c>
      <c r="Y35" s="628">
        <f>重み!E35</f>
        <v>0.3</v>
      </c>
      <c r="Z35" s="599"/>
      <c r="AA35" s="546"/>
      <c r="AB35" s="575">
        <f>重み!M35</f>
        <v>0.3</v>
      </c>
      <c r="AC35" s="281"/>
      <c r="AD35" s="575">
        <f>重み!N35</f>
        <v>5.1724137931034482E-2</v>
      </c>
      <c r="AP35" s="2386">
        <f t="shared" si="8"/>
        <v>0</v>
      </c>
    </row>
    <row r="36" spans="2:58">
      <c r="B36" s="631"/>
      <c r="C36" s="685"/>
      <c r="D36" s="645">
        <v>1</v>
      </c>
      <c r="E36" s="634" t="s">
        <v>1826</v>
      </c>
      <c r="F36" s="686"/>
      <c r="G36" s="636"/>
      <c r="H36" s="2680"/>
      <c r="I36" s="2681"/>
      <c r="J36" s="2681"/>
      <c r="K36" s="2681"/>
      <c r="L36" s="2682"/>
      <c r="M36" s="649">
        <f>ROUNDDOWN(S36,1)</f>
        <v>3</v>
      </c>
      <c r="N36" s="650">
        <f t="shared" si="5"/>
        <v>0.6</v>
      </c>
      <c r="O36" s="649">
        <f>ROUNDDOWN(T36,1)</f>
        <v>3</v>
      </c>
      <c r="P36" s="650">
        <f t="shared" si="6"/>
        <v>0.5</v>
      </c>
      <c r="Q36" s="626"/>
      <c r="R36" s="546"/>
      <c r="S36" s="651">
        <f>IF(採点Q1!F266="対象外",0,採点Q1!F266)</f>
        <v>3</v>
      </c>
      <c r="T36" s="652">
        <f>採点Q1!K266</f>
        <v>3</v>
      </c>
      <c r="V36" s="653">
        <f>M36</f>
        <v>3</v>
      </c>
      <c r="W36" s="628">
        <f>重み!D36</f>
        <v>0.6</v>
      </c>
      <c r="X36" s="653">
        <f>O36</f>
        <v>3</v>
      </c>
      <c r="Y36" s="628">
        <f>重み!E36</f>
        <v>0.5</v>
      </c>
      <c r="Z36" s="599"/>
      <c r="AA36" s="546"/>
      <c r="AB36" s="575">
        <f>重み!M36</f>
        <v>0.6</v>
      </c>
      <c r="AC36" s="281"/>
      <c r="AD36" s="575">
        <f>重み!N36</f>
        <v>8.6206896551724144E-2</v>
      </c>
      <c r="AP36" s="2386">
        <f t="shared" si="8"/>
        <v>0</v>
      </c>
    </row>
    <row r="37" spans="2:58">
      <c r="B37" s="631"/>
      <c r="C37" s="685"/>
      <c r="D37" s="645">
        <v>2</v>
      </c>
      <c r="E37" s="634" t="s">
        <v>1827</v>
      </c>
      <c r="F37" s="686"/>
      <c r="G37" s="636"/>
      <c r="H37" s="2680"/>
      <c r="I37" s="2681"/>
      <c r="J37" s="2681"/>
      <c r="K37" s="2681"/>
      <c r="L37" s="2682"/>
      <c r="M37" s="663">
        <f>ROUNDDOWN(S37,1)</f>
        <v>0</v>
      </c>
      <c r="N37" s="650">
        <f t="shared" si="5"/>
        <v>0</v>
      </c>
      <c r="O37" s="663">
        <f>ROUNDDOWN(T37,1)</f>
        <v>3</v>
      </c>
      <c r="P37" s="650">
        <f t="shared" si="6"/>
        <v>0.3</v>
      </c>
      <c r="Q37" s="626"/>
      <c r="R37" s="546"/>
      <c r="S37" s="664"/>
      <c r="T37" s="665">
        <f>採点Q1!F275</f>
        <v>3</v>
      </c>
      <c r="V37" s="653"/>
      <c r="W37" s="628">
        <f>重み!D37</f>
        <v>0</v>
      </c>
      <c r="X37" s="653">
        <f>O37</f>
        <v>3</v>
      </c>
      <c r="Y37" s="628">
        <f>重み!E37</f>
        <v>0.3</v>
      </c>
      <c r="Z37" s="599"/>
      <c r="AA37" s="546"/>
      <c r="AB37" s="575">
        <f>重み!M37</f>
        <v>0</v>
      </c>
      <c r="AC37" s="281"/>
      <c r="AD37" s="575">
        <f>重み!N37</f>
        <v>5.1724137931034482E-2</v>
      </c>
      <c r="AP37" s="2386">
        <f t="shared" si="8"/>
        <v>0</v>
      </c>
    </row>
    <row r="38" spans="2:58" ht="14.25" thickBot="1">
      <c r="B38" s="631"/>
      <c r="C38" s="699"/>
      <c r="D38" s="645">
        <v>3</v>
      </c>
      <c r="E38" s="634" t="s">
        <v>1828</v>
      </c>
      <c r="F38" s="686"/>
      <c r="G38" s="636"/>
      <c r="H38" s="2680"/>
      <c r="I38" s="2681"/>
      <c r="J38" s="2681"/>
      <c r="K38" s="2681"/>
      <c r="L38" s="2682"/>
      <c r="M38" s="657">
        <f>ROUNDDOWN(S38,1)</f>
        <v>3</v>
      </c>
      <c r="N38" s="650">
        <f t="shared" si="5"/>
        <v>0.4</v>
      </c>
      <c r="O38" s="657">
        <f>ROUNDDOWN(T38,1)</f>
        <v>3</v>
      </c>
      <c r="P38" s="650">
        <f t="shared" si="6"/>
        <v>0.2</v>
      </c>
      <c r="Q38" s="626"/>
      <c r="R38" s="546"/>
      <c r="S38" s="658">
        <f>IF(採点Q1!F284="対象外",0,採点Q1!F284)</f>
        <v>3</v>
      </c>
      <c r="T38" s="659">
        <f>採点Q1!K284</f>
        <v>3</v>
      </c>
      <c r="V38" s="653">
        <f>M38</f>
        <v>3</v>
      </c>
      <c r="W38" s="628">
        <f>重み!D38</f>
        <v>0.4</v>
      </c>
      <c r="X38" s="653">
        <f>O38</f>
        <v>3</v>
      </c>
      <c r="Y38" s="628">
        <f>重み!E38</f>
        <v>0.2</v>
      </c>
      <c r="Z38" s="599"/>
      <c r="AA38" s="546"/>
      <c r="AB38" s="575">
        <f>重み!M38</f>
        <v>0.4</v>
      </c>
      <c r="AC38" s="281"/>
      <c r="AD38" s="575">
        <f>重み!N38</f>
        <v>3.4482758620689662E-2</v>
      </c>
      <c r="AP38" s="2386">
        <f t="shared" si="8"/>
        <v>0</v>
      </c>
    </row>
    <row r="39" spans="2:58" ht="14.25" thickBot="1">
      <c r="B39" s="700"/>
      <c r="C39" s="660">
        <v>3.2</v>
      </c>
      <c r="D39" s="633" t="s">
        <v>1829</v>
      </c>
      <c r="E39" s="680"/>
      <c r="F39" s="681"/>
      <c r="G39" s="636">
        <v>5</v>
      </c>
      <c r="H39" s="2680"/>
      <c r="I39" s="2681"/>
      <c r="J39" s="2681"/>
      <c r="K39" s="2681"/>
      <c r="L39" s="2681"/>
      <c r="M39" s="2240">
        <f>ROUNDDOWN(V39,1)</f>
        <v>3</v>
      </c>
      <c r="N39" s="624">
        <f t="shared" si="5"/>
        <v>0.23793103448275862</v>
      </c>
      <c r="O39" s="702">
        <f>ROUNDDOWN(X39,1)</f>
        <v>3</v>
      </c>
      <c r="P39" s="625">
        <f t="shared" si="6"/>
        <v>0.3</v>
      </c>
      <c r="Q39" s="626"/>
      <c r="R39" s="546"/>
      <c r="S39" s="662"/>
      <c r="T39" s="662"/>
      <c r="V39" s="627">
        <f>SUMPRODUCT(V40:V42,W40:W42)</f>
        <v>3</v>
      </c>
      <c r="W39" s="628">
        <f>重み!D39</f>
        <v>0.23793103448275862</v>
      </c>
      <c r="X39" s="627">
        <f>SUMPRODUCT(X40:X42,Y40:Y42)</f>
        <v>3</v>
      </c>
      <c r="Y39" s="628">
        <f>重み!E39</f>
        <v>0.3</v>
      </c>
      <c r="Z39" s="599"/>
      <c r="AA39" s="546"/>
      <c r="AB39" s="575">
        <f>重み!M39</f>
        <v>0.23793103448275862</v>
      </c>
      <c r="AC39" s="281"/>
      <c r="AD39" s="575">
        <f>重み!N39</f>
        <v>5.1724137931034482E-2</v>
      </c>
      <c r="AP39" s="2386">
        <f t="shared" si="8"/>
        <v>0</v>
      </c>
    </row>
    <row r="40" spans="2:58" ht="14.25" hidden="1" thickBot="1">
      <c r="B40" s="700"/>
      <c r="C40" s="685"/>
      <c r="D40" s="703">
        <v>1</v>
      </c>
      <c r="E40" s="704" t="s">
        <v>1830</v>
      </c>
      <c r="F40" s="705"/>
      <c r="G40" s="636"/>
      <c r="H40" s="2680"/>
      <c r="I40" s="2681"/>
      <c r="J40" s="2681"/>
      <c r="K40" s="2681"/>
      <c r="L40" s="2682"/>
      <c r="M40" s="649">
        <f t="shared" ref="M40:M46" si="14">ROUNDDOWN(S40,1)</f>
        <v>0</v>
      </c>
      <c r="N40" s="650">
        <f t="shared" si="5"/>
        <v>0</v>
      </c>
      <c r="O40" s="649">
        <f>ROUNDDOWN(T40,1)</f>
        <v>0</v>
      </c>
      <c r="P40" s="650">
        <f t="shared" si="6"/>
        <v>0</v>
      </c>
      <c r="Q40" s="626"/>
      <c r="R40" s="546"/>
      <c r="S40" s="651">
        <f>IF(採点Q1!F294="対象外",0,採点Q1!F294)</f>
        <v>0</v>
      </c>
      <c r="T40" s="652">
        <f>採点Q1!K294</f>
        <v>0</v>
      </c>
      <c r="V40" s="653">
        <f>M40</f>
        <v>0</v>
      </c>
      <c r="W40" s="628">
        <f>重み!D40</f>
        <v>0</v>
      </c>
      <c r="X40" s="653">
        <f>O40</f>
        <v>0</v>
      </c>
      <c r="Y40" s="628">
        <f>重み!E40</f>
        <v>0</v>
      </c>
      <c r="Z40" s="599"/>
      <c r="AA40" s="546"/>
      <c r="AB40" s="575">
        <f>重み!M40</f>
        <v>0.28965517241379313</v>
      </c>
      <c r="AC40" s="281"/>
      <c r="AD40" s="575">
        <f>重み!N40</f>
        <v>6.8965517241379323E-2</v>
      </c>
      <c r="AP40" s="2386">
        <f t="shared" si="8"/>
        <v>0</v>
      </c>
    </row>
    <row r="41" spans="2:58">
      <c r="B41" s="700"/>
      <c r="C41" s="685"/>
      <c r="D41" s="645">
        <v>1</v>
      </c>
      <c r="E41" s="634" t="s">
        <v>1831</v>
      </c>
      <c r="F41" s="686"/>
      <c r="G41" s="636"/>
      <c r="H41" s="2680"/>
      <c r="I41" s="2681"/>
      <c r="J41" s="2681"/>
      <c r="K41" s="2681"/>
      <c r="L41" s="2682"/>
      <c r="M41" s="663">
        <f t="shared" si="14"/>
        <v>3</v>
      </c>
      <c r="N41" s="650">
        <f t="shared" si="5"/>
        <v>0.83561643835616439</v>
      </c>
      <c r="O41" s="782">
        <f>ROUNDDOWN(T41,1)</f>
        <v>3</v>
      </c>
      <c r="P41" s="650">
        <f t="shared" si="6"/>
        <v>1</v>
      </c>
      <c r="Q41" s="626"/>
      <c r="R41" s="546"/>
      <c r="S41" s="664">
        <f>IF(採点Q1!F303="対象外",0,採点Q1!F303)</f>
        <v>3</v>
      </c>
      <c r="T41" s="665">
        <f>採点Q1!K303</f>
        <v>3</v>
      </c>
      <c r="V41" s="653">
        <f>M41</f>
        <v>3</v>
      </c>
      <c r="W41" s="628">
        <f>重み!D41</f>
        <v>0.83561643835616439</v>
      </c>
      <c r="X41" s="653">
        <f>O41</f>
        <v>3</v>
      </c>
      <c r="Y41" s="628">
        <f>重み!E41</f>
        <v>1</v>
      </c>
      <c r="Z41" s="599"/>
      <c r="AA41" s="546"/>
      <c r="AB41" s="575">
        <f>重み!M41</f>
        <v>0.4206896551724138</v>
      </c>
      <c r="AC41" s="281"/>
      <c r="AD41" s="575">
        <f>重み!N41</f>
        <v>0.10344827586206896</v>
      </c>
      <c r="AP41" s="2386">
        <f t="shared" si="8"/>
        <v>0</v>
      </c>
    </row>
    <row r="42" spans="2:58">
      <c r="B42" s="700"/>
      <c r="C42" s="699"/>
      <c r="D42" s="645">
        <v>2</v>
      </c>
      <c r="E42" s="634" t="s">
        <v>978</v>
      </c>
      <c r="F42" s="686"/>
      <c r="G42" s="636"/>
      <c r="H42" s="2680"/>
      <c r="I42" s="2681"/>
      <c r="J42" s="2681"/>
      <c r="K42" s="2681"/>
      <c r="L42" s="2682"/>
      <c r="M42" s="663">
        <f t="shared" si="14"/>
        <v>3</v>
      </c>
      <c r="N42" s="650"/>
      <c r="O42" s="689"/>
      <c r="P42" s="650"/>
      <c r="Q42" s="626"/>
      <c r="R42" s="546"/>
      <c r="S42" s="664">
        <f>採点Q1!F312</f>
        <v>3</v>
      </c>
      <c r="T42" s="665"/>
      <c r="V42" s="653">
        <f>M42</f>
        <v>3</v>
      </c>
      <c r="W42" s="628">
        <f>重み!D42</f>
        <v>0.16438356164383561</v>
      </c>
      <c r="X42" s="653">
        <f>O42</f>
        <v>0</v>
      </c>
      <c r="Y42" s="628">
        <f>重み!E42</f>
        <v>0</v>
      </c>
      <c r="Z42" s="599"/>
      <c r="AA42" s="546"/>
      <c r="AB42" s="575">
        <f>重み!M42</f>
        <v>8.2758620689655171E-2</v>
      </c>
      <c r="AC42" s="281"/>
      <c r="AD42" s="575">
        <f>重み!N42</f>
        <v>0</v>
      </c>
      <c r="AP42" s="2386">
        <f t="shared" si="8"/>
        <v>0</v>
      </c>
    </row>
    <row r="43" spans="2:58">
      <c r="B43" s="707"/>
      <c r="C43" s="632">
        <v>3.3</v>
      </c>
      <c r="D43" s="679" t="s">
        <v>979</v>
      </c>
      <c r="E43" s="679"/>
      <c r="F43" s="708"/>
      <c r="G43" s="636">
        <v>5</v>
      </c>
      <c r="H43" s="2680"/>
      <c r="I43" s="2681"/>
      <c r="J43" s="2681"/>
      <c r="K43" s="2681"/>
      <c r="L43" s="2682"/>
      <c r="M43" s="689">
        <f t="shared" si="14"/>
        <v>3</v>
      </c>
      <c r="N43" s="624">
        <f t="shared" ref="N43:N74" si="15">W43</f>
        <v>0.16034482758620688</v>
      </c>
      <c r="O43" s="689">
        <f>ROUNDDOWN(T43,1)</f>
        <v>3</v>
      </c>
      <c r="P43" s="625">
        <f t="shared" ref="P43:P74" si="16">Y43</f>
        <v>0.15</v>
      </c>
      <c r="Q43" s="626"/>
      <c r="R43" s="546"/>
      <c r="S43" s="664">
        <f>IF(採点Q1!F326="対象外",0,採点Q1!F326)</f>
        <v>3</v>
      </c>
      <c r="T43" s="665">
        <f>採点Q1!M326</f>
        <v>3</v>
      </c>
      <c r="V43" s="709">
        <f>M43</f>
        <v>3</v>
      </c>
      <c r="W43" s="628">
        <f>重み!D43</f>
        <v>0.16034482758620688</v>
      </c>
      <c r="X43" s="709">
        <f>O43</f>
        <v>3</v>
      </c>
      <c r="Y43" s="628">
        <f>重み!E43</f>
        <v>0.15</v>
      </c>
      <c r="Z43" s="599"/>
      <c r="AA43" s="546"/>
      <c r="AB43" s="575">
        <f>重み!M43</f>
        <v>0.16034482758620688</v>
      </c>
      <c r="AC43" s="281"/>
      <c r="AD43" s="575">
        <f>重み!N43</f>
        <v>2.5862068965517241E-2</v>
      </c>
      <c r="AP43" s="2386">
        <f t="shared" si="8"/>
        <v>0</v>
      </c>
    </row>
    <row r="44" spans="2:58" hidden="1">
      <c r="B44" s="707"/>
      <c r="C44" s="644"/>
      <c r="D44" s="703">
        <v>1</v>
      </c>
      <c r="E44" s="704" t="s">
        <v>980</v>
      </c>
      <c r="F44" s="705"/>
      <c r="G44" s="636"/>
      <c r="H44" s="2680"/>
      <c r="I44" s="2681"/>
      <c r="J44" s="2681"/>
      <c r="K44" s="2681"/>
      <c r="L44" s="2682"/>
      <c r="M44" s="663">
        <f t="shared" si="14"/>
        <v>0</v>
      </c>
      <c r="N44" s="650">
        <f t="shared" si="15"/>
        <v>0</v>
      </c>
      <c r="O44" s="663">
        <f>ROUNDDOWN(T44,1)</f>
        <v>0</v>
      </c>
      <c r="P44" s="650">
        <f t="shared" si="16"/>
        <v>0</v>
      </c>
      <c r="Q44" s="626"/>
      <c r="R44" s="546"/>
      <c r="S44" s="664"/>
      <c r="T44" s="665"/>
      <c r="W44" s="628">
        <f>重み!D44</f>
        <v>0</v>
      </c>
      <c r="Y44" s="628">
        <f>重み!E44</f>
        <v>0</v>
      </c>
      <c r="Z44" s="599"/>
      <c r="AA44" s="546"/>
      <c r="AB44" s="575">
        <f>重み!M44</f>
        <v>0</v>
      </c>
      <c r="AC44" s="281"/>
      <c r="AD44" s="575">
        <f>重み!N44</f>
        <v>0</v>
      </c>
      <c r="AP44" s="2386">
        <f t="shared" si="8"/>
        <v>0</v>
      </c>
    </row>
    <row r="45" spans="2:58" hidden="1">
      <c r="B45" s="707"/>
      <c r="C45" s="654"/>
      <c r="D45" s="703">
        <v>2</v>
      </c>
      <c r="E45" s="704" t="s">
        <v>981</v>
      </c>
      <c r="F45" s="705"/>
      <c r="G45" s="636"/>
      <c r="H45" s="2680"/>
      <c r="I45" s="2681"/>
      <c r="J45" s="2681"/>
      <c r="K45" s="2681"/>
      <c r="L45" s="2682"/>
      <c r="M45" s="663">
        <f t="shared" si="14"/>
        <v>0</v>
      </c>
      <c r="N45" s="650">
        <f t="shared" si="15"/>
        <v>0</v>
      </c>
      <c r="O45" s="663">
        <f>ROUNDDOWN(T45,1)</f>
        <v>0</v>
      </c>
      <c r="P45" s="650">
        <f t="shared" si="16"/>
        <v>0</v>
      </c>
      <c r="Q45" s="626"/>
      <c r="R45" s="546"/>
      <c r="S45" s="664"/>
      <c r="T45" s="665"/>
      <c r="W45" s="628">
        <f>重み!D45</f>
        <v>0</v>
      </c>
      <c r="Y45" s="628">
        <f>重み!E45</f>
        <v>0</v>
      </c>
      <c r="Z45" s="599"/>
      <c r="AA45" s="546"/>
      <c r="AB45" s="575">
        <f>重み!M45</f>
        <v>0</v>
      </c>
      <c r="AC45" s="281"/>
      <c r="AD45" s="575">
        <f>重み!N45</f>
        <v>0</v>
      </c>
      <c r="AP45" s="2386">
        <f t="shared" si="8"/>
        <v>0</v>
      </c>
    </row>
    <row r="46" spans="2:58" ht="14.25" thickBot="1">
      <c r="B46" s="710"/>
      <c r="C46" s="667">
        <v>3.4</v>
      </c>
      <c r="D46" s="2685" t="s">
        <v>982</v>
      </c>
      <c r="E46" s="2686"/>
      <c r="F46" s="686"/>
      <c r="G46" s="636">
        <v>5</v>
      </c>
      <c r="H46" s="2680"/>
      <c r="I46" s="2681"/>
      <c r="J46" s="2681"/>
      <c r="K46" s="2681"/>
      <c r="L46" s="2682"/>
      <c r="M46" s="668">
        <f t="shared" si="14"/>
        <v>3</v>
      </c>
      <c r="N46" s="650">
        <f t="shared" si="15"/>
        <v>0.30172413793103448</v>
      </c>
      <c r="O46" s="668">
        <f>ROUNDDOWN(T46,1)</f>
        <v>3</v>
      </c>
      <c r="P46" s="650">
        <f t="shared" si="16"/>
        <v>0.25</v>
      </c>
      <c r="Q46" s="626"/>
      <c r="R46" s="546"/>
      <c r="S46" s="658">
        <f>IF(採点Q1!F344="対象外",0,採点Q1!F344)</f>
        <v>3</v>
      </c>
      <c r="T46" s="659">
        <f>採点Q1!K344</f>
        <v>3</v>
      </c>
      <c r="V46" s="653">
        <f>M46</f>
        <v>3</v>
      </c>
      <c r="W46" s="628">
        <f>重み!D46</f>
        <v>0.30172413793103448</v>
      </c>
      <c r="X46" s="653">
        <f>O46</f>
        <v>3</v>
      </c>
      <c r="Y46" s="628">
        <f>重み!E46</f>
        <v>0.25</v>
      </c>
      <c r="Z46" s="599"/>
      <c r="AA46" s="546"/>
      <c r="AB46" s="575">
        <f>重み!M46</f>
        <v>0.30172413793103448</v>
      </c>
      <c r="AC46" s="281"/>
      <c r="AD46" s="575">
        <f>重み!N46</f>
        <v>4.3103448275862072E-2</v>
      </c>
      <c r="AP46" s="2386">
        <f t="shared" si="8"/>
        <v>0</v>
      </c>
    </row>
    <row r="47" spans="2:58">
      <c r="B47" s="747">
        <v>4</v>
      </c>
      <c r="C47" s="669" t="s">
        <v>983</v>
      </c>
      <c r="D47" s="769"/>
      <c r="E47" s="680"/>
      <c r="F47" s="681"/>
      <c r="G47" s="636"/>
      <c r="H47" s="671"/>
      <c r="I47" s="672"/>
      <c r="J47" s="672"/>
      <c r="K47" s="672"/>
      <c r="L47" s="673"/>
      <c r="M47" s="674">
        <f>ROUNDDOWN(V47,1)</f>
        <v>3</v>
      </c>
      <c r="N47" s="675">
        <f t="shared" si="15"/>
        <v>0.25</v>
      </c>
      <c r="O47" s="623">
        <f>ROUNDDOWN(X47,1)</f>
        <v>3</v>
      </c>
      <c r="P47" s="676">
        <f t="shared" si="16"/>
        <v>1</v>
      </c>
      <c r="Q47" s="677">
        <f>ROUNDDOWN(Z47,1)</f>
        <v>3</v>
      </c>
      <c r="R47" s="546"/>
      <c r="S47" s="678"/>
      <c r="T47" s="678"/>
      <c r="V47" s="627">
        <f>V48*W48+V53*W53+V58*W58</f>
        <v>3.0000000000000004</v>
      </c>
      <c r="W47" s="628">
        <f>重み!D47</f>
        <v>0.25</v>
      </c>
      <c r="X47" s="627">
        <f>X48*Y48+X53*Y53+X58*Y58</f>
        <v>3</v>
      </c>
      <c r="Y47" s="629">
        <f>SUM(Y48,Y53,Y58)</f>
        <v>1</v>
      </c>
      <c r="Z47" s="599">
        <f>IF(X47=0,V47,IF(V47=0,X47,V47*AB$6+X47*AD$6))</f>
        <v>3</v>
      </c>
      <c r="AA47" s="546"/>
      <c r="AB47" s="575">
        <f>重み!M47</f>
        <v>0.25</v>
      </c>
      <c r="AC47" s="281"/>
      <c r="AD47" s="630">
        <f>SUM(AD48,AD53,AD58)</f>
        <v>0.17241379310344829</v>
      </c>
      <c r="AF47" s="2360">
        <v>3</v>
      </c>
      <c r="AG47" s="2360"/>
      <c r="AH47" s="2360"/>
      <c r="AI47" s="2360"/>
      <c r="AJ47" s="2360"/>
      <c r="AK47" s="2360">
        <v>0</v>
      </c>
      <c r="AL47" s="2360"/>
      <c r="AM47" s="2360"/>
      <c r="AN47" s="2360"/>
      <c r="AO47" s="2360"/>
      <c r="AP47" s="2357">
        <f t="shared" si="8"/>
        <v>3</v>
      </c>
      <c r="AQ47" s="857">
        <f>N47</f>
        <v>0.25</v>
      </c>
      <c r="AR47" s="677"/>
      <c r="AT47" s="2356">
        <f>IF(AV47=0,0,SUMPRODUCT($AW$7:$BF$7,AF47:AO47)/AV47)</f>
        <v>3</v>
      </c>
      <c r="AV47" s="2355">
        <f>SUMPRODUCT($AW$7:$BF$7,AW47:BF47)</f>
        <v>0.34482758620689657</v>
      </c>
      <c r="AW47" s="2341">
        <f t="shared" ref="AW47:BF47" si="17">IF(AF47&gt;0,1,0)</f>
        <v>1</v>
      </c>
      <c r="AX47" s="2341">
        <f t="shared" si="17"/>
        <v>0</v>
      </c>
      <c r="AY47" s="2341">
        <f t="shared" si="17"/>
        <v>0</v>
      </c>
      <c r="AZ47" s="2341">
        <f t="shared" si="17"/>
        <v>0</v>
      </c>
      <c r="BA47" s="2341">
        <f t="shared" si="17"/>
        <v>0</v>
      </c>
      <c r="BB47" s="2341">
        <f t="shared" si="17"/>
        <v>0</v>
      </c>
      <c r="BC47" s="2341">
        <f t="shared" si="17"/>
        <v>0</v>
      </c>
      <c r="BD47" s="2341">
        <f t="shared" si="17"/>
        <v>0</v>
      </c>
      <c r="BE47" s="2341">
        <f t="shared" si="17"/>
        <v>0</v>
      </c>
      <c r="BF47" s="2341">
        <f t="shared" si="17"/>
        <v>0</v>
      </c>
    </row>
    <row r="48" spans="2:58" ht="14.25" thickBot="1">
      <c r="B48" s="631"/>
      <c r="C48" s="632">
        <v>4.0999999999999996</v>
      </c>
      <c r="D48" s="679" t="s">
        <v>984</v>
      </c>
      <c r="E48" s="679"/>
      <c r="F48" s="708"/>
      <c r="G48" s="35" t="s">
        <v>984</v>
      </c>
      <c r="H48" s="620"/>
      <c r="I48" s="621"/>
      <c r="J48" s="621"/>
      <c r="K48" s="621"/>
      <c r="L48" s="622"/>
      <c r="M48" s="701">
        <f>ROUNDDOWN(V48,1)</f>
        <v>3</v>
      </c>
      <c r="N48" s="624">
        <f t="shared" si="15"/>
        <v>0.51724137931034486</v>
      </c>
      <c r="O48" s="702">
        <f>ROUNDDOWN(X48,1)</f>
        <v>3</v>
      </c>
      <c r="P48" s="625">
        <f t="shared" si="16"/>
        <v>0.625</v>
      </c>
      <c r="Q48" s="626"/>
      <c r="R48" s="546"/>
      <c r="S48" s="643"/>
      <c r="T48" s="643"/>
      <c r="V48" s="627">
        <f>SUMPRODUCT(V49:V52,W49:W52)</f>
        <v>3</v>
      </c>
      <c r="W48" s="628">
        <f>重み!D48</f>
        <v>0.51724137931034486</v>
      </c>
      <c r="X48" s="627">
        <f>SUMPRODUCT(X49:X52,Y49:Y52)</f>
        <v>3</v>
      </c>
      <c r="Y48" s="628">
        <f>重み!E48</f>
        <v>0.625</v>
      </c>
      <c r="Z48" s="599"/>
      <c r="AA48" s="546"/>
      <c r="AB48" s="575">
        <f>重み!M48</f>
        <v>0.51724137931034475</v>
      </c>
      <c r="AC48" s="281"/>
      <c r="AD48" s="575">
        <f>重み!N48</f>
        <v>0.10775862068965518</v>
      </c>
    </row>
    <row r="49" spans="2:58">
      <c r="B49" s="631"/>
      <c r="C49" s="685"/>
      <c r="D49" s="645">
        <v>1</v>
      </c>
      <c r="E49" s="634" t="s">
        <v>985</v>
      </c>
      <c r="F49" s="686"/>
      <c r="G49" s="711">
        <v>2</v>
      </c>
      <c r="H49" s="2680"/>
      <c r="I49" s="2681"/>
      <c r="J49" s="2681"/>
      <c r="K49" s="2681"/>
      <c r="L49" s="2682"/>
      <c r="M49" s="649">
        <f>ROUNDDOWN(S49,1)</f>
        <v>3</v>
      </c>
      <c r="N49" s="650">
        <f t="shared" si="15"/>
        <v>0.5</v>
      </c>
      <c r="O49" s="649">
        <f>ROUNDDOWN(T49,1)</f>
        <v>3</v>
      </c>
      <c r="P49" s="650">
        <f t="shared" si="16"/>
        <v>0.5</v>
      </c>
      <c r="Q49" s="626"/>
      <c r="R49" s="546"/>
      <c r="S49" s="651">
        <f>IF(採点Q1!F362="対象外",0,採点Q1!F362)</f>
        <v>3</v>
      </c>
      <c r="T49" s="652">
        <f>採点Q1!K362</f>
        <v>3</v>
      </c>
      <c r="V49" s="653">
        <f>M49</f>
        <v>3</v>
      </c>
      <c r="W49" s="628">
        <f>重み!D49</f>
        <v>0.5</v>
      </c>
      <c r="X49" s="653">
        <f>O49</f>
        <v>3</v>
      </c>
      <c r="Y49" s="628">
        <f>重み!E49</f>
        <v>0.5</v>
      </c>
      <c r="Z49" s="599"/>
      <c r="AA49" s="546"/>
      <c r="AB49" s="575">
        <f>重み!M49</f>
        <v>0.26379310344827589</v>
      </c>
      <c r="AC49" s="281"/>
      <c r="AD49" s="575">
        <f>重み!N49</f>
        <v>4.3103448275862072E-2</v>
      </c>
    </row>
    <row r="50" spans="2:58" ht="14.25" thickBot="1">
      <c r="B50" s="631"/>
      <c r="C50" s="685"/>
      <c r="D50" s="645">
        <v>2</v>
      </c>
      <c r="E50" s="634" t="s">
        <v>986</v>
      </c>
      <c r="F50" s="686"/>
      <c r="G50" s="636"/>
      <c r="H50" s="2680"/>
      <c r="I50" s="2681"/>
      <c r="J50" s="2681"/>
      <c r="K50" s="2681"/>
      <c r="L50" s="2682"/>
      <c r="M50" s="657">
        <f>ROUNDDOWN(S50,1)</f>
        <v>3</v>
      </c>
      <c r="N50" s="650">
        <f t="shared" si="15"/>
        <v>0.5</v>
      </c>
      <c r="O50" s="657">
        <f>ROUNDDOWN(T50,1)</f>
        <v>3</v>
      </c>
      <c r="P50" s="650">
        <f t="shared" si="16"/>
        <v>0.5</v>
      </c>
      <c r="Q50" s="626"/>
      <c r="R50" s="546"/>
      <c r="S50" s="664">
        <f>採点Q1!F371</f>
        <v>3</v>
      </c>
      <c r="T50" s="665">
        <f>採点Q1!K371</f>
        <v>3</v>
      </c>
      <c r="V50" s="653">
        <f>M50</f>
        <v>3</v>
      </c>
      <c r="W50" s="628">
        <f>重み!D50</f>
        <v>0.5</v>
      </c>
      <c r="X50" s="653">
        <f>O50</f>
        <v>3</v>
      </c>
      <c r="Y50" s="628">
        <f>重み!E50</f>
        <v>0.5</v>
      </c>
      <c r="Z50" s="599"/>
      <c r="AA50" s="546"/>
      <c r="AB50" s="575">
        <f>重み!M50</f>
        <v>0.26379310344827589</v>
      </c>
      <c r="AC50" s="281"/>
      <c r="AD50" s="575">
        <f>重み!N50</f>
        <v>4.3103448275862072E-2</v>
      </c>
    </row>
    <row r="51" spans="2:58" hidden="1">
      <c r="B51" s="631"/>
      <c r="C51" s="685"/>
      <c r="D51" s="703">
        <v>3</v>
      </c>
      <c r="E51" s="704" t="s">
        <v>987</v>
      </c>
      <c r="F51" s="705"/>
      <c r="G51" s="636"/>
      <c r="H51" s="2680"/>
      <c r="I51" s="2681"/>
      <c r="J51" s="2681"/>
      <c r="K51" s="2681"/>
      <c r="L51" s="2682"/>
      <c r="M51" s="663">
        <f>ROUNDDOWN(S51,1)</f>
        <v>0</v>
      </c>
      <c r="N51" s="650">
        <f t="shared" si="15"/>
        <v>0</v>
      </c>
      <c r="O51" s="663">
        <f>ROUNDDOWN(T51,1)</f>
        <v>0</v>
      </c>
      <c r="P51" s="650">
        <f t="shared" si="16"/>
        <v>0</v>
      </c>
      <c r="Q51" s="626"/>
      <c r="R51" s="546"/>
      <c r="S51" s="664">
        <f>IF(採点Q1!F380="対象外",0,採点Q1!F380)</f>
        <v>0</v>
      </c>
      <c r="T51" s="665">
        <f>採点Q1!K380</f>
        <v>0</v>
      </c>
      <c r="V51" s="653">
        <f>M51</f>
        <v>0</v>
      </c>
      <c r="W51" s="628">
        <f>重み!D51</f>
        <v>0</v>
      </c>
      <c r="X51" s="653">
        <f>O51</f>
        <v>0</v>
      </c>
      <c r="Y51" s="628">
        <f>重み!E51</f>
        <v>0</v>
      </c>
      <c r="Z51" s="599"/>
      <c r="AA51" s="546"/>
      <c r="AB51" s="575">
        <f>重み!M51</f>
        <v>0.26379310344827589</v>
      </c>
      <c r="AC51" s="281"/>
      <c r="AD51" s="575">
        <f>重み!N51</f>
        <v>4.3103448275862072E-2</v>
      </c>
    </row>
    <row r="52" spans="2:58" ht="14.25" hidden="1" thickBot="1">
      <c r="B52" s="631"/>
      <c r="C52" s="699"/>
      <c r="D52" s="703">
        <v>4</v>
      </c>
      <c r="E52" s="704" t="s">
        <v>988</v>
      </c>
      <c r="F52" s="705"/>
      <c r="G52" s="636"/>
      <c r="H52" s="2680"/>
      <c r="I52" s="2681"/>
      <c r="J52" s="2681"/>
      <c r="K52" s="2681"/>
      <c r="L52" s="2682"/>
      <c r="M52" s="657">
        <f>ROUNDDOWN(S52,1)</f>
        <v>0</v>
      </c>
      <c r="N52" s="650">
        <f t="shared" si="15"/>
        <v>0</v>
      </c>
      <c r="O52" s="657">
        <f>ROUNDDOWN(T52,1)</f>
        <v>0</v>
      </c>
      <c r="P52" s="650">
        <f t="shared" si="16"/>
        <v>0</v>
      </c>
      <c r="Q52" s="626"/>
      <c r="R52" s="546"/>
      <c r="S52" s="658">
        <f>IF(採点Q1!F389="対象外",0,採点Q1!F389)</f>
        <v>0</v>
      </c>
      <c r="T52" s="659">
        <f>採点Q1!K389</f>
        <v>0</v>
      </c>
      <c r="V52" s="653">
        <f>M52</f>
        <v>0</v>
      </c>
      <c r="W52" s="628">
        <f>重み!D52</f>
        <v>0</v>
      </c>
      <c r="X52" s="653">
        <f>O52</f>
        <v>0</v>
      </c>
      <c r="Y52" s="628">
        <f>重み!E52</f>
        <v>0</v>
      </c>
      <c r="Z52" s="599"/>
      <c r="AA52" s="546"/>
      <c r="AB52" s="575">
        <f>重み!M52</f>
        <v>0.20689655172413793</v>
      </c>
      <c r="AC52" s="281"/>
      <c r="AD52" s="575">
        <f>重み!N52</f>
        <v>4.3103448275862072E-2</v>
      </c>
    </row>
    <row r="53" spans="2:58" ht="14.25" thickBot="1">
      <c r="B53" s="700"/>
      <c r="C53" s="632">
        <v>4.2</v>
      </c>
      <c r="D53" s="679" t="s">
        <v>989</v>
      </c>
      <c r="E53" s="680"/>
      <c r="F53" s="686"/>
      <c r="G53" s="712">
        <v>5</v>
      </c>
      <c r="H53" s="620"/>
      <c r="I53" s="621"/>
      <c r="J53" s="621"/>
      <c r="K53" s="621"/>
      <c r="L53" s="622"/>
      <c r="M53" s="701">
        <f>ROUNDDOWN(V53,1)</f>
        <v>3</v>
      </c>
      <c r="N53" s="624">
        <f t="shared" si="15"/>
        <v>0.31724137931034491</v>
      </c>
      <c r="O53" s="702">
        <f>ROUNDDOWN(X53,1)</f>
        <v>3</v>
      </c>
      <c r="P53" s="625">
        <f t="shared" si="16"/>
        <v>0.375</v>
      </c>
      <c r="Q53" s="626"/>
      <c r="R53" s="546"/>
      <c r="S53" s="662"/>
      <c r="T53" s="662"/>
      <c r="V53" s="627">
        <f>SUMPRODUCT(V54:V57,W54:W57)</f>
        <v>3</v>
      </c>
      <c r="W53" s="628">
        <f>重み!D53</f>
        <v>0.31724137931034491</v>
      </c>
      <c r="X53" s="627">
        <f>SUMPRODUCT(X54:X57,Y54:Y57)</f>
        <v>3</v>
      </c>
      <c r="Y53" s="628">
        <f>重み!E53</f>
        <v>0.375</v>
      </c>
      <c r="Z53" s="599"/>
      <c r="AA53" s="546"/>
      <c r="AB53" s="575">
        <f>重み!M53</f>
        <v>0.31724137931034485</v>
      </c>
      <c r="AC53" s="281"/>
      <c r="AD53" s="575">
        <f>重み!N53</f>
        <v>6.4655172413793108E-2</v>
      </c>
    </row>
    <row r="54" spans="2:58">
      <c r="B54" s="700"/>
      <c r="C54" s="644"/>
      <c r="D54" s="645">
        <v>1</v>
      </c>
      <c r="E54" s="634" t="s">
        <v>990</v>
      </c>
      <c r="F54" s="713"/>
      <c r="G54" s="636"/>
      <c r="H54" s="2680"/>
      <c r="I54" s="2681"/>
      <c r="J54" s="2681"/>
      <c r="K54" s="2681"/>
      <c r="L54" s="2682"/>
      <c r="M54" s="649">
        <f>ROUNDDOWN(S54,1)</f>
        <v>3</v>
      </c>
      <c r="N54" s="650">
        <f t="shared" si="15"/>
        <v>0.2608695652173913</v>
      </c>
      <c r="O54" s="649">
        <f>ROUNDDOWN(T54,1)</f>
        <v>3</v>
      </c>
      <c r="P54" s="650">
        <f t="shared" si="16"/>
        <v>0</v>
      </c>
      <c r="Q54" s="626"/>
      <c r="R54" s="546"/>
      <c r="S54" s="651">
        <f>IF(採点Q1!F399="対象外",0,採点Q1!F399)</f>
        <v>3</v>
      </c>
      <c r="T54" s="652">
        <f>採点Q1!K399</f>
        <v>3</v>
      </c>
      <c r="V54" s="653">
        <f>M54</f>
        <v>3</v>
      </c>
      <c r="W54" s="628">
        <f>重み!D54</f>
        <v>0.2608695652173913</v>
      </c>
      <c r="X54" s="653">
        <f>O54</f>
        <v>3</v>
      </c>
      <c r="Y54" s="628">
        <f>重み!E54</f>
        <v>0</v>
      </c>
      <c r="Z54" s="599"/>
      <c r="AA54" s="546"/>
      <c r="AB54" s="575">
        <f>重み!M54</f>
        <v>0.20689655172413793</v>
      </c>
      <c r="AC54" s="281"/>
      <c r="AD54" s="575">
        <f>重み!N54</f>
        <v>0</v>
      </c>
    </row>
    <row r="55" spans="2:58">
      <c r="B55" s="700"/>
      <c r="C55" s="644"/>
      <c r="D55" s="645">
        <v>2</v>
      </c>
      <c r="E55" s="634" t="s">
        <v>2368</v>
      </c>
      <c r="F55" s="686"/>
      <c r="G55" s="636"/>
      <c r="H55" s="2680"/>
      <c r="I55" s="2681"/>
      <c r="J55" s="2681"/>
      <c r="K55" s="2681"/>
      <c r="L55" s="2682"/>
      <c r="M55" s="663">
        <f>ROUNDDOWN(S55,1)</f>
        <v>3</v>
      </c>
      <c r="N55" s="650">
        <f t="shared" si="15"/>
        <v>0.2608695652173913</v>
      </c>
      <c r="O55" s="663">
        <f>ROUNDDOWN(T55,1)</f>
        <v>3</v>
      </c>
      <c r="P55" s="650">
        <f t="shared" si="16"/>
        <v>0.5</v>
      </c>
      <c r="Q55" s="626"/>
      <c r="R55" s="546"/>
      <c r="S55" s="664">
        <f>IF(採点Q1!F408="対象外",0,採点Q1!F408)</f>
        <v>3</v>
      </c>
      <c r="T55" s="665">
        <f>採点Q1!K408</f>
        <v>3</v>
      </c>
      <c r="V55" s="653">
        <f>M55</f>
        <v>3</v>
      </c>
      <c r="W55" s="628">
        <f>重み!D55</f>
        <v>0.2608695652173913</v>
      </c>
      <c r="X55" s="653">
        <f>O55</f>
        <v>3</v>
      </c>
      <c r="Y55" s="628">
        <f>重み!E55</f>
        <v>0.5</v>
      </c>
      <c r="Z55" s="599"/>
      <c r="AA55" s="546"/>
      <c r="AB55" s="575">
        <f>重み!M55</f>
        <v>0.20689655172413793</v>
      </c>
      <c r="AC55" s="281"/>
      <c r="AD55" s="575">
        <f>重み!N55</f>
        <v>5.6896551724137941E-2</v>
      </c>
    </row>
    <row r="56" spans="2:58" ht="14.25" thickBot="1">
      <c r="B56" s="700"/>
      <c r="C56" s="644"/>
      <c r="D56" s="645">
        <v>3</v>
      </c>
      <c r="E56" s="634" t="s">
        <v>2369</v>
      </c>
      <c r="F56" s="686"/>
      <c r="G56" s="636"/>
      <c r="H56" s="2680"/>
      <c r="I56" s="2681"/>
      <c r="J56" s="2681"/>
      <c r="K56" s="2681"/>
      <c r="L56" s="2682"/>
      <c r="M56" s="657">
        <f>ROUNDDOWN(S56,1)</f>
        <v>3</v>
      </c>
      <c r="N56" s="650">
        <f t="shared" si="15"/>
        <v>0.47826086956521735</v>
      </c>
      <c r="O56" s="657">
        <f>ROUNDDOWN(T56,1)</f>
        <v>3</v>
      </c>
      <c r="P56" s="650">
        <f t="shared" si="16"/>
        <v>0.5</v>
      </c>
      <c r="Q56" s="626"/>
      <c r="R56" s="546"/>
      <c r="S56" s="664">
        <f>IF(採点Q1!F417="対象外",0,採点Q1!F417)</f>
        <v>3</v>
      </c>
      <c r="T56" s="665">
        <f>採点Q1!K417</f>
        <v>3</v>
      </c>
      <c r="V56" s="653">
        <f>M56</f>
        <v>3</v>
      </c>
      <c r="W56" s="628">
        <f>重み!D56</f>
        <v>0.47826086956521735</v>
      </c>
      <c r="X56" s="653">
        <f>O56</f>
        <v>3</v>
      </c>
      <c r="Y56" s="628">
        <f>重み!E56</f>
        <v>0.5</v>
      </c>
      <c r="Z56" s="599"/>
      <c r="AA56" s="546"/>
      <c r="AB56" s="575">
        <f>重み!M56</f>
        <v>0.37931034482758619</v>
      </c>
      <c r="AC56" s="281"/>
      <c r="AD56" s="575">
        <f>重み!N56</f>
        <v>5.6896551724137941E-2</v>
      </c>
    </row>
    <row r="57" spans="2:58" ht="14.25" hidden="1" thickBot="1">
      <c r="B57" s="700"/>
      <c r="C57" s="654"/>
      <c r="D57" s="703">
        <v>4</v>
      </c>
      <c r="E57" s="704" t="s">
        <v>2370</v>
      </c>
      <c r="F57" s="705"/>
      <c r="G57" s="636"/>
      <c r="H57" s="2680"/>
      <c r="I57" s="2681"/>
      <c r="J57" s="2681"/>
      <c r="K57" s="2681"/>
      <c r="L57" s="2682"/>
      <c r="M57" s="657">
        <f>ROUNDDOWN(S57,1)</f>
        <v>0</v>
      </c>
      <c r="N57" s="650">
        <f t="shared" si="15"/>
        <v>0</v>
      </c>
      <c r="O57" s="657">
        <f>ROUNDDOWN(T57,1)</f>
        <v>0</v>
      </c>
      <c r="P57" s="650">
        <f t="shared" si="16"/>
        <v>0</v>
      </c>
      <c r="Q57" s="626"/>
      <c r="R57" s="546"/>
      <c r="S57" s="658">
        <f>IF(採点Q1!F426="対象外",0,採点Q1!F426)</f>
        <v>0</v>
      </c>
      <c r="T57" s="659">
        <f>採点Q1!K426</f>
        <v>0</v>
      </c>
      <c r="V57" s="653">
        <f>M57</f>
        <v>0</v>
      </c>
      <c r="W57" s="628">
        <f>重み!D57</f>
        <v>0</v>
      </c>
      <c r="X57" s="653">
        <f>O57</f>
        <v>0</v>
      </c>
      <c r="Y57" s="628">
        <f>重み!E57</f>
        <v>0</v>
      </c>
      <c r="Z57" s="599"/>
      <c r="AA57" s="546"/>
      <c r="AB57" s="575">
        <f>重み!M57</f>
        <v>0.22413793103448276</v>
      </c>
      <c r="AC57" s="281"/>
      <c r="AD57" s="575">
        <f>重み!N57</f>
        <v>5.6896551724137941E-2</v>
      </c>
    </row>
    <row r="58" spans="2:58" ht="14.25" thickBot="1">
      <c r="B58" s="700"/>
      <c r="C58" s="632">
        <v>4.3</v>
      </c>
      <c r="D58" s="679" t="s">
        <v>2371</v>
      </c>
      <c r="E58" s="680"/>
      <c r="F58" s="681"/>
      <c r="G58" s="636">
        <v>5</v>
      </c>
      <c r="H58" s="620"/>
      <c r="I58" s="621"/>
      <c r="J58" s="621"/>
      <c r="K58" s="621"/>
      <c r="L58" s="622"/>
      <c r="M58" s="701">
        <f>ROUNDDOWN(V58,1)</f>
        <v>3</v>
      </c>
      <c r="N58" s="624">
        <f t="shared" si="15"/>
        <v>0.16551724137931037</v>
      </c>
      <c r="O58" s="702">
        <f t="shared" ref="O58:O63" si="18">ROUNDDOWN(X58,1)</f>
        <v>0</v>
      </c>
      <c r="P58" s="625">
        <f t="shared" si="16"/>
        <v>0</v>
      </c>
      <c r="Q58" s="626"/>
      <c r="R58" s="546"/>
      <c r="S58" s="662"/>
      <c r="T58" s="678"/>
      <c r="V58" s="627">
        <f>SUMPRODUCT(V59:V60,W59:W60)</f>
        <v>3</v>
      </c>
      <c r="W58" s="628">
        <f>重み!D58</f>
        <v>0.16551724137931037</v>
      </c>
      <c r="X58" s="627">
        <f>SUMPRODUCT(X59:X60,Y59:Y60)</f>
        <v>0</v>
      </c>
      <c r="Y58" s="628">
        <f>重み!E58</f>
        <v>0</v>
      </c>
      <c r="Z58" s="599"/>
      <c r="AA58" s="546"/>
      <c r="AB58" s="575">
        <f>重み!M58</f>
        <v>0.16551724137931034</v>
      </c>
      <c r="AC58" s="281"/>
      <c r="AD58" s="575">
        <f>重み!N58</f>
        <v>0</v>
      </c>
    </row>
    <row r="59" spans="2:58">
      <c r="B59" s="700"/>
      <c r="C59" s="644"/>
      <c r="D59" s="645">
        <v>1</v>
      </c>
      <c r="E59" s="634" t="s">
        <v>2372</v>
      </c>
      <c r="F59" s="686"/>
      <c r="G59" s="636"/>
      <c r="H59" s="2680"/>
      <c r="I59" s="2681"/>
      <c r="J59" s="2681"/>
      <c r="K59" s="2681"/>
      <c r="L59" s="2682"/>
      <c r="M59" s="649">
        <f>ROUNDDOWN(S59,1)</f>
        <v>3</v>
      </c>
      <c r="N59" s="624">
        <f t="shared" si="15"/>
        <v>0.5</v>
      </c>
      <c r="O59" s="702">
        <f t="shared" si="18"/>
        <v>0</v>
      </c>
      <c r="P59" s="625">
        <f t="shared" si="16"/>
        <v>0</v>
      </c>
      <c r="Q59" s="626"/>
      <c r="R59" s="546"/>
      <c r="S59" s="714">
        <f>IF(採点Q1!F436="対象外",0,採点Q1!F436)</f>
        <v>3</v>
      </c>
      <c r="T59" s="715"/>
      <c r="V59" s="653">
        <f>M59</f>
        <v>3</v>
      </c>
      <c r="W59" s="628">
        <f>重み!D59</f>
        <v>0.5</v>
      </c>
      <c r="X59" s="694"/>
      <c r="Y59" s="628">
        <f>重み!E59</f>
        <v>0</v>
      </c>
      <c r="Z59" s="599"/>
      <c r="AA59" s="546"/>
      <c r="AB59" s="575">
        <f>重み!M59</f>
        <v>0.41379310344827586</v>
      </c>
      <c r="AC59" s="281"/>
      <c r="AD59" s="575">
        <f>重み!N59</f>
        <v>0</v>
      </c>
    </row>
    <row r="60" spans="2:58" ht="14.25" thickBot="1">
      <c r="B60" s="700"/>
      <c r="C60" s="644"/>
      <c r="D60" s="772">
        <v>2</v>
      </c>
      <c r="E60" s="633" t="s">
        <v>2373</v>
      </c>
      <c r="F60" s="681"/>
      <c r="G60" s="636"/>
      <c r="H60" s="2680"/>
      <c r="I60" s="2681"/>
      <c r="J60" s="2681"/>
      <c r="K60" s="2681"/>
      <c r="L60" s="2682"/>
      <c r="M60" s="663">
        <f>ROUNDDOWN(S60,1)</f>
        <v>3</v>
      </c>
      <c r="N60" s="624">
        <f t="shared" si="15"/>
        <v>0.5</v>
      </c>
      <c r="O60" s="702">
        <f t="shared" si="18"/>
        <v>0</v>
      </c>
      <c r="P60" s="625">
        <f t="shared" si="16"/>
        <v>0</v>
      </c>
      <c r="Q60" s="626"/>
      <c r="R60" s="546"/>
      <c r="S60" s="746">
        <f>IF(採点Q1!K436="対象外",0,採点Q1!K436)</f>
        <v>3</v>
      </c>
      <c r="T60" s="715"/>
      <c r="V60" s="2361">
        <f>M60</f>
        <v>3</v>
      </c>
      <c r="W60" s="2362">
        <f>重み!D60</f>
        <v>0.5</v>
      </c>
      <c r="X60" s="2363"/>
      <c r="Y60" s="2362">
        <f>重み!E60</f>
        <v>0</v>
      </c>
      <c r="Z60" s="2364"/>
      <c r="AA60" s="546"/>
      <c r="AB60" s="613">
        <f>重み!M60</f>
        <v>0.41379310344827586</v>
      </c>
      <c r="AC60" s="281"/>
      <c r="AD60" s="613">
        <f>重み!N60</f>
        <v>0</v>
      </c>
    </row>
    <row r="61" spans="2:58" ht="15.75" thickBot="1">
      <c r="B61" s="723" t="s">
        <v>1919</v>
      </c>
      <c r="C61" s="724" t="s">
        <v>1920</v>
      </c>
      <c r="D61" s="725"/>
      <c r="E61" s="725"/>
      <c r="F61" s="726"/>
      <c r="G61" s="727"/>
      <c r="H61" s="728"/>
      <c r="I61" s="729"/>
      <c r="J61" s="729"/>
      <c r="K61" s="729"/>
      <c r="L61" s="730"/>
      <c r="M61" s="731">
        <f>ROUNDDOWN(V61,1)</f>
        <v>0</v>
      </c>
      <c r="N61" s="732">
        <f t="shared" si="15"/>
        <v>0.3</v>
      </c>
      <c r="O61" s="733">
        <f t="shared" si="18"/>
        <v>0</v>
      </c>
      <c r="P61" s="734">
        <f t="shared" si="16"/>
        <v>0</v>
      </c>
      <c r="Q61" s="735">
        <f>ROUNDDOWN(Z61,1)</f>
        <v>3</v>
      </c>
      <c r="R61" s="546"/>
      <c r="S61" s="678"/>
      <c r="T61" s="678"/>
      <c r="U61" s="2366"/>
      <c r="V61" s="2367"/>
      <c r="W61" s="2368">
        <f>重み!D61</f>
        <v>0.3</v>
      </c>
      <c r="X61" s="2367"/>
      <c r="Y61" s="2368"/>
      <c r="Z61" s="2369">
        <f>Z62*W62+Z75*W75+Z97*W97</f>
        <v>3.0424180327868853</v>
      </c>
      <c r="AA61" s="2365"/>
      <c r="AB61" s="2370">
        <f>重み!M61</f>
        <v>0.3</v>
      </c>
      <c r="AC61" s="274"/>
      <c r="AD61" s="2370">
        <f>重み!N61</f>
        <v>0</v>
      </c>
      <c r="AE61" s="2366"/>
      <c r="AF61" s="2371"/>
      <c r="AG61" s="2371"/>
      <c r="AH61" s="2371"/>
      <c r="AI61" s="2371"/>
      <c r="AJ61" s="2371"/>
      <c r="AK61" s="2371"/>
      <c r="AL61" s="2371"/>
      <c r="AM61" s="2371"/>
      <c r="AN61" s="2371"/>
      <c r="AO61" s="2372"/>
      <c r="AP61" s="2373"/>
      <c r="AQ61" s="2374">
        <f>N61</f>
        <v>0.3</v>
      </c>
      <c r="AR61" s="735">
        <f t="shared" ref="AR61" si="19">ROUNDDOWN(AT61,1)</f>
        <v>3.8</v>
      </c>
      <c r="AT61" s="2356">
        <f>SUMPRODUCT(AQ62:AQ108,AT62:AT108)</f>
        <v>3.8</v>
      </c>
      <c r="AV61" s="2355">
        <f>SUMPRODUCT($AW$7:$BF$7,AW61:BF61)</f>
        <v>0</v>
      </c>
      <c r="AW61" s="2341">
        <f t="shared" ref="AW61:BF62" si="20">IF(AF61&gt;0,1,0)</f>
        <v>0</v>
      </c>
      <c r="AX61" s="2341">
        <f t="shared" si="20"/>
        <v>0</v>
      </c>
      <c r="AY61" s="2341">
        <f t="shared" si="20"/>
        <v>0</v>
      </c>
      <c r="AZ61" s="2341">
        <f t="shared" si="20"/>
        <v>0</v>
      </c>
      <c r="BA61" s="2341">
        <f t="shared" si="20"/>
        <v>0</v>
      </c>
      <c r="BB61" s="2341">
        <f t="shared" si="20"/>
        <v>0</v>
      </c>
      <c r="BC61" s="2341">
        <f t="shared" si="20"/>
        <v>0</v>
      </c>
      <c r="BD61" s="2341">
        <f t="shared" si="20"/>
        <v>0</v>
      </c>
      <c r="BE61" s="2341">
        <f t="shared" si="20"/>
        <v>0</v>
      </c>
      <c r="BF61" s="2341">
        <f t="shared" si="20"/>
        <v>0</v>
      </c>
    </row>
    <row r="62" spans="2:58">
      <c r="B62" s="614">
        <v>1</v>
      </c>
      <c r="C62" s="615" t="s">
        <v>2374</v>
      </c>
      <c r="D62" s="616"/>
      <c r="E62" s="670"/>
      <c r="F62" s="618"/>
      <c r="G62" s="619"/>
      <c r="H62" s="736"/>
      <c r="I62" s="737"/>
      <c r="J62" s="737"/>
      <c r="K62" s="737"/>
      <c r="L62" s="738"/>
      <c r="M62" s="674">
        <f>ROUNDDOWN(V62,1)</f>
        <v>3</v>
      </c>
      <c r="N62" s="739">
        <f t="shared" si="15"/>
        <v>0.4</v>
      </c>
      <c r="O62" s="623">
        <f t="shared" si="18"/>
        <v>3</v>
      </c>
      <c r="P62" s="740">
        <f t="shared" si="16"/>
        <v>1</v>
      </c>
      <c r="Q62" s="741">
        <f>ROUNDDOWN(Z62,1)</f>
        <v>3</v>
      </c>
      <c r="R62" s="546"/>
      <c r="S62" s="545"/>
      <c r="T62" s="545"/>
      <c r="V62" s="627">
        <f>V63*W63+V67*W67+V71*W71</f>
        <v>3</v>
      </c>
      <c r="W62" s="628">
        <f>重み!D62</f>
        <v>0.4</v>
      </c>
      <c r="X62" s="627">
        <f>X63*Y63+X67*Y67+X71*Y71</f>
        <v>3</v>
      </c>
      <c r="Y62" s="629">
        <f>SUM(Y63,Y67,Y71)</f>
        <v>1</v>
      </c>
      <c r="Z62" s="599">
        <f>IF(X62=0,V62,IF(V62=0,X62,V62*AB$6+X62*AD$6))</f>
        <v>3</v>
      </c>
      <c r="AA62" s="546"/>
      <c r="AB62" s="575">
        <f>重み!M62</f>
        <v>0.4</v>
      </c>
      <c r="AC62" s="281"/>
      <c r="AD62" s="630">
        <f>SUM(AD63,AD67)</f>
        <v>0.17241379310344829</v>
      </c>
      <c r="AF62" s="2360">
        <v>5</v>
      </c>
      <c r="AG62" s="2360"/>
      <c r="AH62" s="2360"/>
      <c r="AI62" s="2360"/>
      <c r="AJ62" s="2360"/>
      <c r="AK62" s="2360">
        <v>0</v>
      </c>
      <c r="AL62" s="2360"/>
      <c r="AM62" s="2360"/>
      <c r="AN62" s="2360"/>
      <c r="AO62" s="2360"/>
      <c r="AP62" s="2357">
        <f t="shared" ref="AP62:AP97" si="21">ROUNDDOWN(AT62,1)</f>
        <v>5</v>
      </c>
      <c r="AQ62" s="857">
        <f>N62</f>
        <v>0.4</v>
      </c>
      <c r="AR62" s="677"/>
      <c r="AT62" s="2356">
        <f>IF(AV62=0,0,SUMPRODUCT($AW$7:$BF$7,AF62:AO62)/AV62)</f>
        <v>5</v>
      </c>
      <c r="AV62" s="2355">
        <f>SUMPRODUCT($AW$7:$BF$7,AW62:BF62)</f>
        <v>0.34482758620689657</v>
      </c>
      <c r="AW62" s="2341">
        <f t="shared" si="20"/>
        <v>1</v>
      </c>
      <c r="AX62" s="2341">
        <f t="shared" si="20"/>
        <v>0</v>
      </c>
      <c r="AY62" s="2341">
        <f t="shared" si="20"/>
        <v>0</v>
      </c>
      <c r="AZ62" s="2341">
        <f t="shared" si="20"/>
        <v>0</v>
      </c>
      <c r="BA62" s="2341">
        <f t="shared" si="20"/>
        <v>0</v>
      </c>
      <c r="BB62" s="2341">
        <f t="shared" si="20"/>
        <v>0</v>
      </c>
      <c r="BC62" s="2341">
        <f t="shared" si="20"/>
        <v>0</v>
      </c>
      <c r="BD62" s="2341">
        <f t="shared" si="20"/>
        <v>0</v>
      </c>
      <c r="BE62" s="2341">
        <f t="shared" si="20"/>
        <v>0</v>
      </c>
      <c r="BF62" s="2341">
        <f t="shared" si="20"/>
        <v>0</v>
      </c>
    </row>
    <row r="63" spans="2:58" ht="14.25" thickBot="1">
      <c r="B63" s="700"/>
      <c r="C63" s="660">
        <v>1.1000000000000001</v>
      </c>
      <c r="D63" s="633" t="s">
        <v>2375</v>
      </c>
      <c r="E63" s="680"/>
      <c r="F63" s="681"/>
      <c r="G63" s="636">
        <v>5</v>
      </c>
      <c r="H63" s="620"/>
      <c r="I63" s="621"/>
      <c r="J63" s="621"/>
      <c r="K63" s="621"/>
      <c r="L63" s="622"/>
      <c r="M63" s="701">
        <f>ROUNDDOWN(V63,1)</f>
        <v>3</v>
      </c>
      <c r="N63" s="624">
        <f t="shared" si="15"/>
        <v>0.4</v>
      </c>
      <c r="O63" s="702">
        <f t="shared" si="18"/>
        <v>3</v>
      </c>
      <c r="P63" s="625">
        <f t="shared" si="16"/>
        <v>0.6</v>
      </c>
      <c r="Q63" s="626"/>
      <c r="R63" s="546"/>
      <c r="S63" s="643"/>
      <c r="T63" s="643"/>
      <c r="V63" s="627">
        <f>SUMPRODUCT(V64:V66,W64:W66)</f>
        <v>3</v>
      </c>
      <c r="W63" s="628">
        <f>重み!D63</f>
        <v>0.4</v>
      </c>
      <c r="X63" s="627">
        <f>SUMPRODUCT(X64:X66,Y64:Y66)</f>
        <v>3</v>
      </c>
      <c r="Y63" s="628">
        <f>重み!E63</f>
        <v>0.6</v>
      </c>
      <c r="Z63" s="599"/>
      <c r="AA63" s="546"/>
      <c r="AB63" s="575">
        <f>重み!M63</f>
        <v>0.4</v>
      </c>
      <c r="AC63" s="281"/>
      <c r="AD63" s="575">
        <f>重み!N63</f>
        <v>0.10344827586206896</v>
      </c>
      <c r="AP63" s="2386">
        <f t="shared" si="21"/>
        <v>0</v>
      </c>
    </row>
    <row r="64" spans="2:58">
      <c r="B64" s="700"/>
      <c r="C64" s="644"/>
      <c r="D64" s="645">
        <v>1</v>
      </c>
      <c r="E64" s="634" t="s">
        <v>2158</v>
      </c>
      <c r="F64" s="686"/>
      <c r="G64" s="636"/>
      <c r="H64" s="2680"/>
      <c r="I64" s="2681"/>
      <c r="J64" s="2681"/>
      <c r="K64" s="2681"/>
      <c r="L64" s="2682"/>
      <c r="M64" s="649">
        <f>ROUNDDOWN(S64,1)</f>
        <v>3</v>
      </c>
      <c r="N64" s="650">
        <f t="shared" si="15"/>
        <v>0.25287356321839083</v>
      </c>
      <c r="O64" s="649">
        <f>ROUNDDOWN(T64,1)</f>
        <v>3</v>
      </c>
      <c r="P64" s="650">
        <f t="shared" si="16"/>
        <v>0</v>
      </c>
      <c r="Q64" s="626"/>
      <c r="R64" s="546"/>
      <c r="S64" s="651">
        <f>IF(採点Q2!F9="対象外",0,採点Q2!F9)</f>
        <v>3</v>
      </c>
      <c r="T64" s="652">
        <f>採点Q2!K9</f>
        <v>3</v>
      </c>
      <c r="V64" s="653">
        <f>M64</f>
        <v>3</v>
      </c>
      <c r="W64" s="628">
        <f>重み!D64</f>
        <v>0.25287356321839083</v>
      </c>
      <c r="X64" s="653">
        <f>O64</f>
        <v>3</v>
      </c>
      <c r="Y64" s="628">
        <f>重み!E64</f>
        <v>0</v>
      </c>
      <c r="Z64" s="599"/>
      <c r="AA64" s="546"/>
      <c r="AB64" s="575">
        <f>重み!M64</f>
        <v>0.25287356321839083</v>
      </c>
      <c r="AC64" s="281"/>
      <c r="AD64" s="575">
        <f>重み!N64</f>
        <v>0</v>
      </c>
      <c r="AP64" s="2386">
        <f t="shared" si="21"/>
        <v>0</v>
      </c>
    </row>
    <row r="65" spans="2:58">
      <c r="B65" s="700"/>
      <c r="C65" s="644"/>
      <c r="D65" s="645">
        <v>2</v>
      </c>
      <c r="E65" s="634" t="s">
        <v>2159</v>
      </c>
      <c r="F65" s="686"/>
      <c r="G65" s="636"/>
      <c r="H65" s="2680"/>
      <c r="I65" s="2681"/>
      <c r="J65" s="2681"/>
      <c r="K65" s="2681"/>
      <c r="L65" s="2682"/>
      <c r="M65" s="663">
        <f>ROUNDDOWN(S65,1)</f>
        <v>3</v>
      </c>
      <c r="N65" s="650">
        <f t="shared" si="15"/>
        <v>0.11494252873563218</v>
      </c>
      <c r="O65" s="663">
        <f>ROUNDDOWN(T65,1)</f>
        <v>3</v>
      </c>
      <c r="P65" s="650">
        <f t="shared" si="16"/>
        <v>1</v>
      </c>
      <c r="Q65" s="626"/>
      <c r="R65" s="546"/>
      <c r="S65" s="664">
        <f>IF(採点Q2!F18="対象外",0,採点Q2!F18)</f>
        <v>3</v>
      </c>
      <c r="T65" s="665">
        <f>採点Q2!K18</f>
        <v>3</v>
      </c>
      <c r="V65" s="653">
        <f>M65</f>
        <v>3</v>
      </c>
      <c r="W65" s="628">
        <f>重み!D65</f>
        <v>0.11494252873563218</v>
      </c>
      <c r="X65" s="653">
        <f>O65</f>
        <v>3</v>
      </c>
      <c r="Y65" s="628">
        <f>重み!E65</f>
        <v>1</v>
      </c>
      <c r="Z65" s="599"/>
      <c r="AA65" s="546"/>
      <c r="AB65" s="575">
        <f>重み!M65</f>
        <v>0.11494252873563218</v>
      </c>
      <c r="AC65" s="281"/>
      <c r="AD65" s="575">
        <f>重み!N65</f>
        <v>0.17241379310344829</v>
      </c>
      <c r="AP65" s="2386">
        <f t="shared" si="21"/>
        <v>0</v>
      </c>
    </row>
    <row r="66" spans="2:58" ht="14.25" thickBot="1">
      <c r="B66" s="700"/>
      <c r="C66" s="654"/>
      <c r="D66" s="645">
        <v>3</v>
      </c>
      <c r="E66" s="634" t="s">
        <v>2160</v>
      </c>
      <c r="F66" s="686"/>
      <c r="G66" s="636"/>
      <c r="H66" s="2680"/>
      <c r="I66" s="2681"/>
      <c r="J66" s="2681"/>
      <c r="K66" s="2681"/>
      <c r="L66" s="2682"/>
      <c r="M66" s="657">
        <f>ROUNDDOWN(S66,1)</f>
        <v>3</v>
      </c>
      <c r="N66" s="650">
        <f t="shared" si="15"/>
        <v>0.63218390804597702</v>
      </c>
      <c r="O66" s="657">
        <f>ROUNDDOWN(T66,1)</f>
        <v>0</v>
      </c>
      <c r="P66" s="650">
        <f t="shared" si="16"/>
        <v>0</v>
      </c>
      <c r="Q66" s="626"/>
      <c r="R66" s="546"/>
      <c r="S66" s="658">
        <f>IF(採点Q2!F27="対象外",0,採点Q2!F27)</f>
        <v>3</v>
      </c>
      <c r="T66" s="742"/>
      <c r="V66" s="653">
        <f>M66</f>
        <v>3</v>
      </c>
      <c r="W66" s="628">
        <f>重み!D66</f>
        <v>0.63218390804597702</v>
      </c>
      <c r="X66" s="687"/>
      <c r="Y66" s="628">
        <f>重み!E66</f>
        <v>0</v>
      </c>
      <c r="Z66" s="599"/>
      <c r="AA66" s="546"/>
      <c r="AB66" s="575">
        <f>重み!M66</f>
        <v>0.63218390804597702</v>
      </c>
      <c r="AC66" s="281"/>
      <c r="AD66" s="575">
        <f>重み!N66</f>
        <v>0</v>
      </c>
      <c r="AP66" s="2386">
        <f t="shared" si="21"/>
        <v>0</v>
      </c>
    </row>
    <row r="67" spans="2:58" ht="14.25" thickBot="1">
      <c r="B67" s="700"/>
      <c r="C67" s="632">
        <v>1.2</v>
      </c>
      <c r="D67" s="633" t="s">
        <v>2649</v>
      </c>
      <c r="E67" s="680"/>
      <c r="F67" s="681"/>
      <c r="G67" s="636">
        <v>5</v>
      </c>
      <c r="H67" s="620"/>
      <c r="I67" s="621"/>
      <c r="J67" s="621"/>
      <c r="K67" s="621"/>
      <c r="L67" s="622"/>
      <c r="M67" s="701">
        <f>ROUNDDOWN(V67,1)</f>
        <v>3</v>
      </c>
      <c r="N67" s="624">
        <f t="shared" si="15"/>
        <v>0.3</v>
      </c>
      <c r="O67" s="702">
        <f>ROUNDDOWN(X67,1)</f>
        <v>3</v>
      </c>
      <c r="P67" s="625">
        <f t="shared" si="16"/>
        <v>0.4</v>
      </c>
      <c r="Q67" s="626"/>
      <c r="R67" s="546"/>
      <c r="S67" s="662"/>
      <c r="T67" s="662"/>
      <c r="V67" s="627">
        <f>SUMPRODUCT(V68:V70,W68:W70)</f>
        <v>3</v>
      </c>
      <c r="W67" s="628">
        <f>重み!D67</f>
        <v>0.3</v>
      </c>
      <c r="X67" s="627">
        <f>SUMPRODUCT(X68:X70,Y68:Y70)</f>
        <v>3</v>
      </c>
      <c r="Y67" s="628">
        <f>重み!E67</f>
        <v>0.4</v>
      </c>
      <c r="Z67" s="599"/>
      <c r="AA67" s="546"/>
      <c r="AB67" s="575">
        <f>重み!M67</f>
        <v>0.3</v>
      </c>
      <c r="AC67" s="281"/>
      <c r="AD67" s="575">
        <f>重み!N67</f>
        <v>6.8965517241379323E-2</v>
      </c>
      <c r="AP67" s="2386">
        <f t="shared" si="21"/>
        <v>0</v>
      </c>
    </row>
    <row r="68" spans="2:58">
      <c r="B68" s="700"/>
      <c r="C68" s="644"/>
      <c r="D68" s="645">
        <v>1</v>
      </c>
      <c r="E68" s="634" t="s">
        <v>839</v>
      </c>
      <c r="F68" s="686"/>
      <c r="G68" s="636"/>
      <c r="H68" s="2680"/>
      <c r="I68" s="2681"/>
      <c r="J68" s="2681"/>
      <c r="K68" s="2681"/>
      <c r="L68" s="2682"/>
      <c r="M68" s="649">
        <f>ROUNDDOWN(S68,1)</f>
        <v>3</v>
      </c>
      <c r="N68" s="650">
        <f t="shared" si="15"/>
        <v>0.11494252873563218</v>
      </c>
      <c r="O68" s="649">
        <f>ROUNDDOWN(T68,1)</f>
        <v>0</v>
      </c>
      <c r="P68" s="650">
        <f t="shared" si="16"/>
        <v>0</v>
      </c>
      <c r="Q68" s="626"/>
      <c r="R68" s="546"/>
      <c r="S68" s="651">
        <f>IF(採点Q2!F37="対象外",0,採点Q2!F37)</f>
        <v>3</v>
      </c>
      <c r="T68" s="652">
        <f>採点Q2!M37</f>
        <v>0</v>
      </c>
      <c r="V68" s="653">
        <f>M68</f>
        <v>3</v>
      </c>
      <c r="W68" s="628">
        <f>重み!D68</f>
        <v>0.11494252873563218</v>
      </c>
      <c r="X68" s="653">
        <f>O68</f>
        <v>0</v>
      </c>
      <c r="Y68" s="628">
        <f>重み!E68</f>
        <v>0</v>
      </c>
      <c r="Z68" s="599"/>
      <c r="AA68" s="546"/>
      <c r="AB68" s="575">
        <f>重み!M68</f>
        <v>0.11494252873563218</v>
      </c>
      <c r="AC68" s="281"/>
      <c r="AD68" s="575">
        <f>重み!N68</f>
        <v>0</v>
      </c>
      <c r="AP68" s="2386">
        <f t="shared" si="21"/>
        <v>0</v>
      </c>
    </row>
    <row r="69" spans="2:58">
      <c r="B69" s="700"/>
      <c r="C69" s="644"/>
      <c r="D69" s="645">
        <v>2</v>
      </c>
      <c r="E69" s="634" t="s">
        <v>1921</v>
      </c>
      <c r="F69" s="686"/>
      <c r="G69" s="636"/>
      <c r="H69" s="2680"/>
      <c r="I69" s="2681"/>
      <c r="J69" s="2681"/>
      <c r="K69" s="2681"/>
      <c r="L69" s="2682"/>
      <c r="M69" s="663">
        <f>ROUNDDOWN(S69,1)</f>
        <v>3</v>
      </c>
      <c r="N69" s="650">
        <f t="shared" si="15"/>
        <v>0.11494252873563218</v>
      </c>
      <c r="O69" s="663">
        <f>ROUNDDOWN(T69,1)</f>
        <v>0</v>
      </c>
      <c r="P69" s="650">
        <f t="shared" si="16"/>
        <v>0</v>
      </c>
      <c r="Q69" s="626"/>
      <c r="R69" s="546"/>
      <c r="S69" s="664">
        <f>IF(採点Q2!F46="対象外",0,採点Q2!F46)</f>
        <v>3</v>
      </c>
      <c r="T69" s="743"/>
      <c r="V69" s="653">
        <f>M69</f>
        <v>3</v>
      </c>
      <c r="W69" s="628">
        <f>重み!D69</f>
        <v>0.11494252873563218</v>
      </c>
      <c r="X69" s="687"/>
      <c r="Y69" s="628">
        <f>重み!E69</f>
        <v>0</v>
      </c>
      <c r="Z69" s="599"/>
      <c r="AA69" s="546"/>
      <c r="AB69" s="575">
        <f>重み!M69</f>
        <v>0.11494252873563218</v>
      </c>
      <c r="AC69" s="281"/>
      <c r="AD69" s="575">
        <f>重み!N69</f>
        <v>0</v>
      </c>
      <c r="AP69" s="2386">
        <f t="shared" si="21"/>
        <v>0</v>
      </c>
    </row>
    <row r="70" spans="2:58" ht="14.25" thickBot="1">
      <c r="B70" s="700"/>
      <c r="C70" s="654"/>
      <c r="D70" s="645">
        <v>3</v>
      </c>
      <c r="E70" s="634" t="s">
        <v>0</v>
      </c>
      <c r="F70" s="686"/>
      <c r="G70" s="636"/>
      <c r="H70" s="2680"/>
      <c r="I70" s="2681"/>
      <c r="J70" s="2681"/>
      <c r="K70" s="2681"/>
      <c r="L70" s="2682"/>
      <c r="M70" s="657">
        <f>ROUNDDOWN(S70,1)</f>
        <v>3</v>
      </c>
      <c r="N70" s="650">
        <f t="shared" si="15"/>
        <v>0.77011494252873558</v>
      </c>
      <c r="O70" s="657">
        <f>ROUNDDOWN(T70,1)</f>
        <v>3</v>
      </c>
      <c r="P70" s="650">
        <f t="shared" si="16"/>
        <v>1</v>
      </c>
      <c r="Q70" s="626"/>
      <c r="R70" s="546"/>
      <c r="S70" s="658">
        <f>IF(採点Q2!F55="対象外",0,採点Q2!F55)</f>
        <v>3</v>
      </c>
      <c r="T70" s="659">
        <f>採点Q2!K55</f>
        <v>3</v>
      </c>
      <c r="V70" s="653">
        <f>M70</f>
        <v>3</v>
      </c>
      <c r="W70" s="628">
        <f>重み!D70</f>
        <v>0.77011494252873558</v>
      </c>
      <c r="X70" s="653">
        <f>O70</f>
        <v>3</v>
      </c>
      <c r="Y70" s="628">
        <f>重み!E70</f>
        <v>1</v>
      </c>
      <c r="Z70" s="599"/>
      <c r="AA70" s="546"/>
      <c r="AB70" s="575">
        <f>重み!M70</f>
        <v>0.77011494252873558</v>
      </c>
      <c r="AC70" s="281"/>
      <c r="AD70" s="575">
        <f>重み!N70</f>
        <v>0.17241379310344829</v>
      </c>
      <c r="AP70" s="2386">
        <f t="shared" si="21"/>
        <v>0</v>
      </c>
    </row>
    <row r="71" spans="2:58" ht="14.25" thickBot="1">
      <c r="B71" s="744"/>
      <c r="C71" s="660">
        <v>1.3</v>
      </c>
      <c r="D71" s="633" t="s">
        <v>1</v>
      </c>
      <c r="E71" s="680"/>
      <c r="F71" s="681"/>
      <c r="G71" s="745"/>
      <c r="H71" s="620"/>
      <c r="I71" s="621"/>
      <c r="J71" s="621"/>
      <c r="K71" s="621"/>
      <c r="L71" s="622"/>
      <c r="M71" s="701">
        <f>ROUNDDOWN(V71,1)</f>
        <v>3</v>
      </c>
      <c r="N71" s="650">
        <f t="shared" si="15"/>
        <v>0.3</v>
      </c>
      <c r="O71" s="702">
        <f>ROUNDDOWN(X71,1)</f>
        <v>0</v>
      </c>
      <c r="P71" s="650">
        <f t="shared" si="16"/>
        <v>0</v>
      </c>
      <c r="Q71" s="626"/>
      <c r="R71" s="546"/>
      <c r="S71" s="678"/>
      <c r="T71" s="678"/>
      <c r="V71" s="627">
        <f>SUMPRODUCT(V72:V74,W72:W74)</f>
        <v>3</v>
      </c>
      <c r="W71" s="628">
        <f>重み!D71</f>
        <v>0.3</v>
      </c>
      <c r="X71" s="627">
        <f>SUMPRODUCT(X72:X74,Y72:Y74)</f>
        <v>0</v>
      </c>
      <c r="Y71" s="628">
        <f>重み!E71</f>
        <v>0</v>
      </c>
      <c r="Z71" s="599"/>
      <c r="AA71" s="546"/>
      <c r="AB71" s="575">
        <f>重み!M71</f>
        <v>0.3</v>
      </c>
      <c r="AC71" s="281"/>
      <c r="AD71" s="575">
        <f>重み!N71</f>
        <v>0</v>
      </c>
      <c r="AP71" s="2386">
        <f t="shared" si="21"/>
        <v>0</v>
      </c>
    </row>
    <row r="72" spans="2:58">
      <c r="B72" s="744"/>
      <c r="C72" s="644"/>
      <c r="D72" s="645">
        <v>1</v>
      </c>
      <c r="E72" s="634" t="s">
        <v>2</v>
      </c>
      <c r="F72" s="686"/>
      <c r="G72" s="745"/>
      <c r="H72" s="2680"/>
      <c r="I72" s="2681"/>
      <c r="J72" s="2681"/>
      <c r="K72" s="2681"/>
      <c r="L72" s="2682"/>
      <c r="M72" s="649">
        <f>ROUNDDOWN(S72,1)</f>
        <v>3</v>
      </c>
      <c r="N72" s="650">
        <f t="shared" si="15"/>
        <v>0.5</v>
      </c>
      <c r="O72" s="649">
        <f>ROUNDDOWN(T72,1)</f>
        <v>0</v>
      </c>
      <c r="P72" s="650">
        <f t="shared" si="16"/>
        <v>0</v>
      </c>
      <c r="Q72" s="626"/>
      <c r="R72" s="546"/>
      <c r="S72" s="714">
        <f>IF(採点Q2!F72="対象外",0,採点Q2!F72)</f>
        <v>3</v>
      </c>
      <c r="T72" s="545"/>
      <c r="V72" s="653">
        <f>M72</f>
        <v>3</v>
      </c>
      <c r="W72" s="628">
        <f>重み!D72</f>
        <v>0.5</v>
      </c>
      <c r="X72" s="687"/>
      <c r="Y72" s="628">
        <f>重み!E72</f>
        <v>0</v>
      </c>
      <c r="Z72" s="599"/>
      <c r="AA72" s="546"/>
      <c r="AB72" s="575">
        <f>重み!M72</f>
        <v>0.5</v>
      </c>
      <c r="AC72" s="281"/>
      <c r="AD72" s="575">
        <f>重み!N72</f>
        <v>0</v>
      </c>
      <c r="AP72" s="2386">
        <f t="shared" si="21"/>
        <v>0</v>
      </c>
    </row>
    <row r="73" spans="2:58">
      <c r="B73" s="700"/>
      <c r="C73" s="644"/>
      <c r="D73" s="645">
        <v>2</v>
      </c>
      <c r="E73" s="634" t="s">
        <v>3</v>
      </c>
      <c r="F73" s="686"/>
      <c r="G73" s="745"/>
      <c r="H73" s="2680"/>
      <c r="I73" s="2681"/>
      <c r="J73" s="2681"/>
      <c r="K73" s="2681"/>
      <c r="L73" s="2682"/>
      <c r="M73" s="663">
        <f>ROUNDDOWN(S73,1)</f>
        <v>3</v>
      </c>
      <c r="N73" s="650">
        <f t="shared" si="15"/>
        <v>0.3</v>
      </c>
      <c r="O73" s="663">
        <f>ROUNDDOWN(T73,1)</f>
        <v>0</v>
      </c>
      <c r="P73" s="650">
        <f t="shared" si="16"/>
        <v>0</v>
      </c>
      <c r="Q73" s="626"/>
      <c r="R73" s="546"/>
      <c r="S73" s="746">
        <f>IF(採点Q2!F116="対象外",0,採点Q2!F116)</f>
        <v>3</v>
      </c>
      <c r="T73" s="545"/>
      <c r="V73" s="653">
        <f>M73</f>
        <v>3</v>
      </c>
      <c r="W73" s="628">
        <f>重み!D73</f>
        <v>0.3</v>
      </c>
      <c r="X73" s="687"/>
      <c r="Y73" s="628">
        <f>重み!E73</f>
        <v>0</v>
      </c>
      <c r="Z73" s="599"/>
      <c r="AA73" s="546"/>
      <c r="AB73" s="575">
        <f>重み!M73</f>
        <v>0.3</v>
      </c>
      <c r="AC73" s="281"/>
      <c r="AD73" s="575">
        <f>重み!N73</f>
        <v>0</v>
      </c>
      <c r="AP73" s="2386">
        <f t="shared" si="21"/>
        <v>0</v>
      </c>
    </row>
    <row r="74" spans="2:58" ht="14.25" thickBot="1">
      <c r="B74" s="700"/>
      <c r="C74" s="654"/>
      <c r="D74" s="645">
        <v>3</v>
      </c>
      <c r="E74" s="634" t="s">
        <v>4</v>
      </c>
      <c r="F74" s="686"/>
      <c r="G74" s="745"/>
      <c r="H74" s="2680"/>
      <c r="I74" s="2681"/>
      <c r="J74" s="2681"/>
      <c r="K74" s="2681"/>
      <c r="L74" s="2682"/>
      <c r="M74" s="657">
        <f>ROUNDDOWN(S74,1)</f>
        <v>3</v>
      </c>
      <c r="N74" s="650">
        <f t="shared" si="15"/>
        <v>0.2</v>
      </c>
      <c r="O74" s="657">
        <f>ROUNDDOWN(T74,1)</f>
        <v>0</v>
      </c>
      <c r="P74" s="650">
        <f t="shared" si="16"/>
        <v>0</v>
      </c>
      <c r="Q74" s="626"/>
      <c r="R74" s="546"/>
      <c r="S74" s="722">
        <f>採点Q2!F169</f>
        <v>3</v>
      </c>
      <c r="T74" s="545"/>
      <c r="V74" s="653">
        <f>M74</f>
        <v>3</v>
      </c>
      <c r="W74" s="628">
        <f>重み!D74</f>
        <v>0.2</v>
      </c>
      <c r="X74" s="687"/>
      <c r="Y74" s="628">
        <f>重み!E74</f>
        <v>0</v>
      </c>
      <c r="Z74" s="599"/>
      <c r="AA74" s="546"/>
      <c r="AB74" s="575">
        <f>重み!M74</f>
        <v>0.2</v>
      </c>
      <c r="AC74" s="281"/>
      <c r="AD74" s="575">
        <f>重み!N74</f>
        <v>0</v>
      </c>
      <c r="AP74" s="2386">
        <f t="shared" si="21"/>
        <v>0</v>
      </c>
    </row>
    <row r="75" spans="2:58">
      <c r="B75" s="747">
        <v>2</v>
      </c>
      <c r="C75" s="669" t="s">
        <v>5</v>
      </c>
      <c r="D75" s="769"/>
      <c r="E75" s="769"/>
      <c r="F75" s="681"/>
      <c r="G75" s="636"/>
      <c r="H75" s="671"/>
      <c r="I75" s="672"/>
      <c r="J75" s="672"/>
      <c r="K75" s="672"/>
      <c r="L75" s="673"/>
      <c r="M75" s="674">
        <f>ROUNDDOWN(V75,1)</f>
        <v>3.1</v>
      </c>
      <c r="N75" s="675">
        <f t="shared" ref="N75:N106" si="22">W75</f>
        <v>0.3</v>
      </c>
      <c r="O75" s="623">
        <f>ROUNDDOWN(X75,1)</f>
        <v>0</v>
      </c>
      <c r="P75" s="676">
        <f t="shared" ref="P75:P106" si="23">Y75</f>
        <v>0</v>
      </c>
      <c r="Q75" s="677">
        <f>ROUNDDOWN(Z75,1)</f>
        <v>3.1</v>
      </c>
      <c r="R75" s="546"/>
      <c r="S75" s="678"/>
      <c r="T75" s="545"/>
      <c r="V75" s="627">
        <f>V76*W76+V79*W79+V86*W86+V90*W90</f>
        <v>3.1413934426229506</v>
      </c>
      <c r="W75" s="628">
        <f>重み!D75</f>
        <v>0.3</v>
      </c>
      <c r="X75" s="627">
        <f>X76*Y76+X79*Y79+X90*Y90</f>
        <v>0</v>
      </c>
      <c r="Y75" s="629">
        <f>SUM(Y76,Y79,Y90)</f>
        <v>0</v>
      </c>
      <c r="Z75" s="599">
        <f>IF(X75=0,V75,IF(V75=0,X75,V75*AB$6+X75*AD$6))</f>
        <v>3.1413934426229506</v>
      </c>
      <c r="AA75" s="546"/>
      <c r="AB75" s="575">
        <f>重み!M75</f>
        <v>0.3</v>
      </c>
      <c r="AC75" s="281"/>
      <c r="AD75" s="630">
        <f>SUM(AD76,AD79,AD90)</f>
        <v>0</v>
      </c>
      <c r="AF75" s="2360">
        <v>3</v>
      </c>
      <c r="AG75" s="2360"/>
      <c r="AH75" s="2360"/>
      <c r="AI75" s="2360"/>
      <c r="AJ75" s="2360"/>
      <c r="AK75" s="2360">
        <v>4</v>
      </c>
      <c r="AL75" s="2360"/>
      <c r="AM75" s="2360"/>
      <c r="AN75" s="2360"/>
      <c r="AO75" s="2360"/>
      <c r="AP75" s="2357">
        <f t="shared" si="21"/>
        <v>3</v>
      </c>
      <c r="AQ75" s="857">
        <f>N75</f>
        <v>0.3</v>
      </c>
      <c r="AR75" s="677"/>
      <c r="AT75" s="2356">
        <f>SUMPRODUCT($AW$7:$BF$7,AF75:AO75)/AV75</f>
        <v>3</v>
      </c>
      <c r="AV75" s="2355">
        <f>SUMPRODUCT($AW$7:$BF$7,AW75:BF75)</f>
        <v>0.34482758620689657</v>
      </c>
      <c r="AW75" s="2341">
        <f>IF(AF75&gt;0,1,0)</f>
        <v>1</v>
      </c>
      <c r="AX75" s="2341">
        <f t="shared" ref="AX75:BF75" si="24">IF(AG75&gt;0,1,0)</f>
        <v>0</v>
      </c>
      <c r="AY75" s="2341">
        <f t="shared" si="24"/>
        <v>0</v>
      </c>
      <c r="AZ75" s="2341">
        <f t="shared" si="24"/>
        <v>0</v>
      </c>
      <c r="BA75" s="2341">
        <f t="shared" si="24"/>
        <v>0</v>
      </c>
      <c r="BB75" s="2341">
        <f t="shared" si="24"/>
        <v>1</v>
      </c>
      <c r="BC75" s="2341">
        <f t="shared" si="24"/>
        <v>0</v>
      </c>
      <c r="BD75" s="2341">
        <f t="shared" si="24"/>
        <v>0</v>
      </c>
      <c r="BE75" s="2341">
        <f t="shared" si="24"/>
        <v>0</v>
      </c>
      <c r="BF75" s="2341">
        <f t="shared" si="24"/>
        <v>0</v>
      </c>
    </row>
    <row r="76" spans="2:58" ht="14.25" thickBot="1">
      <c r="B76" s="700"/>
      <c r="C76" s="632">
        <v>2.1</v>
      </c>
      <c r="D76" s="679" t="s">
        <v>2206</v>
      </c>
      <c r="E76" s="680"/>
      <c r="F76" s="681"/>
      <c r="G76" s="636">
        <v>5</v>
      </c>
      <c r="H76" s="620"/>
      <c r="I76" s="621"/>
      <c r="J76" s="621"/>
      <c r="K76" s="621"/>
      <c r="L76" s="622"/>
      <c r="M76" s="701">
        <f>ROUNDDOWN(V76,1)</f>
        <v>3</v>
      </c>
      <c r="N76" s="624">
        <f t="shared" si="22"/>
        <v>0.25</v>
      </c>
      <c r="O76" s="748">
        <f>ROUNDDOWN(X76,1)</f>
        <v>0</v>
      </c>
      <c r="P76" s="625">
        <f t="shared" si="23"/>
        <v>0</v>
      </c>
      <c r="Q76" s="626"/>
      <c r="R76" s="546"/>
      <c r="S76" s="749"/>
      <c r="T76" s="545"/>
      <c r="V76" s="627">
        <f>SUMPRODUCT(V77:V78,W77:W78)</f>
        <v>3.0000000000000004</v>
      </c>
      <c r="W76" s="628">
        <f>重み!D76</f>
        <v>0.25</v>
      </c>
      <c r="X76" s="627">
        <f>SUMPRODUCT(X77:X78,Y77:Y78)</f>
        <v>0</v>
      </c>
      <c r="Y76" s="628">
        <f>重み!E76</f>
        <v>0</v>
      </c>
      <c r="Z76" s="599"/>
      <c r="AA76" s="546"/>
      <c r="AB76" s="575">
        <f>重み!M76</f>
        <v>0.25</v>
      </c>
      <c r="AC76" s="281"/>
      <c r="AD76" s="575">
        <f>重み!N76</f>
        <v>0</v>
      </c>
      <c r="AP76" s="2386">
        <f t="shared" si="21"/>
        <v>0</v>
      </c>
    </row>
    <row r="77" spans="2:58">
      <c r="B77" s="700"/>
      <c r="C77" s="685"/>
      <c r="D77" s="645">
        <v>1</v>
      </c>
      <c r="E77" s="634" t="s">
        <v>2207</v>
      </c>
      <c r="F77" s="686"/>
      <c r="G77" s="636"/>
      <c r="H77" s="2680"/>
      <c r="I77" s="2681"/>
      <c r="J77" s="2681"/>
      <c r="K77" s="2681"/>
      <c r="L77" s="2682"/>
      <c r="M77" s="649">
        <f>ROUNDDOWN(S77,1)</f>
        <v>3</v>
      </c>
      <c r="N77" s="750">
        <f t="shared" si="22"/>
        <v>0.8</v>
      </c>
      <c r="O77" s="751">
        <f>ROUNDDOWN(T77,1)</f>
        <v>0</v>
      </c>
      <c r="P77" s="625">
        <f t="shared" si="23"/>
        <v>0</v>
      </c>
      <c r="Q77" s="626"/>
      <c r="R77" s="546"/>
      <c r="S77" s="746">
        <f>IF(採点Q2!F193="対象外",0,採点Q2!F193)</f>
        <v>3</v>
      </c>
      <c r="T77" s="545"/>
      <c r="V77" s="653">
        <f>M77</f>
        <v>3</v>
      </c>
      <c r="W77" s="628">
        <f>重み!D77</f>
        <v>0.8</v>
      </c>
      <c r="X77" s="694"/>
      <c r="Y77" s="628">
        <f>重み!E77</f>
        <v>0</v>
      </c>
      <c r="Z77" s="599"/>
      <c r="AA77" s="546"/>
      <c r="AB77" s="575">
        <f>重み!M77</f>
        <v>0.8</v>
      </c>
      <c r="AC77" s="281"/>
      <c r="AD77" s="575">
        <f>重み!N77</f>
        <v>0</v>
      </c>
      <c r="AP77" s="2386">
        <f t="shared" si="21"/>
        <v>0</v>
      </c>
    </row>
    <row r="78" spans="2:58" ht="14.25" thickBot="1">
      <c r="B78" s="700"/>
      <c r="C78" s="699"/>
      <c r="D78" s="645">
        <v>2</v>
      </c>
      <c r="E78" s="634" t="s">
        <v>2208</v>
      </c>
      <c r="F78" s="686"/>
      <c r="G78" s="636"/>
      <c r="H78" s="2680"/>
      <c r="I78" s="2681"/>
      <c r="J78" s="2681"/>
      <c r="K78" s="2681"/>
      <c r="L78" s="2682"/>
      <c r="M78" s="657">
        <f>ROUNDDOWN(S78,1)</f>
        <v>3</v>
      </c>
      <c r="N78" s="750">
        <f t="shared" si="22"/>
        <v>0.2</v>
      </c>
      <c r="O78" s="751">
        <f>ROUNDDOWN(T78,1)</f>
        <v>0</v>
      </c>
      <c r="P78" s="625">
        <f t="shared" si="23"/>
        <v>0</v>
      </c>
      <c r="Q78" s="626"/>
      <c r="R78" s="546"/>
      <c r="S78" s="746">
        <f>IF(採点Q2!K193="対象外",0,採点Q2!K193)</f>
        <v>3</v>
      </c>
      <c r="T78" s="545"/>
      <c r="V78" s="653">
        <f>M78</f>
        <v>3</v>
      </c>
      <c r="W78" s="628">
        <f>重み!D78</f>
        <v>0.2</v>
      </c>
      <c r="X78" s="694"/>
      <c r="Y78" s="628">
        <f>重み!E78</f>
        <v>0</v>
      </c>
      <c r="Z78" s="599"/>
      <c r="AA78" s="546"/>
      <c r="AB78" s="575">
        <f>重み!M78</f>
        <v>0.2</v>
      </c>
      <c r="AC78" s="281"/>
      <c r="AD78" s="575">
        <f>重み!N78</f>
        <v>0</v>
      </c>
      <c r="AP78" s="2386">
        <f t="shared" si="21"/>
        <v>0</v>
      </c>
    </row>
    <row r="79" spans="2:58" ht="14.25" thickBot="1">
      <c r="B79" s="700"/>
      <c r="C79" s="660">
        <v>2.2000000000000002</v>
      </c>
      <c r="D79" s="679" t="s">
        <v>2209</v>
      </c>
      <c r="E79" s="680"/>
      <c r="F79" s="681"/>
      <c r="G79" s="636">
        <v>5</v>
      </c>
      <c r="H79" s="620"/>
      <c r="I79" s="621"/>
      <c r="J79" s="621"/>
      <c r="K79" s="621"/>
      <c r="L79" s="622"/>
      <c r="M79" s="701">
        <f>ROUNDDOWN(V79,1)</f>
        <v>3</v>
      </c>
      <c r="N79" s="624">
        <f t="shared" si="22"/>
        <v>0.25</v>
      </c>
      <c r="O79" s="748">
        <f>ROUNDDOWN(X79,1)</f>
        <v>0</v>
      </c>
      <c r="P79" s="625">
        <f t="shared" si="23"/>
        <v>0</v>
      </c>
      <c r="Q79" s="626"/>
      <c r="R79" s="546"/>
      <c r="S79" s="752"/>
      <c r="T79" s="545"/>
      <c r="V79" s="627">
        <f>SUMPRODUCT(V80:V85,W80:W85)</f>
        <v>3</v>
      </c>
      <c r="W79" s="628">
        <f>重み!D79</f>
        <v>0.25</v>
      </c>
      <c r="X79" s="627">
        <f>SUMPRODUCT(X80:X85,Y80:Y85)</f>
        <v>0</v>
      </c>
      <c r="Y79" s="628">
        <f>重み!E79</f>
        <v>0</v>
      </c>
      <c r="Z79" s="599"/>
      <c r="AA79" s="546"/>
      <c r="AB79" s="575">
        <f>重み!M79</f>
        <v>0.25</v>
      </c>
      <c r="AC79" s="281"/>
      <c r="AD79" s="575">
        <f>重み!N79</f>
        <v>0</v>
      </c>
      <c r="AP79" s="2386">
        <f t="shared" si="21"/>
        <v>0</v>
      </c>
    </row>
    <row r="80" spans="2:58">
      <c r="B80" s="700"/>
      <c r="C80" s="685"/>
      <c r="D80" s="645">
        <v>1</v>
      </c>
      <c r="E80" s="634" t="s">
        <v>787</v>
      </c>
      <c r="F80" s="686"/>
      <c r="G80" s="636"/>
      <c r="H80" s="2680"/>
      <c r="I80" s="2681"/>
      <c r="J80" s="2681"/>
      <c r="K80" s="2681"/>
      <c r="L80" s="2682"/>
      <c r="M80" s="649">
        <f t="shared" ref="M80:M85" si="25">ROUNDDOWN(S80,1)</f>
        <v>3</v>
      </c>
      <c r="N80" s="750">
        <f t="shared" si="22"/>
        <v>0.25409836065573771</v>
      </c>
      <c r="O80" s="751">
        <f t="shared" ref="O80:O85" si="26">ROUNDDOWN(T80,1)</f>
        <v>0</v>
      </c>
      <c r="P80" s="625">
        <f t="shared" si="23"/>
        <v>0</v>
      </c>
      <c r="Q80" s="626"/>
      <c r="R80" s="546"/>
      <c r="S80" s="714">
        <f>IF(採点Q2!F203="対象外",0,採点Q2!F203)</f>
        <v>3</v>
      </c>
      <c r="T80" s="545"/>
      <c r="V80" s="653">
        <f t="shared" ref="V80:V85" si="27">M80</f>
        <v>3</v>
      </c>
      <c r="W80" s="628">
        <f>重み!D80</f>
        <v>0.25409836065573771</v>
      </c>
      <c r="X80" s="694"/>
      <c r="Y80" s="628">
        <f>重み!E80</f>
        <v>0</v>
      </c>
      <c r="Z80" s="599"/>
      <c r="AA80" s="546"/>
      <c r="AB80" s="575">
        <f>重み!M80</f>
        <v>0.21379310344827587</v>
      </c>
      <c r="AC80" s="281"/>
      <c r="AD80" s="575">
        <f>重み!N80</f>
        <v>0</v>
      </c>
      <c r="AP80" s="2386">
        <f t="shared" si="21"/>
        <v>0</v>
      </c>
    </row>
    <row r="81" spans="2:42">
      <c r="B81" s="700"/>
      <c r="C81" s="685"/>
      <c r="D81" s="645">
        <v>2</v>
      </c>
      <c r="E81" s="634" t="s">
        <v>788</v>
      </c>
      <c r="F81" s="686"/>
      <c r="G81" s="636"/>
      <c r="H81" s="2680"/>
      <c r="I81" s="2681"/>
      <c r="J81" s="2681"/>
      <c r="K81" s="2681"/>
      <c r="L81" s="2682"/>
      <c r="M81" s="663">
        <f t="shared" si="25"/>
        <v>3</v>
      </c>
      <c r="N81" s="750">
        <f t="shared" si="22"/>
        <v>0.25409836065573771</v>
      </c>
      <c r="O81" s="751">
        <f t="shared" si="26"/>
        <v>0</v>
      </c>
      <c r="P81" s="625">
        <f t="shared" si="23"/>
        <v>0</v>
      </c>
      <c r="Q81" s="626"/>
      <c r="R81" s="546"/>
      <c r="S81" s="746">
        <f>IF(採点Q2!K203="対象外",0,採点Q2!K203)</f>
        <v>3</v>
      </c>
      <c r="T81" s="545"/>
      <c r="V81" s="653">
        <f t="shared" si="27"/>
        <v>3</v>
      </c>
      <c r="W81" s="628">
        <f>重み!D81</f>
        <v>0.25409836065573771</v>
      </c>
      <c r="X81" s="694"/>
      <c r="Y81" s="628">
        <f>重み!E81</f>
        <v>0</v>
      </c>
      <c r="Z81" s="599"/>
      <c r="AA81" s="546"/>
      <c r="AB81" s="575">
        <f>重み!M81</f>
        <v>0.21379310344827587</v>
      </c>
      <c r="AC81" s="281"/>
      <c r="AD81" s="575">
        <f>重み!N81</f>
        <v>0</v>
      </c>
      <c r="AP81" s="2386">
        <f t="shared" si="21"/>
        <v>0</v>
      </c>
    </row>
    <row r="82" spans="2:42">
      <c r="B82" s="700"/>
      <c r="C82" s="685"/>
      <c r="D82" s="703">
        <v>3</v>
      </c>
      <c r="E82" s="2698" t="s">
        <v>789</v>
      </c>
      <c r="F82" s="2699"/>
      <c r="G82" s="636"/>
      <c r="H82" s="2680"/>
      <c r="I82" s="2681"/>
      <c r="J82" s="2681"/>
      <c r="K82" s="2681"/>
      <c r="L82" s="2682"/>
      <c r="M82" s="663">
        <f t="shared" si="25"/>
        <v>0</v>
      </c>
      <c r="N82" s="750">
        <f t="shared" si="22"/>
        <v>0</v>
      </c>
      <c r="O82" s="751">
        <f t="shared" si="26"/>
        <v>0</v>
      </c>
      <c r="P82" s="625">
        <f t="shared" si="23"/>
        <v>0</v>
      </c>
      <c r="Q82" s="626"/>
      <c r="R82" s="546"/>
      <c r="S82" s="746">
        <f>IF(採点Q2!F212="対象外",0,採点Q2!F212)</f>
        <v>0</v>
      </c>
      <c r="T82" s="545"/>
      <c r="V82" s="653">
        <f t="shared" si="27"/>
        <v>0</v>
      </c>
      <c r="W82" s="628">
        <f>重み!D82</f>
        <v>0</v>
      </c>
      <c r="X82" s="694"/>
      <c r="Y82" s="628">
        <f>重み!E82</f>
        <v>0</v>
      </c>
      <c r="Z82" s="599"/>
      <c r="AA82" s="546"/>
      <c r="AB82" s="575">
        <f>重み!M82</f>
        <v>0</v>
      </c>
      <c r="AC82" s="281"/>
      <c r="AD82" s="575">
        <f>重み!N82</f>
        <v>0</v>
      </c>
      <c r="AP82" s="2386">
        <f t="shared" si="21"/>
        <v>0</v>
      </c>
    </row>
    <row r="83" spans="2:42">
      <c r="B83" s="700"/>
      <c r="C83" s="685"/>
      <c r="D83" s="645">
        <v>4</v>
      </c>
      <c r="E83" s="634" t="s">
        <v>790</v>
      </c>
      <c r="F83" s="686"/>
      <c r="G83" s="636"/>
      <c r="H83" s="2680"/>
      <c r="I83" s="2681"/>
      <c r="J83" s="2681"/>
      <c r="K83" s="2681"/>
      <c r="L83" s="2682"/>
      <c r="M83" s="663">
        <f t="shared" si="25"/>
        <v>3</v>
      </c>
      <c r="N83" s="750">
        <f t="shared" si="22"/>
        <v>0.11885245901639345</v>
      </c>
      <c r="O83" s="753">
        <f t="shared" si="26"/>
        <v>0</v>
      </c>
      <c r="P83" s="625">
        <f t="shared" si="23"/>
        <v>0</v>
      </c>
      <c r="Q83" s="626"/>
      <c r="R83" s="546"/>
      <c r="S83" s="746">
        <f>IF(採点Q2!K212="対象外",0,採点Q2!K212)</f>
        <v>3</v>
      </c>
      <c r="T83" s="545"/>
      <c r="V83" s="653">
        <f t="shared" si="27"/>
        <v>3</v>
      </c>
      <c r="W83" s="628">
        <f>重み!D83</f>
        <v>0.11885245901639345</v>
      </c>
      <c r="X83" s="694"/>
      <c r="Y83" s="628">
        <f>重み!E83</f>
        <v>0</v>
      </c>
      <c r="Z83" s="599"/>
      <c r="AA83" s="546"/>
      <c r="AB83" s="575">
        <f>重み!M83</f>
        <v>0.1</v>
      </c>
      <c r="AC83" s="281"/>
      <c r="AD83" s="575">
        <f>重み!N83</f>
        <v>0</v>
      </c>
      <c r="AP83" s="2386">
        <f t="shared" si="21"/>
        <v>0</v>
      </c>
    </row>
    <row r="84" spans="2:42">
      <c r="B84" s="700"/>
      <c r="C84" s="685"/>
      <c r="D84" s="645">
        <v>5</v>
      </c>
      <c r="E84" s="2683" t="s">
        <v>791</v>
      </c>
      <c r="F84" s="2684"/>
      <c r="G84" s="636"/>
      <c r="H84" s="2680"/>
      <c r="I84" s="2681"/>
      <c r="J84" s="2681"/>
      <c r="K84" s="2681"/>
      <c r="L84" s="2682"/>
      <c r="M84" s="663">
        <f t="shared" si="25"/>
        <v>3</v>
      </c>
      <c r="N84" s="750">
        <f t="shared" si="22"/>
        <v>0.11885245901639345</v>
      </c>
      <c r="O84" s="753">
        <f t="shared" si="26"/>
        <v>0</v>
      </c>
      <c r="P84" s="625">
        <f t="shared" si="23"/>
        <v>0</v>
      </c>
      <c r="Q84" s="626"/>
      <c r="R84" s="546"/>
      <c r="S84" s="746">
        <f>IF(採点Q2!F221="対象外",0,採点Q2!F221)</f>
        <v>3</v>
      </c>
      <c r="T84" s="545"/>
      <c r="V84" s="653">
        <f t="shared" si="27"/>
        <v>3</v>
      </c>
      <c r="W84" s="628">
        <f>重み!D84</f>
        <v>0.11885245901639345</v>
      </c>
      <c r="X84" s="694"/>
      <c r="Y84" s="628">
        <f>重み!E84</f>
        <v>0</v>
      </c>
      <c r="Z84" s="599"/>
      <c r="AA84" s="546"/>
      <c r="AB84" s="575">
        <f>重み!M84</f>
        <v>0.1</v>
      </c>
      <c r="AC84" s="281"/>
      <c r="AD84" s="575">
        <f>重み!N84</f>
        <v>0</v>
      </c>
      <c r="AP84" s="2386">
        <f t="shared" si="21"/>
        <v>0</v>
      </c>
    </row>
    <row r="85" spans="2:42" ht="14.25" thickBot="1">
      <c r="B85" s="700"/>
      <c r="C85" s="699"/>
      <c r="D85" s="645">
        <v>6</v>
      </c>
      <c r="E85" s="634" t="s">
        <v>792</v>
      </c>
      <c r="F85" s="686"/>
      <c r="G85" s="656"/>
      <c r="H85" s="2680"/>
      <c r="I85" s="2681"/>
      <c r="J85" s="2681"/>
      <c r="K85" s="2681"/>
      <c r="L85" s="2682"/>
      <c r="M85" s="657">
        <f t="shared" si="25"/>
        <v>3</v>
      </c>
      <c r="N85" s="750">
        <f t="shared" si="22"/>
        <v>0.25409836065573771</v>
      </c>
      <c r="O85" s="753">
        <f t="shared" si="26"/>
        <v>0</v>
      </c>
      <c r="P85" s="625">
        <f t="shared" si="23"/>
        <v>0</v>
      </c>
      <c r="Q85" s="626"/>
      <c r="R85" s="546"/>
      <c r="S85" s="722">
        <f>IF(採点Q2!K221="対象外",0,採点Q2!K221)</f>
        <v>3</v>
      </c>
      <c r="T85" s="545"/>
      <c r="V85" s="653">
        <f t="shared" si="27"/>
        <v>3</v>
      </c>
      <c r="W85" s="628">
        <f>重み!D85</f>
        <v>0.25409836065573771</v>
      </c>
      <c r="X85" s="694"/>
      <c r="Y85" s="628">
        <f>重み!E85</f>
        <v>0</v>
      </c>
      <c r="Z85" s="599"/>
      <c r="AA85" s="546"/>
      <c r="AB85" s="575">
        <f>重み!M85</f>
        <v>0.21379310344827587</v>
      </c>
      <c r="AC85" s="281"/>
      <c r="AD85" s="575">
        <f>重み!N85</f>
        <v>0</v>
      </c>
      <c r="AP85" s="2386">
        <f t="shared" si="21"/>
        <v>0</v>
      </c>
    </row>
    <row r="86" spans="2:42" ht="14.25" thickBot="1">
      <c r="B86" s="700"/>
      <c r="C86" s="660">
        <v>2.2999999999999998</v>
      </c>
      <c r="D86" s="633" t="s">
        <v>793</v>
      </c>
      <c r="E86" s="680"/>
      <c r="F86" s="681"/>
      <c r="G86" s="757"/>
      <c r="H86" s="620"/>
      <c r="I86" s="621"/>
      <c r="J86" s="621"/>
      <c r="K86" s="621"/>
      <c r="L86" s="622"/>
      <c r="M86" s="701">
        <f>ROUNDDOWN(V86,1)</f>
        <v>3.5</v>
      </c>
      <c r="N86" s="750">
        <f t="shared" si="22"/>
        <v>0.25</v>
      </c>
      <c r="O86" s="753">
        <f>ROUNDDOWN(X86,1)</f>
        <v>0</v>
      </c>
      <c r="P86" s="625">
        <f t="shared" si="23"/>
        <v>0</v>
      </c>
      <c r="Q86" s="626"/>
      <c r="R86" s="546"/>
      <c r="S86" s="752"/>
      <c r="T86" s="545"/>
      <c r="V86" s="627">
        <f>SUMPRODUCT(V87:V89,W87:W89)</f>
        <v>3.5655737704918034</v>
      </c>
      <c r="W86" s="628">
        <f>重み!D86</f>
        <v>0.25</v>
      </c>
      <c r="X86" s="627">
        <f>SUMPRODUCT(X87:X89,Y87:Y89)</f>
        <v>0</v>
      </c>
      <c r="Y86" s="628">
        <f>重み!E86</f>
        <v>0</v>
      </c>
      <c r="Z86" s="599"/>
      <c r="AA86" s="546"/>
      <c r="AB86" s="575">
        <f>重み!M86</f>
        <v>0.25</v>
      </c>
      <c r="AC86" s="281"/>
      <c r="AD86" s="575">
        <f>重み!N86</f>
        <v>0</v>
      </c>
      <c r="AP86" s="2386">
        <f t="shared" si="21"/>
        <v>0</v>
      </c>
    </row>
    <row r="87" spans="2:42">
      <c r="B87" s="700"/>
      <c r="C87" s="644"/>
      <c r="D87" s="645">
        <v>1</v>
      </c>
      <c r="E87" s="634" t="s">
        <v>77</v>
      </c>
      <c r="F87" s="686"/>
      <c r="G87" s="636"/>
      <c r="H87" s="2680"/>
      <c r="I87" s="2681"/>
      <c r="J87" s="2681"/>
      <c r="K87" s="2681"/>
      <c r="L87" s="2682"/>
      <c r="M87" s="649">
        <f>ROUNDDOWN(S87,1)</f>
        <v>3</v>
      </c>
      <c r="N87" s="750">
        <f t="shared" si="22"/>
        <v>0.39617486338797819</v>
      </c>
      <c r="O87" s="751">
        <f>ROUNDDOWN(T87,1)</f>
        <v>0</v>
      </c>
      <c r="P87" s="625">
        <f t="shared" si="23"/>
        <v>0</v>
      </c>
      <c r="Q87" s="626"/>
      <c r="R87" s="546"/>
      <c r="S87" s="714">
        <f>採点Q2!F231</f>
        <v>3</v>
      </c>
      <c r="T87" s="545"/>
      <c r="V87" s="653">
        <f>M87</f>
        <v>3</v>
      </c>
      <c r="W87" s="628">
        <f>重み!D87</f>
        <v>0.39617486338797819</v>
      </c>
      <c r="X87" s="687"/>
      <c r="Y87" s="628">
        <f>重み!E87</f>
        <v>0</v>
      </c>
      <c r="Z87" s="599"/>
      <c r="AA87" s="546"/>
      <c r="AB87" s="575">
        <f>重み!M87</f>
        <v>0.33333333333333337</v>
      </c>
      <c r="AC87" s="281"/>
      <c r="AD87" s="575">
        <f>重み!N87</f>
        <v>0</v>
      </c>
      <c r="AP87" s="2386">
        <f t="shared" si="21"/>
        <v>0</v>
      </c>
    </row>
    <row r="88" spans="2:42">
      <c r="B88" s="700"/>
      <c r="C88" s="644"/>
      <c r="D88" s="645">
        <v>2</v>
      </c>
      <c r="E88" s="634" t="s">
        <v>78</v>
      </c>
      <c r="F88" s="686"/>
      <c r="G88" s="636"/>
      <c r="H88" s="2680"/>
      <c r="I88" s="2681"/>
      <c r="J88" s="2681"/>
      <c r="K88" s="2681"/>
      <c r="L88" s="2682"/>
      <c r="M88" s="663">
        <f>ROUNDDOWN(S88,1)</f>
        <v>3</v>
      </c>
      <c r="N88" s="750">
        <f t="shared" si="22"/>
        <v>0.39617486338797819</v>
      </c>
      <c r="O88" s="751">
        <f>ROUNDDOWN(T88,1)</f>
        <v>0</v>
      </c>
      <c r="P88" s="625">
        <f t="shared" si="23"/>
        <v>0</v>
      </c>
      <c r="Q88" s="626"/>
      <c r="R88" s="546"/>
      <c r="S88" s="746">
        <f>採点Q2!K231</f>
        <v>3</v>
      </c>
      <c r="T88" s="545"/>
      <c r="V88" s="653">
        <f>M88</f>
        <v>3</v>
      </c>
      <c r="W88" s="628">
        <f>重み!D88</f>
        <v>0.39617486338797819</v>
      </c>
      <c r="X88" s="687"/>
      <c r="Y88" s="628">
        <f>重み!E88</f>
        <v>0</v>
      </c>
      <c r="Z88" s="599"/>
      <c r="AA88" s="546"/>
      <c r="AB88" s="575">
        <f>重み!M88</f>
        <v>0.33333333333333337</v>
      </c>
      <c r="AC88" s="281"/>
      <c r="AD88" s="575">
        <f>重み!N88</f>
        <v>0</v>
      </c>
      <c r="AP88" s="2386">
        <f t="shared" si="21"/>
        <v>0</v>
      </c>
    </row>
    <row r="89" spans="2:42" ht="14.25" thickBot="1">
      <c r="B89" s="2494"/>
      <c r="C89" s="654"/>
      <c r="D89" s="645">
        <v>3</v>
      </c>
      <c r="E89" s="634" t="s">
        <v>2061</v>
      </c>
      <c r="F89" s="686"/>
      <c r="G89" s="636"/>
      <c r="H89" s="2695"/>
      <c r="I89" s="2696"/>
      <c r="J89" s="2696"/>
      <c r="K89" s="2696"/>
      <c r="L89" s="2697"/>
      <c r="M89" s="657">
        <f>ROUNDDOWN(S89,1)</f>
        <v>3</v>
      </c>
      <c r="N89" s="755">
        <f t="shared" si="22"/>
        <v>0.39617486338797819</v>
      </c>
      <c r="O89" s="756">
        <f>ROUNDDOWN(T89,1)</f>
        <v>0</v>
      </c>
      <c r="P89" s="740">
        <f t="shared" si="23"/>
        <v>0</v>
      </c>
      <c r="Q89" s="741"/>
      <c r="R89" s="546"/>
      <c r="S89" s="722">
        <f>採点Q2!F240</f>
        <v>3</v>
      </c>
      <c r="T89" s="545"/>
      <c r="V89" s="653">
        <f>M89</f>
        <v>3</v>
      </c>
      <c r="W89" s="628">
        <f>重み!D89</f>
        <v>0.39617486338797819</v>
      </c>
      <c r="X89" s="687"/>
      <c r="Y89" s="628">
        <f>重み!E89</f>
        <v>0</v>
      </c>
      <c r="Z89" s="599"/>
      <c r="AA89" s="546"/>
      <c r="AB89" s="575">
        <f>重み!M89</f>
        <v>0.33333333333333337</v>
      </c>
      <c r="AC89" s="281"/>
      <c r="AD89" s="575">
        <f>重み!N89</f>
        <v>0</v>
      </c>
      <c r="AP89" s="2386">
        <f t="shared" si="21"/>
        <v>0</v>
      </c>
    </row>
    <row r="90" spans="2:42" ht="14.25" thickBot="1">
      <c r="B90" s="2495"/>
      <c r="C90" s="632">
        <v>2.4</v>
      </c>
      <c r="D90" s="679" t="s">
        <v>79</v>
      </c>
      <c r="E90" s="680"/>
      <c r="F90" s="681"/>
      <c r="G90" s="636"/>
      <c r="H90" s="758"/>
      <c r="I90" s="759"/>
      <c r="J90" s="759"/>
      <c r="K90" s="759"/>
      <c r="L90" s="759"/>
      <c r="M90" s="701">
        <f>ROUNDDOWN(V90,1)</f>
        <v>3</v>
      </c>
      <c r="N90" s="682">
        <f t="shared" si="22"/>
        <v>0.25</v>
      </c>
      <c r="O90" s="760">
        <f>ROUNDDOWN(X90,1)</f>
        <v>0</v>
      </c>
      <c r="P90" s="684">
        <f t="shared" si="23"/>
        <v>0</v>
      </c>
      <c r="Q90" s="642"/>
      <c r="R90" s="546"/>
      <c r="S90" s="545"/>
      <c r="T90" s="545"/>
      <c r="V90" s="627">
        <f>SUMPRODUCT(V91:V95,W91:W95)</f>
        <v>3.0000000000000004</v>
      </c>
      <c r="W90" s="628">
        <f>重み!D90</f>
        <v>0.25</v>
      </c>
      <c r="X90" s="627">
        <f>SUMPRODUCT(X91:X95,Y91:Y95)</f>
        <v>0</v>
      </c>
      <c r="Y90" s="628">
        <f>重み!E90</f>
        <v>0</v>
      </c>
      <c r="Z90" s="599"/>
      <c r="AA90" s="546"/>
      <c r="AB90" s="575">
        <f>重み!M90</f>
        <v>0.25</v>
      </c>
      <c r="AC90" s="281"/>
      <c r="AD90" s="575">
        <f>重み!N90</f>
        <v>0</v>
      </c>
      <c r="AP90" s="2386">
        <f t="shared" si="21"/>
        <v>0</v>
      </c>
    </row>
    <row r="91" spans="2:42">
      <c r="B91" s="631"/>
      <c r="C91" s="685"/>
      <c r="D91" s="645">
        <v>1</v>
      </c>
      <c r="E91" s="634" t="s">
        <v>80</v>
      </c>
      <c r="F91" s="686"/>
      <c r="G91" s="636"/>
      <c r="H91" s="2680"/>
      <c r="I91" s="2681"/>
      <c r="J91" s="2681"/>
      <c r="K91" s="2681"/>
      <c r="L91" s="2682"/>
      <c r="M91" s="649">
        <f>ROUNDDOWN(S91,1)</f>
        <v>3</v>
      </c>
      <c r="N91" s="750">
        <f t="shared" si="22"/>
        <v>0.2</v>
      </c>
      <c r="O91" s="751">
        <f>ROUNDDOWN(T91,1)</f>
        <v>0</v>
      </c>
      <c r="P91" s="625">
        <f t="shared" si="23"/>
        <v>0</v>
      </c>
      <c r="Q91" s="626"/>
      <c r="R91" s="546"/>
      <c r="S91" s="714">
        <f>IF(採点Q2!F250="対象外",0,採点Q2!F250)</f>
        <v>3</v>
      </c>
      <c r="T91" s="545"/>
      <c r="V91" s="653">
        <f>M91</f>
        <v>3</v>
      </c>
      <c r="W91" s="628">
        <f>重み!D91</f>
        <v>0.2</v>
      </c>
      <c r="X91" s="694"/>
      <c r="Y91" s="628">
        <f>重み!E91</f>
        <v>0</v>
      </c>
      <c r="Z91" s="599"/>
      <c r="AA91" s="546"/>
      <c r="AB91" s="575">
        <f>重み!M91</f>
        <v>0.2</v>
      </c>
      <c r="AC91" s="281"/>
      <c r="AD91" s="575">
        <f>重み!N91</f>
        <v>0</v>
      </c>
      <c r="AP91" s="2386">
        <f t="shared" si="21"/>
        <v>0</v>
      </c>
    </row>
    <row r="92" spans="2:42">
      <c r="B92" s="631"/>
      <c r="C92" s="685"/>
      <c r="D92" s="645">
        <v>2</v>
      </c>
      <c r="E92" s="634" t="s">
        <v>81</v>
      </c>
      <c r="F92" s="686"/>
      <c r="G92" s="636"/>
      <c r="H92" s="2680"/>
      <c r="I92" s="2681"/>
      <c r="J92" s="2681"/>
      <c r="K92" s="2681"/>
      <c r="L92" s="2682"/>
      <c r="M92" s="663">
        <f>ROUNDDOWN(S92,1)</f>
        <v>3</v>
      </c>
      <c r="N92" s="750">
        <f t="shared" si="22"/>
        <v>0.2</v>
      </c>
      <c r="O92" s="751">
        <f>ROUNDDOWN(T92,1)</f>
        <v>0</v>
      </c>
      <c r="P92" s="625">
        <f t="shared" si="23"/>
        <v>0</v>
      </c>
      <c r="Q92" s="626"/>
      <c r="R92" s="546"/>
      <c r="S92" s="746">
        <f>IF(採点Q2!F268="対象外",0,採点Q2!F268)</f>
        <v>3</v>
      </c>
      <c r="T92" s="545"/>
      <c r="V92" s="653">
        <f>M92</f>
        <v>3</v>
      </c>
      <c r="W92" s="628">
        <f>重み!D92</f>
        <v>0.2</v>
      </c>
      <c r="X92" s="694"/>
      <c r="Y92" s="628">
        <f>重み!E92</f>
        <v>0</v>
      </c>
      <c r="Z92" s="599"/>
      <c r="AA92" s="546"/>
      <c r="AB92" s="575">
        <f>重み!M92</f>
        <v>0.2</v>
      </c>
      <c r="AC92" s="281"/>
      <c r="AD92" s="575">
        <f>重み!N92</f>
        <v>0</v>
      </c>
      <c r="AP92" s="2386">
        <f t="shared" si="21"/>
        <v>0</v>
      </c>
    </row>
    <row r="93" spans="2:42">
      <c r="B93" s="631"/>
      <c r="C93" s="685"/>
      <c r="D93" s="645">
        <v>3</v>
      </c>
      <c r="E93" s="634" t="s">
        <v>82</v>
      </c>
      <c r="F93" s="686"/>
      <c r="G93" s="636"/>
      <c r="H93" s="2680"/>
      <c r="I93" s="2681"/>
      <c r="J93" s="2681"/>
      <c r="K93" s="2681"/>
      <c r="L93" s="2682"/>
      <c r="M93" s="663">
        <f>ROUNDDOWN(S93,1)</f>
        <v>3</v>
      </c>
      <c r="N93" s="750">
        <f t="shared" si="22"/>
        <v>0.2</v>
      </c>
      <c r="O93" s="751">
        <f>ROUNDDOWN(T93,1)</f>
        <v>0</v>
      </c>
      <c r="P93" s="625">
        <f t="shared" si="23"/>
        <v>0</v>
      </c>
      <c r="Q93" s="626"/>
      <c r="R93" s="546"/>
      <c r="S93" s="746">
        <f>IF(採点Q2!F290="対象外",0,採点Q2!F290)</f>
        <v>3</v>
      </c>
      <c r="T93" s="761"/>
      <c r="V93" s="653">
        <f>M93</f>
        <v>3</v>
      </c>
      <c r="W93" s="628">
        <f>重み!D93</f>
        <v>0.2</v>
      </c>
      <c r="X93" s="694"/>
      <c r="Y93" s="628">
        <f>重み!E93</f>
        <v>0</v>
      </c>
      <c r="Z93" s="599"/>
      <c r="AA93" s="546"/>
      <c r="AB93" s="575">
        <f>重み!M93</f>
        <v>0.2</v>
      </c>
      <c r="AC93" s="281"/>
      <c r="AD93" s="575">
        <f>重み!N93</f>
        <v>0</v>
      </c>
      <c r="AP93" s="2386">
        <f t="shared" si="21"/>
        <v>0</v>
      </c>
    </row>
    <row r="94" spans="2:42">
      <c r="B94" s="631"/>
      <c r="C94" s="685"/>
      <c r="D94" s="645">
        <v>4</v>
      </c>
      <c r="E94" s="634" t="s">
        <v>1238</v>
      </c>
      <c r="F94" s="686"/>
      <c r="G94" s="636"/>
      <c r="H94" s="2680"/>
      <c r="I94" s="2681"/>
      <c r="J94" s="2681"/>
      <c r="K94" s="2681"/>
      <c r="L94" s="2682"/>
      <c r="M94" s="663">
        <f>ROUNDDOWN(S94,1)</f>
        <v>3</v>
      </c>
      <c r="N94" s="750">
        <f t="shared" si="22"/>
        <v>0.2</v>
      </c>
      <c r="O94" s="751">
        <f>ROUNDDOWN(T94,1)</f>
        <v>0</v>
      </c>
      <c r="P94" s="625">
        <f t="shared" si="23"/>
        <v>0</v>
      </c>
      <c r="Q94" s="626"/>
      <c r="R94" s="546"/>
      <c r="S94" s="746">
        <f>IF(採点Q2!F309="対象外",0,採点Q2!F309)</f>
        <v>3</v>
      </c>
      <c r="T94" s="761"/>
      <c r="V94" s="653">
        <f>M94</f>
        <v>3</v>
      </c>
      <c r="W94" s="628">
        <f>重み!D94</f>
        <v>0.2</v>
      </c>
      <c r="X94" s="694"/>
      <c r="Y94" s="628">
        <f>重み!E94</f>
        <v>0</v>
      </c>
      <c r="Z94" s="599"/>
      <c r="AA94" s="546"/>
      <c r="AB94" s="575">
        <f>重み!M94</f>
        <v>0.2</v>
      </c>
      <c r="AC94" s="281"/>
      <c r="AD94" s="575">
        <f>重み!N94</f>
        <v>0</v>
      </c>
      <c r="AP94" s="2386">
        <f t="shared" si="21"/>
        <v>0</v>
      </c>
    </row>
    <row r="95" spans="2:42" ht="14.25" thickBot="1">
      <c r="B95" s="762"/>
      <c r="C95" s="699"/>
      <c r="D95" s="645">
        <v>5</v>
      </c>
      <c r="E95" s="634" t="s">
        <v>1239</v>
      </c>
      <c r="F95" s="686"/>
      <c r="G95" s="656"/>
      <c r="H95" s="2680"/>
      <c r="I95" s="2681"/>
      <c r="J95" s="2681"/>
      <c r="K95" s="2681"/>
      <c r="L95" s="2682"/>
      <c r="M95" s="657">
        <f>ROUNDDOWN(S95,1)</f>
        <v>3</v>
      </c>
      <c r="N95" s="763">
        <f t="shared" si="22"/>
        <v>0.2</v>
      </c>
      <c r="O95" s="764">
        <f>ROUNDDOWN(T95,1)</f>
        <v>0</v>
      </c>
      <c r="P95" s="740">
        <f t="shared" si="23"/>
        <v>0</v>
      </c>
      <c r="Q95" s="741"/>
      <c r="R95" s="546"/>
      <c r="S95" s="722">
        <f>IF(採点Q2!F318="対象外",0,採点Q2!F318)</f>
        <v>3</v>
      </c>
      <c r="T95" s="761"/>
      <c r="V95" s="653">
        <f>M95</f>
        <v>3</v>
      </c>
      <c r="W95" s="628">
        <f>重み!D95</f>
        <v>0.2</v>
      </c>
      <c r="X95" s="694"/>
      <c r="Y95" s="628">
        <f>重み!E95</f>
        <v>0</v>
      </c>
      <c r="Z95" s="599"/>
      <c r="AA95" s="546"/>
      <c r="AB95" s="575">
        <f>重み!M95</f>
        <v>0.2</v>
      </c>
      <c r="AC95" s="281"/>
      <c r="AD95" s="575">
        <f>重み!N95</f>
        <v>0</v>
      </c>
      <c r="AP95" s="2386">
        <f t="shared" si="21"/>
        <v>0</v>
      </c>
    </row>
    <row r="96" spans="2:42" hidden="1">
      <c r="B96" s="631"/>
      <c r="C96" s="765"/>
      <c r="D96" s="766"/>
      <c r="E96" s="767"/>
      <c r="F96" s="618"/>
      <c r="G96" s="636"/>
      <c r="H96" s="620"/>
      <c r="I96" s="621"/>
      <c r="J96" s="621"/>
      <c r="K96" s="621"/>
      <c r="L96" s="622"/>
      <c r="M96" s="768">
        <f>ROUNDDOWN(V96,1)</f>
        <v>0</v>
      </c>
      <c r="N96" s="624">
        <f t="shared" si="22"/>
        <v>0</v>
      </c>
      <c r="O96" s="751">
        <f>ROUNDDOWN(X96,1)</f>
        <v>0</v>
      </c>
      <c r="P96" s="625">
        <f t="shared" si="23"/>
        <v>0</v>
      </c>
      <c r="Q96" s="626"/>
      <c r="R96" s="546"/>
      <c r="S96" s="752"/>
      <c r="T96" s="545"/>
      <c r="V96" s="694"/>
      <c r="W96" s="628">
        <f>重み!D96</f>
        <v>0</v>
      </c>
      <c r="X96" s="694"/>
      <c r="Y96" s="628">
        <f>重み!E96</f>
        <v>0</v>
      </c>
      <c r="Z96" s="599"/>
      <c r="AA96" s="546"/>
      <c r="AB96" s="575">
        <f>重み!M96</f>
        <v>0</v>
      </c>
      <c r="AC96" s="281"/>
      <c r="AD96" s="575">
        <f>重み!N96</f>
        <v>0</v>
      </c>
      <c r="AP96" s="2386">
        <f t="shared" si="21"/>
        <v>0</v>
      </c>
    </row>
    <row r="97" spans="2:58">
      <c r="B97" s="747">
        <v>3</v>
      </c>
      <c r="C97" s="769" t="s">
        <v>1240</v>
      </c>
      <c r="D97" s="769"/>
      <c r="E97" s="769"/>
      <c r="F97" s="681"/>
      <c r="G97" s="757"/>
      <c r="H97" s="671"/>
      <c r="I97" s="672"/>
      <c r="J97" s="672"/>
      <c r="K97" s="672"/>
      <c r="L97" s="673"/>
      <c r="M97" s="770">
        <f>ROUNDDOWN(V97,1)</f>
        <v>3</v>
      </c>
      <c r="N97" s="675">
        <f t="shared" si="22"/>
        <v>0.3</v>
      </c>
      <c r="O97" s="770">
        <f>ROUNDDOWN(X97,1)</f>
        <v>3</v>
      </c>
      <c r="P97" s="676">
        <f t="shared" si="23"/>
        <v>1</v>
      </c>
      <c r="Q97" s="677">
        <f>ROUNDDOWN(Z97,1)</f>
        <v>3</v>
      </c>
      <c r="R97" s="546"/>
      <c r="S97" s="771"/>
      <c r="T97" s="546"/>
      <c r="V97" s="627">
        <f>V98*W98+V101*W101+V102*W102</f>
        <v>3.0000000000000004</v>
      </c>
      <c r="W97" s="628">
        <f>重み!D97</f>
        <v>0.3</v>
      </c>
      <c r="X97" s="627">
        <f>X98*Y98+X101*Y101+X102*Y102</f>
        <v>3</v>
      </c>
      <c r="Y97" s="629">
        <f>SUM(Y98,Y101,Y102)</f>
        <v>1</v>
      </c>
      <c r="Z97" s="599">
        <f>IF(X97=0,V97,IF(V97=0,X97,V97*AB$6+X97*AD$6))</f>
        <v>3</v>
      </c>
      <c r="AA97" s="546"/>
      <c r="AB97" s="575">
        <f>重み!M97</f>
        <v>0.3</v>
      </c>
      <c r="AC97" s="281"/>
      <c r="AD97" s="630">
        <f>SUM(AD98,AD101,AD102)</f>
        <v>0.17241379310344829</v>
      </c>
      <c r="AF97" s="2360">
        <v>3</v>
      </c>
      <c r="AG97" s="2360"/>
      <c r="AH97" s="2360"/>
      <c r="AI97" s="2360"/>
      <c r="AJ97" s="2360"/>
      <c r="AK97" s="2360">
        <v>3</v>
      </c>
      <c r="AL97" s="2360"/>
      <c r="AM97" s="2360"/>
      <c r="AN97" s="2360"/>
      <c r="AO97" s="2360"/>
      <c r="AP97" s="2357">
        <f t="shared" si="21"/>
        <v>3</v>
      </c>
      <c r="AQ97" s="857">
        <f>N97</f>
        <v>0.3</v>
      </c>
      <c r="AR97" s="677"/>
      <c r="AT97" s="2356">
        <f>SUMPRODUCT($AW$7:$BF$7,AF97:AO97)/AV97</f>
        <v>3</v>
      </c>
      <c r="AV97" s="2355">
        <f>SUMPRODUCT($AW$7:$BF$7,AW97:BF97)</f>
        <v>0.34482758620689657</v>
      </c>
      <c r="AW97" s="2341">
        <f t="shared" ref="AW97:BF97" si="28">IF(AF97&gt;0,1,0)</f>
        <v>1</v>
      </c>
      <c r="AX97" s="2341">
        <f t="shared" si="28"/>
        <v>0</v>
      </c>
      <c r="AY97" s="2341">
        <f t="shared" si="28"/>
        <v>0</v>
      </c>
      <c r="AZ97" s="2341">
        <f t="shared" si="28"/>
        <v>0</v>
      </c>
      <c r="BA97" s="2341">
        <f t="shared" si="28"/>
        <v>0</v>
      </c>
      <c r="BB97" s="2341">
        <f t="shared" si="28"/>
        <v>1</v>
      </c>
      <c r="BC97" s="2341">
        <f t="shared" si="28"/>
        <v>0</v>
      </c>
      <c r="BD97" s="2341">
        <f t="shared" si="28"/>
        <v>0</v>
      </c>
      <c r="BE97" s="2341">
        <f t="shared" si="28"/>
        <v>0</v>
      </c>
      <c r="BF97" s="2341">
        <f t="shared" si="28"/>
        <v>0</v>
      </c>
    </row>
    <row r="98" spans="2:58" ht="14.25" thickBot="1">
      <c r="B98" s="700"/>
      <c r="C98" s="632">
        <v>3.1</v>
      </c>
      <c r="D98" s="679" t="s">
        <v>1241</v>
      </c>
      <c r="E98" s="633"/>
      <c r="F98" s="681"/>
      <c r="G98" s="636">
        <v>5</v>
      </c>
      <c r="H98" s="620"/>
      <c r="I98" s="621"/>
      <c r="J98" s="621"/>
      <c r="K98" s="621"/>
      <c r="L98" s="622"/>
      <c r="M98" s="701">
        <f>ROUNDDOWN(V98,1)</f>
        <v>3</v>
      </c>
      <c r="N98" s="624">
        <f t="shared" si="22"/>
        <v>0.24827586206896551</v>
      </c>
      <c r="O98" s="702">
        <f>ROUNDDOWN(X98,1)</f>
        <v>3</v>
      </c>
      <c r="P98" s="625">
        <f t="shared" si="23"/>
        <v>0.5</v>
      </c>
      <c r="Q98" s="626"/>
      <c r="R98" s="546"/>
      <c r="S98" s="749"/>
      <c r="T98" s="546"/>
      <c r="V98" s="627">
        <f>SUMPRODUCT(V99:V100,W99:W100)</f>
        <v>3</v>
      </c>
      <c r="W98" s="628">
        <f>重み!D98</f>
        <v>0.24827586206896551</v>
      </c>
      <c r="X98" s="627">
        <f>SUMPRODUCT(X99:X100,Y99:Y100)</f>
        <v>3</v>
      </c>
      <c r="Y98" s="628">
        <f>重み!E98</f>
        <v>0.5</v>
      </c>
      <c r="Z98" s="599"/>
      <c r="AA98" s="546"/>
      <c r="AB98" s="575">
        <f>重み!M98</f>
        <v>0.24827586206896551</v>
      </c>
      <c r="AC98" s="281"/>
      <c r="AD98" s="575">
        <f>重み!N98</f>
        <v>8.6206896551724144E-2</v>
      </c>
    </row>
    <row r="99" spans="2:58">
      <c r="B99" s="700"/>
      <c r="C99" s="685"/>
      <c r="D99" s="645">
        <v>1</v>
      </c>
      <c r="E99" s="634" t="s">
        <v>1242</v>
      </c>
      <c r="F99" s="686"/>
      <c r="G99" s="636"/>
      <c r="H99" s="2680"/>
      <c r="I99" s="2681"/>
      <c r="J99" s="2681"/>
      <c r="K99" s="2681"/>
      <c r="L99" s="2682"/>
      <c r="M99" s="649">
        <f>ROUNDDOWN(S99,1)</f>
        <v>3</v>
      </c>
      <c r="N99" s="650">
        <f t="shared" si="22"/>
        <v>0.44999999999999996</v>
      </c>
      <c r="O99" s="649">
        <f>ROUNDDOWN(T99,1)</f>
        <v>3</v>
      </c>
      <c r="P99" s="650">
        <f t="shared" si="23"/>
        <v>0.6</v>
      </c>
      <c r="Q99" s="626"/>
      <c r="R99" s="546"/>
      <c r="S99" s="761">
        <f>IF(採点Q2!F338="対象外",0,採点Q2!F338)</f>
        <v>3</v>
      </c>
      <c r="T99" s="652">
        <f>採点Q2!K338</f>
        <v>3</v>
      </c>
      <c r="V99" s="653">
        <f>M99</f>
        <v>3</v>
      </c>
      <c r="W99" s="628">
        <f>重み!D99</f>
        <v>0.44999999999999996</v>
      </c>
      <c r="X99" s="653">
        <f>O99</f>
        <v>3</v>
      </c>
      <c r="Y99" s="628">
        <f>重み!E99</f>
        <v>0.6</v>
      </c>
      <c r="Z99" s="599"/>
      <c r="AA99" s="546"/>
      <c r="AB99" s="575">
        <f>重み!M99</f>
        <v>0.37241379310344824</v>
      </c>
      <c r="AC99" s="281"/>
      <c r="AD99" s="575">
        <f>重み!N99</f>
        <v>0.10344827586206896</v>
      </c>
    </row>
    <row r="100" spans="2:58">
      <c r="B100" s="700"/>
      <c r="C100" s="685"/>
      <c r="D100" s="772">
        <v>2</v>
      </c>
      <c r="E100" s="633" t="s">
        <v>1243</v>
      </c>
      <c r="F100" s="681"/>
      <c r="G100" s="636"/>
      <c r="H100" s="2680"/>
      <c r="I100" s="2681"/>
      <c r="J100" s="2681"/>
      <c r="K100" s="2681"/>
      <c r="L100" s="2682"/>
      <c r="M100" s="663">
        <f>ROUNDDOWN(S100,1)</f>
        <v>3</v>
      </c>
      <c r="N100" s="650">
        <f t="shared" si="22"/>
        <v>0.55000000000000004</v>
      </c>
      <c r="O100" s="663">
        <f>ROUNDDOWN(T100,1)</f>
        <v>3</v>
      </c>
      <c r="P100" s="650">
        <f t="shared" si="23"/>
        <v>0.4</v>
      </c>
      <c r="Q100" s="626"/>
      <c r="R100" s="546"/>
      <c r="S100" s="761">
        <f>IF(採点Q2!F347="対象外",0,採点Q2!F347)</f>
        <v>3</v>
      </c>
      <c r="T100" s="665">
        <f>採点Q2!K347</f>
        <v>3</v>
      </c>
      <c r="V100" s="653">
        <f>M100</f>
        <v>3</v>
      </c>
      <c r="W100" s="628">
        <f>重み!D100</f>
        <v>0.55000000000000004</v>
      </c>
      <c r="X100" s="653">
        <f>O100</f>
        <v>3</v>
      </c>
      <c r="Y100" s="628">
        <f>重み!E100</f>
        <v>0.4</v>
      </c>
      <c r="Z100" s="599"/>
      <c r="AA100" s="546"/>
      <c r="AB100" s="575">
        <f>重み!M100</f>
        <v>0.45517241379310347</v>
      </c>
      <c r="AC100" s="281"/>
      <c r="AD100" s="575">
        <f>重み!N100</f>
        <v>6.8965517241379323E-2</v>
      </c>
    </row>
    <row r="101" spans="2:58" ht="14.25" thickBot="1">
      <c r="B101" s="700"/>
      <c r="C101" s="667">
        <v>3.2</v>
      </c>
      <c r="D101" s="773" t="s">
        <v>1244</v>
      </c>
      <c r="E101" s="634"/>
      <c r="F101" s="686"/>
      <c r="G101" s="636">
        <v>5</v>
      </c>
      <c r="H101" s="2680"/>
      <c r="I101" s="2681"/>
      <c r="J101" s="2681"/>
      <c r="K101" s="2681"/>
      <c r="L101" s="2682"/>
      <c r="M101" s="668">
        <f>ROUNDDOWN(S101,1)</f>
        <v>3</v>
      </c>
      <c r="N101" s="650">
        <f t="shared" si="22"/>
        <v>0.24827586206896551</v>
      </c>
      <c r="O101" s="668">
        <f>ROUNDDOWN(T101,1)</f>
        <v>3</v>
      </c>
      <c r="P101" s="650">
        <f t="shared" si="23"/>
        <v>0.5</v>
      </c>
      <c r="Q101" s="626"/>
      <c r="R101" s="546"/>
      <c r="S101" s="761">
        <f>IF(採点Q2!F358="対象外",0,採点Q2!F358)</f>
        <v>3</v>
      </c>
      <c r="T101" s="659">
        <f>採点Q2!M358</f>
        <v>3</v>
      </c>
      <c r="V101" s="653">
        <f>M101</f>
        <v>3</v>
      </c>
      <c r="W101" s="628">
        <f>重み!D101</f>
        <v>0.24827586206896551</v>
      </c>
      <c r="X101" s="653">
        <f>O101</f>
        <v>3</v>
      </c>
      <c r="Y101" s="628">
        <f>重み!E101</f>
        <v>0.5</v>
      </c>
      <c r="Z101" s="599"/>
      <c r="AA101" s="546"/>
      <c r="AB101" s="575">
        <f>重み!M101</f>
        <v>0.24827586206896551</v>
      </c>
      <c r="AC101" s="281"/>
      <c r="AD101" s="575">
        <f>重み!N101</f>
        <v>8.6206896551724144E-2</v>
      </c>
    </row>
    <row r="102" spans="2:58" ht="14.25" thickBot="1">
      <c r="B102" s="700"/>
      <c r="C102" s="660">
        <v>3.3</v>
      </c>
      <c r="D102" s="679" t="s">
        <v>1245</v>
      </c>
      <c r="E102" s="633"/>
      <c r="F102" s="681"/>
      <c r="G102" s="636">
        <v>5</v>
      </c>
      <c r="H102" s="620"/>
      <c r="I102" s="621"/>
      <c r="J102" s="621"/>
      <c r="K102" s="621"/>
      <c r="L102" s="622"/>
      <c r="M102" s="701">
        <f>ROUNDDOWN(V102,1)</f>
        <v>3</v>
      </c>
      <c r="N102" s="624">
        <f t="shared" si="22"/>
        <v>0.50344827586206908</v>
      </c>
      <c r="O102" s="702">
        <f>ROUNDDOWN(X102,1)</f>
        <v>0</v>
      </c>
      <c r="P102" s="625">
        <f t="shared" si="23"/>
        <v>0</v>
      </c>
      <c r="Q102" s="626"/>
      <c r="R102" s="546"/>
      <c r="S102" s="752"/>
      <c r="T102" s="546"/>
      <c r="V102" s="627">
        <f>SUMPRODUCT(V103:V108,W103:W108)</f>
        <v>3.0000000000000004</v>
      </c>
      <c r="W102" s="628">
        <f>重み!D102</f>
        <v>0.50344827586206908</v>
      </c>
      <c r="X102" s="627">
        <f>SUMPRODUCT(X103:X108,Y103:Y108)</f>
        <v>0</v>
      </c>
      <c r="Y102" s="628">
        <f>重み!E102</f>
        <v>0</v>
      </c>
      <c r="Z102" s="599"/>
      <c r="AA102" s="546"/>
      <c r="AB102" s="575">
        <f>重み!M102</f>
        <v>0.50344827586206908</v>
      </c>
      <c r="AC102" s="281"/>
      <c r="AD102" s="575">
        <f>重み!N102</f>
        <v>0</v>
      </c>
    </row>
    <row r="103" spans="2:58">
      <c r="B103" s="700"/>
      <c r="C103" s="685"/>
      <c r="D103" s="645">
        <v>1</v>
      </c>
      <c r="E103" s="634" t="s">
        <v>1922</v>
      </c>
      <c r="F103" s="686"/>
      <c r="G103" s="636"/>
      <c r="H103" s="2680"/>
      <c r="I103" s="2681"/>
      <c r="J103" s="2681"/>
      <c r="K103" s="2681"/>
      <c r="L103" s="2682"/>
      <c r="M103" s="649">
        <f t="shared" ref="M103:M108" si="29">ROUNDDOWN(S103,1)</f>
        <v>3</v>
      </c>
      <c r="N103" s="750">
        <f t="shared" si="22"/>
        <v>0.2</v>
      </c>
      <c r="O103" s="751">
        <f t="shared" ref="O103:O108" si="30">ROUNDDOWN(T103,1)</f>
        <v>0</v>
      </c>
      <c r="P103" s="625">
        <f t="shared" si="23"/>
        <v>0</v>
      </c>
      <c r="Q103" s="626"/>
      <c r="R103" s="546"/>
      <c r="S103" s="714">
        <f>IF(採点Q2!F368="対象外",0,採点Q2!F368)</f>
        <v>3</v>
      </c>
      <c r="T103" s="546"/>
      <c r="V103" s="653">
        <f t="shared" ref="V103:V108" si="31">M103</f>
        <v>3</v>
      </c>
      <c r="W103" s="628">
        <f>重み!D103</f>
        <v>0.2</v>
      </c>
      <c r="X103" s="694"/>
      <c r="Y103" s="628">
        <f>重み!E103</f>
        <v>0</v>
      </c>
      <c r="Z103" s="599"/>
      <c r="AA103" s="546"/>
      <c r="AB103" s="575">
        <f>重み!M103</f>
        <v>0.2</v>
      </c>
      <c r="AC103" s="281"/>
      <c r="AD103" s="575">
        <f>重み!N103</f>
        <v>0</v>
      </c>
    </row>
    <row r="104" spans="2:58">
      <c r="B104" s="700"/>
      <c r="C104" s="685"/>
      <c r="D104" s="772">
        <v>2</v>
      </c>
      <c r="E104" s="633" t="s">
        <v>1246</v>
      </c>
      <c r="F104" s="681"/>
      <c r="G104" s="636"/>
      <c r="H104" s="2680"/>
      <c r="I104" s="2681"/>
      <c r="J104" s="2681"/>
      <c r="K104" s="2681"/>
      <c r="L104" s="2682"/>
      <c r="M104" s="663">
        <f t="shared" si="29"/>
        <v>3</v>
      </c>
      <c r="N104" s="750">
        <f t="shared" si="22"/>
        <v>0.2</v>
      </c>
      <c r="O104" s="751">
        <f t="shared" si="30"/>
        <v>0</v>
      </c>
      <c r="P104" s="625">
        <f t="shared" si="23"/>
        <v>0</v>
      </c>
      <c r="Q104" s="626"/>
      <c r="R104" s="546"/>
      <c r="S104" s="746">
        <f>IF(採点Q2!K368="対象外",0,採点Q2!K368)</f>
        <v>3</v>
      </c>
      <c r="T104" s="546"/>
      <c r="V104" s="653">
        <f t="shared" si="31"/>
        <v>3</v>
      </c>
      <c r="W104" s="628">
        <f>重み!D104</f>
        <v>0.2</v>
      </c>
      <c r="X104" s="694"/>
      <c r="Y104" s="628">
        <f>重み!E104</f>
        <v>0</v>
      </c>
      <c r="Z104" s="599"/>
      <c r="AA104" s="546"/>
      <c r="AB104" s="575">
        <f>重み!M104</f>
        <v>0.2</v>
      </c>
      <c r="AC104" s="281"/>
      <c r="AD104" s="575">
        <f>重み!N104</f>
        <v>0</v>
      </c>
    </row>
    <row r="105" spans="2:58">
      <c r="B105" s="700"/>
      <c r="C105" s="685"/>
      <c r="D105" s="645">
        <v>3</v>
      </c>
      <c r="E105" s="634" t="s">
        <v>1247</v>
      </c>
      <c r="F105" s="686"/>
      <c r="G105" s="636"/>
      <c r="H105" s="2680"/>
      <c r="I105" s="2681"/>
      <c r="J105" s="2681"/>
      <c r="K105" s="2681"/>
      <c r="L105" s="2682"/>
      <c r="M105" s="663">
        <f t="shared" si="29"/>
        <v>3</v>
      </c>
      <c r="N105" s="750">
        <f t="shared" si="22"/>
        <v>0.1</v>
      </c>
      <c r="O105" s="751">
        <f t="shared" si="30"/>
        <v>0</v>
      </c>
      <c r="P105" s="625">
        <f t="shared" si="23"/>
        <v>0</v>
      </c>
      <c r="Q105" s="626"/>
      <c r="R105" s="546"/>
      <c r="S105" s="746">
        <f>IF(採点Q2!F377="対象外",0,採点Q2!F377)</f>
        <v>3</v>
      </c>
      <c r="T105" s="546"/>
      <c r="V105" s="653">
        <f t="shared" si="31"/>
        <v>3</v>
      </c>
      <c r="W105" s="628">
        <f>重み!D105</f>
        <v>0.1</v>
      </c>
      <c r="X105" s="694"/>
      <c r="Y105" s="628">
        <f>重み!E105</f>
        <v>0</v>
      </c>
      <c r="Z105" s="599"/>
      <c r="AA105" s="546"/>
      <c r="AB105" s="575">
        <f>重み!M105</f>
        <v>0.1</v>
      </c>
      <c r="AC105" s="281"/>
      <c r="AD105" s="575">
        <f>重み!N105</f>
        <v>0</v>
      </c>
    </row>
    <row r="106" spans="2:58">
      <c r="B106" s="700"/>
      <c r="C106" s="685"/>
      <c r="D106" s="772">
        <v>4</v>
      </c>
      <c r="E106" s="633" t="s">
        <v>1248</v>
      </c>
      <c r="F106" s="681"/>
      <c r="G106" s="636"/>
      <c r="H106" s="2680"/>
      <c r="I106" s="2681"/>
      <c r="J106" s="2681"/>
      <c r="K106" s="2681"/>
      <c r="L106" s="2682"/>
      <c r="M106" s="663">
        <f t="shared" si="29"/>
        <v>3</v>
      </c>
      <c r="N106" s="750">
        <f t="shared" si="22"/>
        <v>0.1</v>
      </c>
      <c r="O106" s="751">
        <f t="shared" si="30"/>
        <v>0</v>
      </c>
      <c r="P106" s="625">
        <f t="shared" si="23"/>
        <v>0</v>
      </c>
      <c r="Q106" s="626"/>
      <c r="R106" s="546"/>
      <c r="S106" s="746">
        <f>IF(採点Q2!K377="対象外",0,採点Q2!K377)</f>
        <v>3</v>
      </c>
      <c r="T106" s="546"/>
      <c r="V106" s="653">
        <f t="shared" si="31"/>
        <v>3</v>
      </c>
      <c r="W106" s="628">
        <f>重み!D106</f>
        <v>0.1</v>
      </c>
      <c r="X106" s="694"/>
      <c r="Y106" s="628">
        <f>重み!E106</f>
        <v>0</v>
      </c>
      <c r="Z106" s="599"/>
      <c r="AA106" s="546"/>
      <c r="AB106" s="575">
        <f>重み!M106</f>
        <v>0.1</v>
      </c>
      <c r="AC106" s="281"/>
      <c r="AD106" s="575">
        <f>重み!N106</f>
        <v>0</v>
      </c>
    </row>
    <row r="107" spans="2:58">
      <c r="B107" s="700"/>
      <c r="C107" s="685"/>
      <c r="D107" s="645">
        <v>5</v>
      </c>
      <c r="E107" s="634" t="s">
        <v>1249</v>
      </c>
      <c r="F107" s="686"/>
      <c r="G107" s="636"/>
      <c r="H107" s="2680"/>
      <c r="I107" s="2681"/>
      <c r="J107" s="2681"/>
      <c r="K107" s="2681"/>
      <c r="L107" s="2682"/>
      <c r="M107" s="663">
        <f t="shared" si="29"/>
        <v>3</v>
      </c>
      <c r="N107" s="750">
        <f t="shared" ref="N107:N142" si="32">W107</f>
        <v>0.2</v>
      </c>
      <c r="O107" s="751">
        <f t="shared" si="30"/>
        <v>0</v>
      </c>
      <c r="P107" s="625">
        <f t="shared" ref="P107:P142" si="33">Y107</f>
        <v>0</v>
      </c>
      <c r="Q107" s="626"/>
      <c r="R107" s="546"/>
      <c r="S107" s="746">
        <f>IF(採点Q2!F386="対象外",0,採点Q2!F386)</f>
        <v>3</v>
      </c>
      <c r="T107" s="546"/>
      <c r="V107" s="653">
        <f t="shared" si="31"/>
        <v>3</v>
      </c>
      <c r="W107" s="628">
        <f>重み!D107</f>
        <v>0.2</v>
      </c>
      <c r="X107" s="694"/>
      <c r="Y107" s="628">
        <f>重み!E107</f>
        <v>0</v>
      </c>
      <c r="Z107" s="599"/>
      <c r="AA107" s="546"/>
      <c r="AB107" s="575">
        <f>重み!M107</f>
        <v>0.2</v>
      </c>
      <c r="AC107" s="281"/>
      <c r="AD107" s="575">
        <f>重み!N107</f>
        <v>0</v>
      </c>
    </row>
    <row r="108" spans="2:58" ht="14.25" thickBot="1">
      <c r="B108" s="716"/>
      <c r="C108" s="774"/>
      <c r="D108" s="775">
        <v>6</v>
      </c>
      <c r="E108" s="718" t="s">
        <v>1250</v>
      </c>
      <c r="F108" s="719"/>
      <c r="G108" s="636"/>
      <c r="H108" s="2680"/>
      <c r="I108" s="2681"/>
      <c r="J108" s="2681"/>
      <c r="K108" s="2681"/>
      <c r="L108" s="2682"/>
      <c r="M108" s="657">
        <f t="shared" si="29"/>
        <v>3</v>
      </c>
      <c r="N108" s="776">
        <f t="shared" si="32"/>
        <v>0.2</v>
      </c>
      <c r="O108" s="777">
        <f t="shared" si="30"/>
        <v>0</v>
      </c>
      <c r="P108" s="778">
        <f t="shared" si="33"/>
        <v>0</v>
      </c>
      <c r="Q108" s="721"/>
      <c r="R108" s="546"/>
      <c r="S108" s="722">
        <f>IF(採点Q2!K386="対象外",0,採点Q2!K386)</f>
        <v>3</v>
      </c>
      <c r="T108" s="546"/>
      <c r="V108" s="653">
        <f t="shared" si="31"/>
        <v>3</v>
      </c>
      <c r="W108" s="628">
        <f>重み!D108</f>
        <v>0.2</v>
      </c>
      <c r="X108" s="694"/>
      <c r="Y108" s="628">
        <f>重み!E108</f>
        <v>0</v>
      </c>
      <c r="Z108" s="599"/>
      <c r="AA108" s="546"/>
      <c r="AB108" s="575">
        <f>重み!M108</f>
        <v>0.2</v>
      </c>
      <c r="AC108" s="281"/>
      <c r="AD108" s="575">
        <f>重み!N108</f>
        <v>0</v>
      </c>
    </row>
    <row r="109" spans="2:58" ht="15.75" thickBot="1">
      <c r="B109" s="723" t="s">
        <v>1923</v>
      </c>
      <c r="C109" s="724" t="s">
        <v>1924</v>
      </c>
      <c r="D109" s="724"/>
      <c r="E109" s="724"/>
      <c r="F109" s="779"/>
      <c r="G109" s="780"/>
      <c r="H109" s="728"/>
      <c r="I109" s="729"/>
      <c r="J109" s="729"/>
      <c r="K109" s="729"/>
      <c r="L109" s="730"/>
      <c r="M109" s="781">
        <f>ROUNDDOWN(V109,1)</f>
        <v>0</v>
      </c>
      <c r="N109" s="732">
        <f t="shared" si="32"/>
        <v>0.3</v>
      </c>
      <c r="O109" s="733">
        <f>ROUNDDOWN(X109,1)</f>
        <v>0</v>
      </c>
      <c r="P109" s="734">
        <f t="shared" si="33"/>
        <v>0</v>
      </c>
      <c r="Q109" s="735">
        <f>ROUNDDOWN(Z109,1)</f>
        <v>3</v>
      </c>
      <c r="R109" s="546"/>
      <c r="S109" s="678"/>
      <c r="T109" s="546"/>
      <c r="V109" s="694"/>
      <c r="W109" s="612">
        <f>重み!D109</f>
        <v>0.3</v>
      </c>
      <c r="X109" s="694"/>
      <c r="Y109" s="612"/>
      <c r="Z109" s="599">
        <f>Z110*W110+Z111*W111+Z112*W112</f>
        <v>3</v>
      </c>
      <c r="AA109" s="546"/>
      <c r="AB109" s="575">
        <f>重み!M109</f>
        <v>0.3</v>
      </c>
      <c r="AC109" s="281"/>
      <c r="AD109" s="575">
        <f>重み!N109</f>
        <v>0</v>
      </c>
      <c r="AF109" s="2385"/>
      <c r="AG109" s="2371"/>
      <c r="AH109" s="2371"/>
      <c r="AI109" s="2371"/>
      <c r="AJ109" s="2371"/>
      <c r="AK109" s="2371"/>
      <c r="AL109" s="2371"/>
      <c r="AM109" s="2371"/>
      <c r="AN109" s="2371"/>
      <c r="AO109" s="2372"/>
      <c r="AP109" s="2373"/>
      <c r="AQ109" s="2374">
        <f>N109</f>
        <v>0.3</v>
      </c>
      <c r="AR109" s="735">
        <f t="shared" ref="AR109" si="34">ROUNDDOWN(AT109,1)</f>
        <v>3</v>
      </c>
      <c r="AT109" s="2356">
        <f>SUMPRODUCT(AQ110:AQ114,AT110:AT114)</f>
        <v>3</v>
      </c>
    </row>
    <row r="110" spans="2:58">
      <c r="B110" s="614">
        <v>1</v>
      </c>
      <c r="C110" s="616" t="s">
        <v>1251</v>
      </c>
      <c r="D110" s="62"/>
      <c r="E110" s="62"/>
      <c r="F110" s="618"/>
      <c r="G110" s="636">
        <v>5</v>
      </c>
      <c r="H110" s="2692"/>
      <c r="I110" s="2693"/>
      <c r="J110" s="2693"/>
      <c r="K110" s="2693"/>
      <c r="L110" s="2694"/>
      <c r="M110" s="782">
        <f>ROUNDDOWN(S110,1)</f>
        <v>3</v>
      </c>
      <c r="N110" s="750">
        <f t="shared" si="32"/>
        <v>0.3</v>
      </c>
      <c r="O110" s="748">
        <f>ROUNDDOWN(T110,1)</f>
        <v>0</v>
      </c>
      <c r="P110" s="625">
        <f t="shared" si="33"/>
        <v>0</v>
      </c>
      <c r="Q110" s="626">
        <f>ROUNDDOWN(Z110,1)</f>
        <v>3</v>
      </c>
      <c r="R110" s="546"/>
      <c r="S110" s="714">
        <f>IF(採点Q3!F7="対象外",0,採点Q3!F7)</f>
        <v>3</v>
      </c>
      <c r="T110" s="546"/>
      <c r="V110" s="653">
        <f>M110</f>
        <v>3</v>
      </c>
      <c r="W110" s="628">
        <f>重み!D110</f>
        <v>0.3</v>
      </c>
      <c r="X110" s="694"/>
      <c r="Y110" s="628">
        <f>重み!E110</f>
        <v>0</v>
      </c>
      <c r="Z110" s="599">
        <f>IF(X110=0,V110,IF(V110=0,X110,V110*AB$6+X110*AD$6))</f>
        <v>3</v>
      </c>
      <c r="AA110" s="546"/>
      <c r="AB110" s="575">
        <f>重み!M110</f>
        <v>0.3</v>
      </c>
      <c r="AC110" s="281"/>
      <c r="AD110" s="575">
        <f>重み!N110</f>
        <v>0</v>
      </c>
      <c r="AF110" s="2360">
        <v>3</v>
      </c>
      <c r="AG110" s="2360"/>
      <c r="AH110" s="2360"/>
      <c r="AI110" s="2360"/>
      <c r="AJ110" s="2360"/>
      <c r="AK110" s="2360">
        <v>3</v>
      </c>
      <c r="AL110" s="2360"/>
      <c r="AM110" s="2360"/>
      <c r="AN110" s="2360"/>
      <c r="AO110" s="2360"/>
      <c r="AP110" s="2357">
        <f t="shared" ref="AP110:AP112" si="35">ROUNDDOWN(AT110,1)</f>
        <v>3</v>
      </c>
      <c r="AQ110" s="857">
        <f>N110</f>
        <v>0.3</v>
      </c>
      <c r="AR110" s="677"/>
      <c r="AT110" s="2356">
        <f>SUMPRODUCT($AW$7:$BF$7,AF110:AO110)/AV110</f>
        <v>3</v>
      </c>
      <c r="AV110" s="2355">
        <f>SUMPRODUCT($AW$7:$BF$7,AW110:BF110)</f>
        <v>0.34482758620689657</v>
      </c>
      <c r="AW110" s="2341">
        <f t="shared" ref="AW110:BF112" si="36">IF(AF110&gt;0,1,0)</f>
        <v>1</v>
      </c>
      <c r="AX110" s="2341">
        <f t="shared" si="36"/>
        <v>0</v>
      </c>
      <c r="AY110" s="2341">
        <f t="shared" si="36"/>
        <v>0</v>
      </c>
      <c r="AZ110" s="2341">
        <f t="shared" si="36"/>
        <v>0</v>
      </c>
      <c r="BA110" s="2341">
        <f t="shared" si="36"/>
        <v>0</v>
      </c>
      <c r="BB110" s="2341">
        <f t="shared" si="36"/>
        <v>1</v>
      </c>
      <c r="BC110" s="2341">
        <f t="shared" si="36"/>
        <v>0</v>
      </c>
      <c r="BD110" s="2341">
        <f t="shared" si="36"/>
        <v>0</v>
      </c>
      <c r="BE110" s="2341">
        <f t="shared" si="36"/>
        <v>0</v>
      </c>
      <c r="BF110" s="2341">
        <f t="shared" si="36"/>
        <v>0</v>
      </c>
    </row>
    <row r="111" spans="2:58" ht="14.25" thickBot="1">
      <c r="B111" s="783">
        <v>2</v>
      </c>
      <c r="C111" s="669" t="s">
        <v>1252</v>
      </c>
      <c r="D111" s="634"/>
      <c r="E111" s="634"/>
      <c r="F111" s="686"/>
      <c r="G111" s="636">
        <v>5</v>
      </c>
      <c r="H111" s="2680"/>
      <c r="I111" s="2681"/>
      <c r="J111" s="2681"/>
      <c r="K111" s="2681"/>
      <c r="L111" s="2682"/>
      <c r="M111" s="784">
        <f>ROUNDDOWN(S111,1)</f>
        <v>3</v>
      </c>
      <c r="N111" s="785">
        <f t="shared" si="32"/>
        <v>0.4</v>
      </c>
      <c r="O111" s="786">
        <f>ROUNDDOWN(T111,1)</f>
        <v>0</v>
      </c>
      <c r="P111" s="676">
        <f t="shared" si="33"/>
        <v>0</v>
      </c>
      <c r="Q111" s="677">
        <f>ROUNDDOWN(Z111,1)</f>
        <v>3</v>
      </c>
      <c r="R111" s="546"/>
      <c r="S111" s="722">
        <f>IF(採点Q3!F32="対象外",0,採点Q3!F32)</f>
        <v>3</v>
      </c>
      <c r="T111" s="546"/>
      <c r="V111" s="653">
        <f>M111</f>
        <v>3</v>
      </c>
      <c r="W111" s="628">
        <f>重み!D111</f>
        <v>0.4</v>
      </c>
      <c r="X111" s="694"/>
      <c r="Y111" s="628">
        <f>重み!E111</f>
        <v>0</v>
      </c>
      <c r="Z111" s="599">
        <f>IF(X111=0,V111,IF(V111=0,X111,V111*AB$6+X111*AD$6))</f>
        <v>3</v>
      </c>
      <c r="AA111" s="546"/>
      <c r="AB111" s="575">
        <f>重み!M111</f>
        <v>0.4</v>
      </c>
      <c r="AC111" s="281"/>
      <c r="AD111" s="575">
        <f>重み!N111</f>
        <v>0</v>
      </c>
      <c r="AF111" s="2360">
        <v>3</v>
      </c>
      <c r="AG111" s="2360"/>
      <c r="AH111" s="2360"/>
      <c r="AI111" s="2360"/>
      <c r="AJ111" s="2360"/>
      <c r="AK111" s="2360">
        <v>3</v>
      </c>
      <c r="AL111" s="2360"/>
      <c r="AM111" s="2360"/>
      <c r="AN111" s="2360"/>
      <c r="AO111" s="2360"/>
      <c r="AP111" s="2357">
        <f t="shared" si="35"/>
        <v>3</v>
      </c>
      <c r="AQ111" s="857">
        <f>N111</f>
        <v>0.4</v>
      </c>
      <c r="AR111" s="677"/>
      <c r="AT111" s="2356">
        <f>SUMPRODUCT($AW$7:$BF$7,AF111:AO111)/AV111</f>
        <v>3</v>
      </c>
      <c r="AV111" s="2355">
        <f>SUMPRODUCT($AW$7:$BF$7,AW111:BF111)</f>
        <v>0.34482758620689657</v>
      </c>
      <c r="AW111" s="2341">
        <f t="shared" si="36"/>
        <v>1</v>
      </c>
      <c r="AX111" s="2341">
        <f t="shared" si="36"/>
        <v>0</v>
      </c>
      <c r="AY111" s="2341">
        <f t="shared" si="36"/>
        <v>0</v>
      </c>
      <c r="AZ111" s="2341">
        <f t="shared" si="36"/>
        <v>0</v>
      </c>
      <c r="BA111" s="2341">
        <f t="shared" si="36"/>
        <v>0</v>
      </c>
      <c r="BB111" s="2341">
        <f t="shared" si="36"/>
        <v>1</v>
      </c>
      <c r="BC111" s="2341">
        <f t="shared" si="36"/>
        <v>0</v>
      </c>
      <c r="BD111" s="2341">
        <f t="shared" si="36"/>
        <v>0</v>
      </c>
      <c r="BE111" s="2341">
        <f t="shared" si="36"/>
        <v>0</v>
      </c>
      <c r="BF111" s="2341">
        <f t="shared" si="36"/>
        <v>0</v>
      </c>
    </row>
    <row r="112" spans="2:58" ht="14.25" thickBot="1">
      <c r="B112" s="747">
        <v>3</v>
      </c>
      <c r="C112" s="787" t="s">
        <v>1253</v>
      </c>
      <c r="D112" s="646"/>
      <c r="E112" s="646"/>
      <c r="F112" s="713"/>
      <c r="G112" s="656">
        <v>5</v>
      </c>
      <c r="H112" s="671"/>
      <c r="I112" s="672"/>
      <c r="J112" s="672"/>
      <c r="K112" s="672"/>
      <c r="L112" s="673"/>
      <c r="M112" s="701">
        <f>ROUNDDOWN(V112,1)</f>
        <v>3</v>
      </c>
      <c r="N112" s="785">
        <f t="shared" si="32"/>
        <v>0.3</v>
      </c>
      <c r="O112" s="674">
        <f>ROUNDDOWN(X112,1)</f>
        <v>0</v>
      </c>
      <c r="P112" s="676">
        <f t="shared" si="33"/>
        <v>0</v>
      </c>
      <c r="Q112" s="677">
        <f>ROUNDDOWN(Z112,1)</f>
        <v>3</v>
      </c>
      <c r="R112" s="546"/>
      <c r="S112" s="752"/>
      <c r="T112" s="546"/>
      <c r="V112" s="627">
        <f>V113*W113+V114*W114</f>
        <v>3</v>
      </c>
      <c r="W112" s="628">
        <f>重み!D112</f>
        <v>0.3</v>
      </c>
      <c r="X112" s="627">
        <f>X113*Y113+X114*Y114</f>
        <v>0</v>
      </c>
      <c r="Y112" s="628">
        <f>重み!E112</f>
        <v>0</v>
      </c>
      <c r="Z112" s="599">
        <f>IF(X112=0,V112,IF(V112=0,X112,V112*AB$6+X112*AD$6))</f>
        <v>3</v>
      </c>
      <c r="AA112" s="546"/>
      <c r="AB112" s="575">
        <f>重み!M112</f>
        <v>0.3</v>
      </c>
      <c r="AC112" s="281"/>
      <c r="AD112" s="575">
        <f>重み!N112</f>
        <v>0</v>
      </c>
      <c r="AF112" s="2360">
        <v>3</v>
      </c>
      <c r="AG112" s="2360"/>
      <c r="AH112" s="2360"/>
      <c r="AI112" s="2360"/>
      <c r="AJ112" s="2360"/>
      <c r="AK112" s="2360">
        <v>3</v>
      </c>
      <c r="AL112" s="2360"/>
      <c r="AM112" s="2360"/>
      <c r="AN112" s="2360"/>
      <c r="AO112" s="2360"/>
      <c r="AP112" s="2357">
        <f t="shared" si="35"/>
        <v>3</v>
      </c>
      <c r="AQ112" s="857">
        <f>N112</f>
        <v>0.3</v>
      </c>
      <c r="AR112" s="677"/>
      <c r="AT112" s="2356">
        <f>SUMPRODUCT($AW$7:$BF$7,AF112:AO112)/AV112</f>
        <v>3</v>
      </c>
      <c r="AV112" s="2355">
        <f>SUMPRODUCT($AW$7:$BF$7,AW112:BF112)</f>
        <v>0.34482758620689657</v>
      </c>
      <c r="AW112" s="2341">
        <f t="shared" si="36"/>
        <v>1</v>
      </c>
      <c r="AX112" s="2341">
        <f t="shared" si="36"/>
        <v>0</v>
      </c>
      <c r="AY112" s="2341">
        <f t="shared" si="36"/>
        <v>0</v>
      </c>
      <c r="AZ112" s="2341">
        <f t="shared" si="36"/>
        <v>0</v>
      </c>
      <c r="BA112" s="2341">
        <f t="shared" si="36"/>
        <v>0</v>
      </c>
      <c r="BB112" s="2341">
        <f t="shared" si="36"/>
        <v>1</v>
      </c>
      <c r="BC112" s="2341">
        <f t="shared" si="36"/>
        <v>0</v>
      </c>
      <c r="BD112" s="2341">
        <f t="shared" si="36"/>
        <v>0</v>
      </c>
      <c r="BE112" s="2341">
        <f t="shared" si="36"/>
        <v>0</v>
      </c>
      <c r="BF112" s="2341">
        <f t="shared" si="36"/>
        <v>0</v>
      </c>
    </row>
    <row r="113" spans="2:58">
      <c r="B113" s="614"/>
      <c r="C113" s="660">
        <v>3.1</v>
      </c>
      <c r="D113" s="788" t="s">
        <v>1254</v>
      </c>
      <c r="E113" s="646"/>
      <c r="F113" s="713"/>
      <c r="G113" s="636"/>
      <c r="H113" s="2680"/>
      <c r="I113" s="2681"/>
      <c r="J113" s="2681"/>
      <c r="K113" s="2681"/>
      <c r="L113" s="2682"/>
      <c r="M113" s="782">
        <f>ROUNDDOWN(S113,1)</f>
        <v>3</v>
      </c>
      <c r="N113" s="750">
        <f t="shared" si="32"/>
        <v>0.5</v>
      </c>
      <c r="O113" s="748">
        <f>ROUNDDOWN(T113,1)</f>
        <v>0</v>
      </c>
      <c r="P113" s="625">
        <f t="shared" si="33"/>
        <v>0</v>
      </c>
      <c r="Q113" s="626"/>
      <c r="R113" s="546"/>
      <c r="S113" s="714">
        <f>IF(採点Q3!F56="対象外",0,採点Q3!F56)</f>
        <v>3</v>
      </c>
      <c r="T113" s="546"/>
      <c r="V113" s="653">
        <f>M113</f>
        <v>3</v>
      </c>
      <c r="W113" s="628">
        <f>重み!D113</f>
        <v>0.5</v>
      </c>
      <c r="X113" s="694"/>
      <c r="Y113" s="628">
        <f>重み!E113</f>
        <v>0</v>
      </c>
      <c r="Z113" s="599"/>
      <c r="AA113" s="546"/>
      <c r="AB113" s="575">
        <f>重み!M113</f>
        <v>0.5</v>
      </c>
      <c r="AC113" s="281"/>
      <c r="AD113" s="575">
        <f>重み!N113</f>
        <v>0</v>
      </c>
    </row>
    <row r="114" spans="2:58" ht="14.25" thickBot="1">
      <c r="B114" s="614"/>
      <c r="C114" s="667">
        <v>3.2</v>
      </c>
      <c r="D114" s="773" t="s">
        <v>1255</v>
      </c>
      <c r="E114" s="634"/>
      <c r="F114" s="686"/>
      <c r="G114" s="636"/>
      <c r="H114" s="2680"/>
      <c r="I114" s="2681"/>
      <c r="J114" s="2681"/>
      <c r="K114" s="2681"/>
      <c r="L114" s="2682"/>
      <c r="M114" s="668">
        <f>ROUNDDOWN(S114,1)</f>
        <v>3</v>
      </c>
      <c r="N114" s="750">
        <f t="shared" si="32"/>
        <v>0.5</v>
      </c>
      <c r="O114" s="748">
        <f>ROUNDDOWN(T114,1)</f>
        <v>0</v>
      </c>
      <c r="P114" s="789">
        <f t="shared" si="33"/>
        <v>0</v>
      </c>
      <c r="Q114" s="626"/>
      <c r="R114" s="546"/>
      <c r="S114" s="722">
        <f>IF(採点Q3!F87="対象外",0,採点Q3!F87)</f>
        <v>3</v>
      </c>
      <c r="T114" s="546"/>
      <c r="V114" s="653">
        <f>M114</f>
        <v>3</v>
      </c>
      <c r="W114" s="628">
        <f>重み!D114</f>
        <v>0.5</v>
      </c>
      <c r="X114" s="694"/>
      <c r="Y114" s="628">
        <f>重み!E114</f>
        <v>0</v>
      </c>
      <c r="Z114" s="599"/>
      <c r="AA114" s="546"/>
      <c r="AB114" s="575">
        <f>重み!M114</f>
        <v>0.5</v>
      </c>
      <c r="AC114" s="281"/>
      <c r="AD114" s="575">
        <f>重み!N114</f>
        <v>0</v>
      </c>
    </row>
    <row r="115" spans="2:58" ht="14.25" hidden="1" thickBot="1">
      <c r="B115" s="790"/>
      <c r="C115" s="791"/>
      <c r="D115" s="792"/>
      <c r="E115" s="793"/>
      <c r="F115" s="794"/>
      <c r="G115" s="795"/>
      <c r="H115" s="796"/>
      <c r="I115" s="797"/>
      <c r="J115" s="797"/>
      <c r="K115" s="797"/>
      <c r="L115" s="538"/>
      <c r="M115" s="768">
        <f>ROUNDDOWN(V115,1)</f>
        <v>0</v>
      </c>
      <c r="N115" s="798">
        <f t="shared" si="32"/>
        <v>0</v>
      </c>
      <c r="O115" s="751">
        <f>ROUNDDOWN(X115,1)</f>
        <v>0</v>
      </c>
      <c r="P115" s="799">
        <f t="shared" si="33"/>
        <v>0</v>
      </c>
      <c r="Q115" s="626"/>
      <c r="R115" s="546"/>
      <c r="S115" s="545"/>
      <c r="T115" s="546"/>
      <c r="V115" s="694"/>
      <c r="W115" s="612">
        <f>重み!D115</f>
        <v>0</v>
      </c>
      <c r="X115" s="694"/>
      <c r="Y115" s="612">
        <f>重み!E115</f>
        <v>0</v>
      </c>
      <c r="Z115" s="599"/>
      <c r="AA115" s="546"/>
      <c r="AB115" s="575">
        <f>重み!M115</f>
        <v>0</v>
      </c>
      <c r="AC115" s="281"/>
      <c r="AD115" s="575">
        <f>重み!N115</f>
        <v>0</v>
      </c>
    </row>
    <row r="116" spans="2:58" ht="16.5" thickBot="1">
      <c r="B116" s="800" t="s">
        <v>1256</v>
      </c>
      <c r="C116" s="801"/>
      <c r="D116" s="801"/>
      <c r="E116" s="801"/>
      <c r="F116" s="802"/>
      <c r="G116" s="803"/>
      <c r="H116" s="804"/>
      <c r="I116" s="805"/>
      <c r="J116" s="805"/>
      <c r="K116" s="805"/>
      <c r="L116" s="806"/>
      <c r="M116" s="807">
        <f>ROUNDDOWN(V116,1)</f>
        <v>0</v>
      </c>
      <c r="N116" s="808">
        <f t="shared" si="32"/>
        <v>0</v>
      </c>
      <c r="O116" s="809">
        <f>ROUNDDOWN(X116,1)</f>
        <v>0</v>
      </c>
      <c r="P116" s="810">
        <f t="shared" si="33"/>
        <v>0</v>
      </c>
      <c r="Q116" s="811" t="e">
        <f>ROUNDDOWN(Z116,1)</f>
        <v>#N/A</v>
      </c>
      <c r="R116" s="546"/>
      <c r="S116" s="771"/>
      <c r="T116" s="546"/>
      <c r="V116" s="694"/>
      <c r="W116" s="628">
        <f>重み!D116</f>
        <v>0</v>
      </c>
      <c r="X116" s="694"/>
      <c r="Y116" s="628"/>
      <c r="Z116" s="599" t="e">
        <f>W117*Z117+W140*Z140+W159*Z159</f>
        <v>#N/A</v>
      </c>
      <c r="AA116" s="546"/>
      <c r="AB116" s="575">
        <f>重み!M116</f>
        <v>0</v>
      </c>
      <c r="AC116" s="281"/>
      <c r="AD116" s="575">
        <f>重み!N116</f>
        <v>0</v>
      </c>
      <c r="AF116" s="2336"/>
      <c r="AG116" s="2336"/>
      <c r="AH116" s="2336"/>
      <c r="AI116" s="2336"/>
      <c r="AJ116" s="2336"/>
      <c r="AK116" s="2336"/>
      <c r="AL116" s="2336"/>
      <c r="AM116" s="2336"/>
      <c r="AN116" s="2336"/>
      <c r="AO116" s="2343"/>
      <c r="AP116" s="2349"/>
      <c r="AQ116" s="2350"/>
      <c r="AR116" s="2337" t="e">
        <f t="shared" ref="AR116:AR117" si="37">ROUNDDOWN(AT116,1)</f>
        <v>#N/A</v>
      </c>
      <c r="AT116" s="2356" t="e">
        <f>AQ117*AT117+AQ140*AT140+AQ159*AT159</f>
        <v>#N/A</v>
      </c>
    </row>
    <row r="117" spans="2:58" ht="15.75" thickBot="1">
      <c r="B117" s="812" t="s">
        <v>1257</v>
      </c>
      <c r="C117" s="601" t="s">
        <v>1258</v>
      </c>
      <c r="D117" s="601"/>
      <c r="E117" s="601"/>
      <c r="F117" s="813"/>
      <c r="G117" s="603"/>
      <c r="H117" s="604"/>
      <c r="I117" s="605"/>
      <c r="J117" s="605"/>
      <c r="K117" s="605"/>
      <c r="L117" s="606"/>
      <c r="M117" s="814">
        <f>ROUNDDOWN(V117,1)</f>
        <v>0</v>
      </c>
      <c r="N117" s="608" t="e">
        <f t="shared" si="32"/>
        <v>#N/A</v>
      </c>
      <c r="O117" s="609">
        <f>ROUNDDOWN(X117,1)</f>
        <v>0</v>
      </c>
      <c r="P117" s="610">
        <f t="shared" si="33"/>
        <v>0</v>
      </c>
      <c r="Q117" s="611" t="e">
        <f>ROUNDDOWN(Z117,1)</f>
        <v>#N/A</v>
      </c>
      <c r="R117" s="546"/>
      <c r="S117" s="771"/>
      <c r="T117" s="546"/>
      <c r="V117" s="694"/>
      <c r="W117" s="612" t="e">
        <f>重み!D117</f>
        <v>#N/A</v>
      </c>
      <c r="X117" s="694"/>
      <c r="Y117" s="612"/>
      <c r="Z117" s="599" t="e">
        <f>Z118*W118+Z119*W119+Z124*W124+Z133*W133</f>
        <v>#N/A</v>
      </c>
      <c r="AA117" s="546"/>
      <c r="AB117" s="575">
        <f>重み!M117</f>
        <v>0.4</v>
      </c>
      <c r="AC117" s="281"/>
      <c r="AD117" s="575">
        <f>重み!N117</f>
        <v>0</v>
      </c>
      <c r="AF117" s="2338"/>
      <c r="AG117" s="2338"/>
      <c r="AH117" s="2338"/>
      <c r="AI117" s="2338"/>
      <c r="AJ117" s="2338"/>
      <c r="AK117" s="2338"/>
      <c r="AL117" s="2338"/>
      <c r="AM117" s="2338"/>
      <c r="AN117" s="2338"/>
      <c r="AO117" s="2344"/>
      <c r="AP117" s="2351"/>
      <c r="AQ117" s="2352" t="e">
        <f>N117</f>
        <v>#N/A</v>
      </c>
      <c r="AR117" s="611" t="e">
        <f t="shared" si="37"/>
        <v>#N/A</v>
      </c>
      <c r="AT117" s="2356" t="e">
        <f>SUMPRODUCT(AQ118:AQ139,AT118:AT139)</f>
        <v>#N/A</v>
      </c>
    </row>
    <row r="118" spans="2:58" ht="14.25" thickBot="1">
      <c r="B118" s="614">
        <v>1</v>
      </c>
      <c r="C118" s="616" t="s">
        <v>2174</v>
      </c>
      <c r="D118" s="616"/>
      <c r="E118" s="616"/>
      <c r="F118" s="815"/>
      <c r="G118" s="619"/>
      <c r="H118" s="2692"/>
      <c r="I118" s="2693"/>
      <c r="J118" s="2693"/>
      <c r="K118" s="2693"/>
      <c r="L118" s="2694"/>
      <c r="M118" s="816">
        <f>ROUNDDOWN(S118,1)</f>
        <v>5</v>
      </c>
      <c r="N118" s="750" t="e">
        <f t="shared" si="32"/>
        <v>#N/A</v>
      </c>
      <c r="O118" s="2223">
        <f>ROUNDDOWN(T118,1)</f>
        <v>0</v>
      </c>
      <c r="P118" s="625">
        <f t="shared" si="33"/>
        <v>0</v>
      </c>
      <c r="Q118" s="626">
        <f>ROUNDDOWN(Z118,1)</f>
        <v>5</v>
      </c>
      <c r="R118" s="546"/>
      <c r="S118" s="714">
        <f>採点LR1!F16</f>
        <v>5</v>
      </c>
      <c r="T118" s="546"/>
      <c r="V118" s="653">
        <f>M118</f>
        <v>5</v>
      </c>
      <c r="W118" s="628" t="e">
        <f>重み!D118</f>
        <v>#N/A</v>
      </c>
      <c r="X118" s="694"/>
      <c r="Y118" s="628">
        <f>重み!E118</f>
        <v>0</v>
      </c>
      <c r="Z118" s="599">
        <f>IF(X118=0,V118,V118*AB$6+X118*AD$6)</f>
        <v>5</v>
      </c>
      <c r="AA118" s="546"/>
      <c r="AB118" s="575">
        <f>重み!M118</f>
        <v>0.2</v>
      </c>
      <c r="AC118" s="281"/>
      <c r="AD118" s="575">
        <f>重み!N118</f>
        <v>0</v>
      </c>
      <c r="AF118" s="2360"/>
      <c r="AG118" s="2360"/>
      <c r="AH118" s="2360"/>
      <c r="AI118" s="2360"/>
      <c r="AJ118" s="2360"/>
      <c r="AK118" s="2360"/>
      <c r="AL118" s="2360"/>
      <c r="AM118" s="2360"/>
      <c r="AN118" s="2360"/>
      <c r="AO118" s="2360"/>
      <c r="AP118" s="2357">
        <f t="shared" ref="AP118:AP133" si="38">ROUNDDOWN(AT118,1)</f>
        <v>5</v>
      </c>
      <c r="AQ118" s="857" t="e">
        <f>N118</f>
        <v>#N/A</v>
      </c>
      <c r="AR118" s="677"/>
      <c r="AT118" s="2387">
        <f>S118</f>
        <v>5</v>
      </c>
      <c r="AV118" s="2355">
        <f>SUMPRODUCT($AW$7:$BF$7,AW118:BF118)</f>
        <v>0</v>
      </c>
      <c r="AW118" s="2341">
        <f t="shared" ref="AW118:BF119" si="39">IF(AF118&gt;0,1,0)</f>
        <v>0</v>
      </c>
      <c r="AX118" s="2341">
        <f t="shared" si="39"/>
        <v>0</v>
      </c>
      <c r="AY118" s="2341">
        <f t="shared" si="39"/>
        <v>0</v>
      </c>
      <c r="AZ118" s="2341">
        <f t="shared" si="39"/>
        <v>0</v>
      </c>
      <c r="BA118" s="2341">
        <f t="shared" si="39"/>
        <v>0</v>
      </c>
      <c r="BB118" s="2341">
        <f t="shared" si="39"/>
        <v>0</v>
      </c>
      <c r="BC118" s="2341">
        <f t="shared" si="39"/>
        <v>0</v>
      </c>
      <c r="BD118" s="2341">
        <f t="shared" si="39"/>
        <v>0</v>
      </c>
      <c r="BE118" s="2341">
        <f t="shared" si="39"/>
        <v>0</v>
      </c>
      <c r="BF118" s="2341">
        <f t="shared" si="39"/>
        <v>0</v>
      </c>
    </row>
    <row r="119" spans="2:58" ht="14.25" thickBot="1">
      <c r="B119" s="817">
        <v>2</v>
      </c>
      <c r="C119" s="669" t="s">
        <v>1259</v>
      </c>
      <c r="D119" s="669"/>
      <c r="E119" s="669"/>
      <c r="F119" s="818"/>
      <c r="G119" s="636"/>
      <c r="H119" s="2680"/>
      <c r="I119" s="2681"/>
      <c r="J119" s="2681"/>
      <c r="K119" s="2681"/>
      <c r="L119" s="2682"/>
      <c r="M119" s="848">
        <f>ROUNDDOWN(V119,1)</f>
        <v>3</v>
      </c>
      <c r="N119" s="785" t="e">
        <f t="shared" si="32"/>
        <v>#N/A</v>
      </c>
      <c r="O119" s="674">
        <f t="shared" ref="O119:O126" si="40">ROUNDDOWN(X119,1)</f>
        <v>0</v>
      </c>
      <c r="P119" s="676">
        <f t="shared" si="33"/>
        <v>0</v>
      </c>
      <c r="Q119" s="677">
        <f>ROUNDDOWN(Z119,1)</f>
        <v>3</v>
      </c>
      <c r="R119" s="546"/>
      <c r="S119" s="752"/>
      <c r="T119" s="546"/>
      <c r="V119" s="627">
        <f>V120*W120+V121*W121</f>
        <v>3</v>
      </c>
      <c r="W119" s="628" t="e">
        <f>重み!D119</f>
        <v>#N/A</v>
      </c>
      <c r="X119" s="627">
        <f>X120*Y120+X121*Y121</f>
        <v>0</v>
      </c>
      <c r="Y119" s="628">
        <f>重み!E119</f>
        <v>0</v>
      </c>
      <c r="Z119" s="599">
        <f>IF(X119=0,V119,IF(V119=0,X119,V119*AB$6+X119*AD$6))</f>
        <v>3</v>
      </c>
      <c r="AA119" s="546"/>
      <c r="AB119" s="575">
        <f>重み!M119</f>
        <v>0.1</v>
      </c>
      <c r="AC119" s="281"/>
      <c r="AD119" s="575">
        <f>重み!N119</f>
        <v>0</v>
      </c>
      <c r="AF119" s="2360">
        <v>3</v>
      </c>
      <c r="AG119" s="2360"/>
      <c r="AH119" s="2360"/>
      <c r="AI119" s="2360"/>
      <c r="AJ119" s="2360"/>
      <c r="AK119" s="2360">
        <v>3</v>
      </c>
      <c r="AL119" s="2360"/>
      <c r="AM119" s="2360"/>
      <c r="AN119" s="2360"/>
      <c r="AO119" s="2360"/>
      <c r="AP119" s="2357">
        <f t="shared" si="38"/>
        <v>3</v>
      </c>
      <c r="AQ119" s="857" t="e">
        <f>N119</f>
        <v>#N/A</v>
      </c>
      <c r="AR119" s="677"/>
      <c r="AT119" s="2356">
        <f>SUMPRODUCT($AW$7:$BF$7,AF119:AO119)/AV119</f>
        <v>3</v>
      </c>
      <c r="AV119" s="2355">
        <f>SUMPRODUCT($AW$7:$BF$7,AW119:BF119)</f>
        <v>0.34482758620689657</v>
      </c>
      <c r="AW119" s="2341">
        <f t="shared" si="39"/>
        <v>1</v>
      </c>
      <c r="AX119" s="2341">
        <f t="shared" si="39"/>
        <v>0</v>
      </c>
      <c r="AY119" s="2341">
        <f t="shared" si="39"/>
        <v>0</v>
      </c>
      <c r="AZ119" s="2341">
        <f t="shared" si="39"/>
        <v>0</v>
      </c>
      <c r="BA119" s="2341">
        <f t="shared" si="39"/>
        <v>0</v>
      </c>
      <c r="BB119" s="2341">
        <f t="shared" si="39"/>
        <v>1</v>
      </c>
      <c r="BC119" s="2341">
        <f t="shared" si="39"/>
        <v>0</v>
      </c>
      <c r="BD119" s="2341">
        <f t="shared" si="39"/>
        <v>0</v>
      </c>
      <c r="BE119" s="2341">
        <f t="shared" si="39"/>
        <v>0</v>
      </c>
      <c r="BF119" s="2341">
        <f t="shared" si="39"/>
        <v>0</v>
      </c>
    </row>
    <row r="120" spans="2:58" ht="14.25" hidden="1" thickBot="1">
      <c r="B120" s="821"/>
      <c r="C120" s="667"/>
      <c r="D120" s="669"/>
      <c r="E120" s="669"/>
      <c r="F120" s="818"/>
      <c r="G120" s="636"/>
      <c r="H120" s="2680"/>
      <c r="I120" s="2681"/>
      <c r="J120" s="2681"/>
      <c r="K120" s="2681"/>
      <c r="L120" s="2682"/>
      <c r="M120" s="649">
        <f t="shared" ref="M120:M126" si="41">ROUNDDOWN(S120,1)</f>
        <v>3</v>
      </c>
      <c r="N120" s="650">
        <f t="shared" ref="N120:N126" si="42">W120</f>
        <v>0</v>
      </c>
      <c r="O120" s="768">
        <f t="shared" si="40"/>
        <v>0</v>
      </c>
      <c r="P120" s="625">
        <f t="shared" ref="P120:P126" si="43">Y120</f>
        <v>0</v>
      </c>
      <c r="Q120" s="642"/>
      <c r="R120" s="546"/>
      <c r="S120" s="714">
        <f>採点LR1!F37</f>
        <v>3</v>
      </c>
      <c r="T120" s="546"/>
      <c r="V120" s="709">
        <f>M120</f>
        <v>3</v>
      </c>
      <c r="W120" s="628">
        <f>重み!D120</f>
        <v>0</v>
      </c>
      <c r="X120" s="694"/>
      <c r="Y120" s="628">
        <f>重み!E120</f>
        <v>0</v>
      </c>
      <c r="Z120" s="599"/>
      <c r="AA120" s="546"/>
      <c r="AB120" s="575">
        <f>重み!M120</f>
        <v>0</v>
      </c>
      <c r="AC120" s="281"/>
      <c r="AD120" s="575">
        <f>重み!N120</f>
        <v>0</v>
      </c>
      <c r="AP120" s="2386">
        <f t="shared" si="38"/>
        <v>0</v>
      </c>
    </row>
    <row r="121" spans="2:58" ht="14.25" hidden="1" thickBot="1">
      <c r="B121" s="821"/>
      <c r="C121" s="667"/>
      <c r="D121" s="773" t="s">
        <v>2922</v>
      </c>
      <c r="E121" s="669"/>
      <c r="F121" s="818"/>
      <c r="G121" s="636"/>
      <c r="H121" s="2680"/>
      <c r="I121" s="2681"/>
      <c r="J121" s="2681"/>
      <c r="K121" s="2681"/>
      <c r="L121" s="2682"/>
      <c r="M121" s="848">
        <f t="shared" si="41"/>
        <v>3</v>
      </c>
      <c r="N121" s="650">
        <f t="shared" si="42"/>
        <v>1</v>
      </c>
      <c r="O121" s="768">
        <f t="shared" si="40"/>
        <v>0</v>
      </c>
      <c r="P121" s="625">
        <f t="shared" si="43"/>
        <v>0</v>
      </c>
      <c r="Q121" s="626"/>
      <c r="R121" s="546"/>
      <c r="S121" s="2245">
        <f>採点LR1!F47</f>
        <v>3</v>
      </c>
      <c r="T121" s="546"/>
      <c r="V121" s="709">
        <f>M121</f>
        <v>3</v>
      </c>
      <c r="W121" s="628">
        <f>重み!D121</f>
        <v>1</v>
      </c>
      <c r="X121" s="627">
        <f>X122*Y122+X123*Y123</f>
        <v>0</v>
      </c>
      <c r="Y121" s="628">
        <f>重み!E121</f>
        <v>0</v>
      </c>
      <c r="Z121" s="599"/>
      <c r="AA121" s="546"/>
      <c r="AB121" s="575">
        <f>重み!M121</f>
        <v>1</v>
      </c>
      <c r="AC121" s="281"/>
      <c r="AD121" s="575">
        <f>重み!N121</f>
        <v>0</v>
      </c>
      <c r="AP121" s="2386">
        <f t="shared" si="38"/>
        <v>0</v>
      </c>
    </row>
    <row r="122" spans="2:58" hidden="1">
      <c r="B122" s="821"/>
      <c r="C122" s="823"/>
      <c r="D122" s="773"/>
      <c r="E122" s="669"/>
      <c r="F122" s="818"/>
      <c r="G122" s="636"/>
      <c r="H122" s="2680"/>
      <c r="I122" s="2681"/>
      <c r="J122" s="2681"/>
      <c r="K122" s="2681"/>
      <c r="L122" s="2682"/>
      <c r="M122" s="782">
        <f t="shared" si="41"/>
        <v>0</v>
      </c>
      <c r="N122" s="650">
        <f t="shared" si="42"/>
        <v>0</v>
      </c>
      <c r="O122" s="768">
        <f t="shared" si="40"/>
        <v>0</v>
      </c>
      <c r="P122" s="625">
        <f t="shared" si="43"/>
        <v>0</v>
      </c>
      <c r="Q122" s="626"/>
      <c r="R122" s="546"/>
      <c r="T122" s="546"/>
      <c r="V122" s="653">
        <f>M122</f>
        <v>0</v>
      </c>
      <c r="W122" s="628">
        <f>重み!D122</f>
        <v>0</v>
      </c>
      <c r="X122" s="694"/>
      <c r="Y122" s="628">
        <f>重み!E122</f>
        <v>0</v>
      </c>
      <c r="Z122" s="599"/>
      <c r="AA122" s="546"/>
      <c r="AB122" s="575">
        <f>重み!M122</f>
        <v>0</v>
      </c>
      <c r="AC122" s="281"/>
      <c r="AD122" s="575">
        <f>重み!N122</f>
        <v>0</v>
      </c>
      <c r="AP122" s="2386">
        <f t="shared" si="38"/>
        <v>0</v>
      </c>
    </row>
    <row r="123" spans="2:58" ht="14.25" hidden="1" thickBot="1">
      <c r="B123" s="825"/>
      <c r="C123" s="823"/>
      <c r="D123" s="773"/>
      <c r="E123" s="669"/>
      <c r="F123" s="818"/>
      <c r="G123" s="636"/>
      <c r="H123" s="2680"/>
      <c r="I123" s="2681"/>
      <c r="J123" s="2681"/>
      <c r="K123" s="2681"/>
      <c r="L123" s="2682"/>
      <c r="M123" s="668">
        <f t="shared" si="41"/>
        <v>0</v>
      </c>
      <c r="N123" s="650">
        <f t="shared" si="42"/>
        <v>0</v>
      </c>
      <c r="O123" s="764">
        <f t="shared" si="40"/>
        <v>0</v>
      </c>
      <c r="P123" s="625">
        <f t="shared" si="43"/>
        <v>0</v>
      </c>
      <c r="Q123" s="741"/>
      <c r="R123" s="546"/>
      <c r="T123" s="546"/>
      <c r="V123" s="653">
        <f>M123</f>
        <v>0</v>
      </c>
      <c r="W123" s="628">
        <f>重み!D123</f>
        <v>0</v>
      </c>
      <c r="X123" s="694"/>
      <c r="Y123" s="628">
        <f>重み!E123</f>
        <v>0</v>
      </c>
      <c r="Z123" s="599"/>
      <c r="AA123" s="546"/>
      <c r="AB123" s="575">
        <f>重み!M123</f>
        <v>0</v>
      </c>
      <c r="AC123" s="281"/>
      <c r="AD123" s="575">
        <f>重み!N123</f>
        <v>0</v>
      </c>
      <c r="AP123" s="2386">
        <f t="shared" si="38"/>
        <v>0</v>
      </c>
    </row>
    <row r="124" spans="2:58" ht="14.25" thickBot="1">
      <c r="B124" s="817">
        <v>3</v>
      </c>
      <c r="C124" s="669" t="s">
        <v>1264</v>
      </c>
      <c r="D124" s="669"/>
      <c r="E124" s="669"/>
      <c r="F124" s="818"/>
      <c r="G124" s="636"/>
      <c r="H124" s="2230" t="str">
        <f>IF(計画書!E24=計画書!S27,"BEI","BEIm")</f>
        <v>BEIm</v>
      </c>
      <c r="I124" s="2231" t="s">
        <v>2035</v>
      </c>
      <c r="J124" s="2232">
        <f>IF(計画書!E24=計画書!S27,計画書!I44,計画書!I25)</f>
        <v>0</v>
      </c>
      <c r="K124" s="2231" t="s">
        <v>1351</v>
      </c>
      <c r="L124" s="2232">
        <f>計画書!N25</f>
        <v>0</v>
      </c>
      <c r="M124" s="701" t="e">
        <f t="shared" si="41"/>
        <v>#N/A</v>
      </c>
      <c r="N124" s="785" t="e">
        <f t="shared" si="42"/>
        <v>#N/A</v>
      </c>
      <c r="O124" s="770">
        <f t="shared" si="40"/>
        <v>0</v>
      </c>
      <c r="P124" s="676">
        <f t="shared" si="43"/>
        <v>0</v>
      </c>
      <c r="Q124" s="677" t="e">
        <f>ROUNDDOWN(Z124,1)</f>
        <v>#N/A</v>
      </c>
      <c r="R124" s="546"/>
      <c r="S124" s="714" t="e">
        <f>採点LR1!F65</f>
        <v>#N/A</v>
      </c>
      <c r="T124" s="546"/>
      <c r="V124" s="653" t="e">
        <f>M124</f>
        <v>#N/A</v>
      </c>
      <c r="W124" s="628" t="e">
        <f>重み!D124</f>
        <v>#N/A</v>
      </c>
      <c r="X124" s="627">
        <f>X125*Y125+X126*Y126</f>
        <v>0</v>
      </c>
      <c r="Y124" s="628">
        <f>重み!F124</f>
        <v>0</v>
      </c>
      <c r="Z124" s="599" t="e">
        <f>IF(X124=0,V124,V124*AB$6+X124*AD$6)</f>
        <v>#N/A</v>
      </c>
      <c r="AA124" s="546"/>
      <c r="AB124" s="575">
        <f>重み!M124</f>
        <v>0.5</v>
      </c>
      <c r="AC124" s="281"/>
      <c r="AD124" s="575">
        <f>重み!N124</f>
        <v>0</v>
      </c>
      <c r="AF124" s="2360"/>
      <c r="AG124" s="2360"/>
      <c r="AH124" s="2360"/>
      <c r="AI124" s="2360"/>
      <c r="AJ124" s="2360"/>
      <c r="AK124" s="2360"/>
      <c r="AL124" s="2360"/>
      <c r="AM124" s="2360"/>
      <c r="AN124" s="2360"/>
      <c r="AO124" s="2360"/>
      <c r="AP124" s="2357" t="e">
        <f t="shared" si="38"/>
        <v>#N/A</v>
      </c>
      <c r="AQ124" s="857" t="e">
        <f>N124</f>
        <v>#N/A</v>
      </c>
      <c r="AR124" s="677"/>
      <c r="AT124" s="2387" t="e">
        <f>S124</f>
        <v>#N/A</v>
      </c>
      <c r="AV124" s="2355">
        <f>SUMPRODUCT($AW$7:$BF$7,AW124:BF124)</f>
        <v>0</v>
      </c>
      <c r="AW124" s="2341">
        <f t="shared" ref="AW124:BF124" si="44">IF(AF124&gt;0,1,0)</f>
        <v>0</v>
      </c>
      <c r="AX124" s="2341">
        <f t="shared" si="44"/>
        <v>0</v>
      </c>
      <c r="AY124" s="2341">
        <f t="shared" si="44"/>
        <v>0</v>
      </c>
      <c r="AZ124" s="2341">
        <f t="shared" si="44"/>
        <v>0</v>
      </c>
      <c r="BA124" s="2341">
        <f t="shared" si="44"/>
        <v>0</v>
      </c>
      <c r="BB124" s="2341">
        <f t="shared" si="44"/>
        <v>0</v>
      </c>
      <c r="BC124" s="2341">
        <f t="shared" si="44"/>
        <v>0</v>
      </c>
      <c r="BD124" s="2341">
        <f t="shared" si="44"/>
        <v>0</v>
      </c>
      <c r="BE124" s="2341">
        <f t="shared" si="44"/>
        <v>0</v>
      </c>
      <c r="BF124" s="2341">
        <f t="shared" si="44"/>
        <v>0</v>
      </c>
    </row>
    <row r="125" spans="2:58">
      <c r="B125" s="821"/>
      <c r="C125" s="667">
        <v>3.1</v>
      </c>
      <c r="D125" s="773" t="s">
        <v>3312</v>
      </c>
      <c r="E125" s="669"/>
      <c r="F125" s="2023"/>
      <c r="G125" s="2023"/>
      <c r="H125" s="2680"/>
      <c r="I125" s="2681"/>
      <c r="J125" s="2681"/>
      <c r="K125" s="2681"/>
      <c r="L125" s="2682"/>
      <c r="M125" s="649">
        <f t="shared" si="41"/>
        <v>0</v>
      </c>
      <c r="N125" s="650" t="s">
        <v>3350</v>
      </c>
      <c r="O125" s="768">
        <f t="shared" si="40"/>
        <v>0</v>
      </c>
      <c r="P125" s="625">
        <f t="shared" si="43"/>
        <v>0</v>
      </c>
      <c r="Q125" s="626"/>
      <c r="R125" s="546"/>
      <c r="S125" s="714">
        <f>採点LR1!G65</f>
        <v>0</v>
      </c>
      <c r="T125" s="546"/>
      <c r="V125" s="709">
        <f t="shared" ref="V125:V131" si="45">M125</f>
        <v>0</v>
      </c>
      <c r="W125" s="628">
        <f>重み!D125</f>
        <v>0</v>
      </c>
      <c r="X125" s="694"/>
      <c r="Y125" s="628">
        <f>重み!F125</f>
        <v>0</v>
      </c>
      <c r="Z125" s="599"/>
      <c r="AA125" s="546"/>
      <c r="AB125" s="575">
        <f>重み!M125</f>
        <v>0.82758620689655171</v>
      </c>
      <c r="AC125" s="281"/>
      <c r="AD125" s="575">
        <f>重み!N125</f>
        <v>0</v>
      </c>
      <c r="AP125" s="2386">
        <f t="shared" si="38"/>
        <v>0</v>
      </c>
    </row>
    <row r="126" spans="2:58" ht="14.25" thickBot="1">
      <c r="B126" s="821"/>
      <c r="C126" s="660">
        <v>3.1</v>
      </c>
      <c r="D126" s="773" t="s">
        <v>3313</v>
      </c>
      <c r="E126" s="669"/>
      <c r="F126" s="2023"/>
      <c r="G126" s="2023"/>
      <c r="H126" s="2680"/>
      <c r="I126" s="2681"/>
      <c r="J126" s="2681"/>
      <c r="K126" s="2681"/>
      <c r="L126" s="2682"/>
      <c r="M126" s="663">
        <f t="shared" si="41"/>
        <v>0</v>
      </c>
      <c r="N126" s="650">
        <f t="shared" si="42"/>
        <v>0</v>
      </c>
      <c r="O126" s="768">
        <f t="shared" si="40"/>
        <v>0</v>
      </c>
      <c r="P126" s="625">
        <f t="shared" si="43"/>
        <v>0</v>
      </c>
      <c r="Q126" s="626"/>
      <c r="R126" s="546"/>
      <c r="S126" s="722">
        <f>採点LR1!F74</f>
        <v>0</v>
      </c>
      <c r="T126" s="546"/>
      <c r="V126" s="709">
        <f t="shared" si="45"/>
        <v>0</v>
      </c>
      <c r="W126" s="628">
        <f>重み!D126</f>
        <v>0</v>
      </c>
      <c r="X126" s="694"/>
      <c r="Y126" s="628">
        <f>重み!F126</f>
        <v>0</v>
      </c>
      <c r="Z126" s="599"/>
      <c r="AA126" s="546"/>
      <c r="AB126" s="575">
        <f>重み!M126</f>
        <v>0.17241379310344829</v>
      </c>
      <c r="AC126" s="281"/>
      <c r="AD126" s="575">
        <f>重み!N126</f>
        <v>0</v>
      </c>
      <c r="AP126" s="2386">
        <f t="shared" si="38"/>
        <v>0</v>
      </c>
    </row>
    <row r="127" spans="2:58" ht="14.25" hidden="1" thickBot="1">
      <c r="B127" s="829"/>
      <c r="C127" s="830">
        <v>3.1</v>
      </c>
      <c r="D127" s="827" t="s">
        <v>1265</v>
      </c>
      <c r="E127" s="704"/>
      <c r="F127" s="705"/>
      <c r="G127" s="636"/>
      <c r="H127" s="2680"/>
      <c r="I127" s="2681"/>
      <c r="J127" s="2681"/>
      <c r="K127" s="2681"/>
      <c r="L127" s="2681"/>
      <c r="M127" s="663">
        <f t="shared" ref="M127:M131" si="46">ROUNDDOWN(S127,1)</f>
        <v>0</v>
      </c>
      <c r="N127" s="650">
        <f t="shared" si="32"/>
        <v>0</v>
      </c>
      <c r="O127" s="768">
        <f t="shared" ref="O127:O133" si="47">ROUNDDOWN(X127,1)</f>
        <v>0</v>
      </c>
      <c r="P127" s="625">
        <f t="shared" si="33"/>
        <v>0</v>
      </c>
      <c r="Q127" s="626"/>
      <c r="R127" s="546"/>
      <c r="S127" s="714">
        <f>採点LR1!F102</f>
        <v>0</v>
      </c>
      <c r="T127" s="546"/>
      <c r="V127" s="709">
        <f t="shared" si="45"/>
        <v>0</v>
      </c>
      <c r="W127" s="628">
        <f>重み!D127</f>
        <v>0</v>
      </c>
      <c r="X127" s="694"/>
      <c r="Y127" s="628">
        <f>重み!E127</f>
        <v>0</v>
      </c>
      <c r="Z127" s="599"/>
      <c r="AA127" s="546"/>
      <c r="AB127" s="575">
        <f>重み!M127</f>
        <v>0.1793103448275862</v>
      </c>
      <c r="AC127" s="281"/>
      <c r="AD127" s="575">
        <f>重み!N127</f>
        <v>0</v>
      </c>
      <c r="AP127" s="2386">
        <f t="shared" si="38"/>
        <v>0</v>
      </c>
    </row>
    <row r="128" spans="2:58" hidden="1">
      <c r="B128" s="829"/>
      <c r="C128" s="830">
        <v>3.2</v>
      </c>
      <c r="D128" s="827" t="s">
        <v>1266</v>
      </c>
      <c r="E128" s="704"/>
      <c r="F128" s="705"/>
      <c r="G128" s="636"/>
      <c r="H128" s="2680"/>
      <c r="I128" s="2681"/>
      <c r="J128" s="2681"/>
      <c r="K128" s="2681"/>
      <c r="L128" s="2681"/>
      <c r="M128" s="663">
        <f t="shared" si="46"/>
        <v>0</v>
      </c>
      <c r="N128" s="650">
        <f t="shared" si="32"/>
        <v>0</v>
      </c>
      <c r="O128" s="768">
        <f t="shared" si="47"/>
        <v>0</v>
      </c>
      <c r="P128" s="625">
        <f t="shared" si="33"/>
        <v>0</v>
      </c>
      <c r="Q128" s="626"/>
      <c r="R128" s="546"/>
      <c r="S128" s="831"/>
      <c r="T128" s="831"/>
      <c r="V128" s="709">
        <f t="shared" si="45"/>
        <v>0</v>
      </c>
      <c r="W128" s="628">
        <f>重み!D128</f>
        <v>0</v>
      </c>
      <c r="X128" s="694"/>
      <c r="Y128" s="628">
        <f>重み!E128</f>
        <v>0</v>
      </c>
      <c r="Z128" s="599"/>
      <c r="AA128" s="546"/>
      <c r="AB128" s="575">
        <f>重み!M128</f>
        <v>2.7586206896551724E-2</v>
      </c>
      <c r="AC128" s="281"/>
      <c r="AD128" s="575">
        <f>重み!N128</f>
        <v>0</v>
      </c>
      <c r="AP128" s="2386">
        <f t="shared" si="38"/>
        <v>0</v>
      </c>
    </row>
    <row r="129" spans="2:58" ht="14.25" hidden="1" thickBot="1">
      <c r="B129" s="829"/>
      <c r="C129" s="830">
        <v>3.3</v>
      </c>
      <c r="D129" s="827" t="s">
        <v>1267</v>
      </c>
      <c r="E129" s="704"/>
      <c r="F129" s="705"/>
      <c r="G129" s="636"/>
      <c r="H129" s="2680"/>
      <c r="I129" s="2681"/>
      <c r="J129" s="2681"/>
      <c r="K129" s="2681"/>
      <c r="L129" s="2681"/>
      <c r="M129" s="663">
        <f t="shared" si="46"/>
        <v>0</v>
      </c>
      <c r="N129" s="650">
        <f t="shared" si="32"/>
        <v>0</v>
      </c>
      <c r="O129" s="768">
        <f t="shared" si="47"/>
        <v>0</v>
      </c>
      <c r="P129" s="625">
        <f t="shared" si="33"/>
        <v>0</v>
      </c>
      <c r="Q129" s="626"/>
      <c r="R129" s="546"/>
      <c r="S129" s="722">
        <f>採点LR1!F113</f>
        <v>0</v>
      </c>
      <c r="T129" s="831"/>
      <c r="V129" s="709">
        <f t="shared" si="45"/>
        <v>0</v>
      </c>
      <c r="W129" s="628">
        <f>重み!D129</f>
        <v>0</v>
      </c>
      <c r="X129" s="694"/>
      <c r="Y129" s="628">
        <f>重み!E129</f>
        <v>0</v>
      </c>
      <c r="Z129" s="599"/>
      <c r="AA129" s="546"/>
      <c r="AB129" s="575">
        <f>重み!M129</f>
        <v>5.5172413793103448E-2</v>
      </c>
      <c r="AC129" s="281"/>
      <c r="AD129" s="575">
        <f>重み!N129</f>
        <v>0</v>
      </c>
      <c r="AP129" s="2386">
        <f t="shared" si="38"/>
        <v>0</v>
      </c>
    </row>
    <row r="130" spans="2:58" hidden="1">
      <c r="B130" s="829"/>
      <c r="C130" s="830">
        <v>3.4</v>
      </c>
      <c r="D130" s="827" t="s">
        <v>1268</v>
      </c>
      <c r="E130" s="704"/>
      <c r="F130" s="705"/>
      <c r="G130" s="636"/>
      <c r="H130" s="2680"/>
      <c r="I130" s="2681"/>
      <c r="J130" s="2681"/>
      <c r="K130" s="2681"/>
      <c r="L130" s="2681"/>
      <c r="M130" s="663">
        <f t="shared" si="46"/>
        <v>0</v>
      </c>
      <c r="N130" s="650">
        <f t="shared" si="32"/>
        <v>0</v>
      </c>
      <c r="O130" s="768">
        <f t="shared" si="47"/>
        <v>0</v>
      </c>
      <c r="P130" s="625">
        <f t="shared" si="33"/>
        <v>0</v>
      </c>
      <c r="Q130" s="626"/>
      <c r="R130" s="546"/>
      <c r="S130" s="678"/>
      <c r="T130" s="546"/>
      <c r="V130" s="709">
        <f t="shared" si="45"/>
        <v>0</v>
      </c>
      <c r="W130" s="628">
        <f>重み!D130</f>
        <v>0</v>
      </c>
      <c r="X130" s="694"/>
      <c r="Y130" s="628">
        <f>重み!E130</f>
        <v>0</v>
      </c>
      <c r="Z130" s="599"/>
      <c r="AA130" s="546"/>
      <c r="AB130" s="575">
        <f>重み!M130</f>
        <v>1.3793103448275862E-2</v>
      </c>
      <c r="AC130" s="281"/>
      <c r="AD130" s="575">
        <f>重み!N130</f>
        <v>0</v>
      </c>
      <c r="AP130" s="2386">
        <f t="shared" si="38"/>
        <v>0</v>
      </c>
    </row>
    <row r="131" spans="2:58" ht="14.25" hidden="1" thickBot="1">
      <c r="B131" s="829"/>
      <c r="C131" s="830">
        <v>3.5</v>
      </c>
      <c r="D131" s="827" t="s">
        <v>1269</v>
      </c>
      <c r="E131" s="704"/>
      <c r="F131" s="705"/>
      <c r="G131" s="636"/>
      <c r="H131" s="2680"/>
      <c r="I131" s="2681"/>
      <c r="J131" s="2681"/>
      <c r="K131" s="2681"/>
      <c r="L131" s="2681"/>
      <c r="M131" s="663">
        <f t="shared" si="46"/>
        <v>0</v>
      </c>
      <c r="N131" s="750">
        <f t="shared" si="32"/>
        <v>0</v>
      </c>
      <c r="O131" s="768">
        <f t="shared" si="47"/>
        <v>0</v>
      </c>
      <c r="P131" s="625">
        <f t="shared" si="33"/>
        <v>0</v>
      </c>
      <c r="Q131" s="626"/>
      <c r="R131" s="546"/>
      <c r="S131" s="643"/>
      <c r="T131" s="546"/>
      <c r="V131" s="709">
        <f t="shared" si="45"/>
        <v>0</v>
      </c>
      <c r="W131" s="628">
        <f>重み!D131</f>
        <v>0</v>
      </c>
      <c r="X131" s="694"/>
      <c r="Y131" s="628">
        <f>重み!E131</f>
        <v>0</v>
      </c>
      <c r="Z131" s="599"/>
      <c r="AA131" s="546"/>
      <c r="AB131" s="575">
        <f>重み!M131</f>
        <v>0</v>
      </c>
      <c r="AC131" s="281"/>
      <c r="AD131" s="575">
        <f>重み!N131</f>
        <v>0</v>
      </c>
      <c r="AP131" s="2386">
        <f t="shared" si="38"/>
        <v>0</v>
      </c>
    </row>
    <row r="132" spans="2:58" ht="14.25" thickBot="1">
      <c r="B132" s="832"/>
      <c r="C132" s="667">
        <v>3.2</v>
      </c>
      <c r="D132" s="773" t="s">
        <v>3315</v>
      </c>
      <c r="E132" s="634"/>
      <c r="F132" s="686"/>
      <c r="G132" s="636"/>
      <c r="H132" s="2680"/>
      <c r="I132" s="2681"/>
      <c r="J132" s="2681"/>
      <c r="K132" s="2681"/>
      <c r="L132" s="2681"/>
      <c r="M132" s="657" t="e">
        <f>ROUNDDOWN(S132,1)</f>
        <v>#N/A</v>
      </c>
      <c r="N132" s="624">
        <f>W125</f>
        <v>0</v>
      </c>
      <c r="O132" s="748">
        <f t="shared" si="47"/>
        <v>0</v>
      </c>
      <c r="P132" s="625">
        <f t="shared" si="33"/>
        <v>0</v>
      </c>
      <c r="Q132" s="626"/>
      <c r="R132" s="546"/>
      <c r="S132" s="833" t="e">
        <f>採点LR1!F92</f>
        <v>#N/A</v>
      </c>
      <c r="T132" s="831"/>
      <c r="V132" s="709" t="e">
        <f>M132</f>
        <v>#N/A</v>
      </c>
      <c r="W132" s="628">
        <f>重み!D132</f>
        <v>0</v>
      </c>
      <c r="X132" s="694"/>
      <c r="Y132" s="628">
        <f>重み!E132</f>
        <v>0</v>
      </c>
      <c r="Z132" s="599"/>
      <c r="AA132" s="546"/>
      <c r="AB132" s="575">
        <f>重み!M132</f>
        <v>0.82758620689655171</v>
      </c>
      <c r="AC132" s="281"/>
      <c r="AD132" s="575">
        <f>重み!N132</f>
        <v>0</v>
      </c>
      <c r="AP132" s="2386">
        <f t="shared" si="38"/>
        <v>0</v>
      </c>
    </row>
    <row r="133" spans="2:58">
      <c r="B133" s="817">
        <v>4</v>
      </c>
      <c r="C133" s="669" t="s">
        <v>1270</v>
      </c>
      <c r="D133" s="616"/>
      <c r="E133" s="616"/>
      <c r="F133" s="618"/>
      <c r="G133" s="636"/>
      <c r="H133" s="671"/>
      <c r="I133" s="672"/>
      <c r="J133" s="672"/>
      <c r="K133" s="672"/>
      <c r="L133" s="2229"/>
      <c r="M133" s="2224">
        <f>ROUNDDOWN(V133,1)</f>
        <v>3</v>
      </c>
      <c r="N133" s="675" t="e">
        <f t="shared" si="32"/>
        <v>#N/A</v>
      </c>
      <c r="O133" s="770">
        <f t="shared" si="47"/>
        <v>0</v>
      </c>
      <c r="P133" s="676">
        <f t="shared" si="33"/>
        <v>0</v>
      </c>
      <c r="Q133" s="677">
        <f>ROUNDDOWN(Z133,1)</f>
        <v>3</v>
      </c>
      <c r="R133" s="546"/>
      <c r="S133" s="771"/>
      <c r="T133" s="546"/>
      <c r="V133" s="627">
        <f>V134*W134+V137*W137</f>
        <v>3</v>
      </c>
      <c r="W133" s="628" t="e">
        <f>重み!D133</f>
        <v>#N/A</v>
      </c>
      <c r="X133" s="627">
        <f>X134*Y134+X137*Y137</f>
        <v>0</v>
      </c>
      <c r="Y133" s="628">
        <f>重み!E133</f>
        <v>0</v>
      </c>
      <c r="Z133" s="599">
        <f>IF(X133=0,V133,V133*AB$6+X133*AD$6)</f>
        <v>3</v>
      </c>
      <c r="AA133" s="546"/>
      <c r="AB133" s="575">
        <f>重み!M133</f>
        <v>0.2</v>
      </c>
      <c r="AC133" s="281"/>
      <c r="AD133" s="575">
        <f>重み!N133</f>
        <v>0</v>
      </c>
      <c r="AF133" s="2360">
        <v>3</v>
      </c>
      <c r="AG133" s="2360"/>
      <c r="AH133" s="2360"/>
      <c r="AI133" s="2360"/>
      <c r="AJ133" s="2360"/>
      <c r="AK133" s="2360">
        <v>3</v>
      </c>
      <c r="AL133" s="2360"/>
      <c r="AM133" s="2360"/>
      <c r="AN133" s="2360"/>
      <c r="AO133" s="2360"/>
      <c r="AP133" s="2357">
        <f t="shared" si="38"/>
        <v>3</v>
      </c>
      <c r="AQ133" s="857" t="e">
        <f>N133</f>
        <v>#N/A</v>
      </c>
      <c r="AR133" s="677"/>
      <c r="AT133" s="2356">
        <f>SUMPRODUCT($AW$7:$BF$7,AF133:AO133)/AV133</f>
        <v>3</v>
      </c>
      <c r="AV133" s="2355">
        <f>SUMPRODUCT($AW$7:$BF$7,AW133:BF133)</f>
        <v>0.34482758620689657</v>
      </c>
      <c r="AW133" s="2341">
        <f t="shared" ref="AW133:BF133" si="48">IF(AF133&gt;0,1,0)</f>
        <v>1</v>
      </c>
      <c r="AX133" s="2341">
        <f t="shared" si="48"/>
        <v>0</v>
      </c>
      <c r="AY133" s="2341">
        <f t="shared" si="48"/>
        <v>0</v>
      </c>
      <c r="AZ133" s="2341">
        <f t="shared" si="48"/>
        <v>0</v>
      </c>
      <c r="BA133" s="2341">
        <f t="shared" si="48"/>
        <v>0</v>
      </c>
      <c r="BB133" s="2341">
        <f t="shared" si="48"/>
        <v>1</v>
      </c>
      <c r="BC133" s="2341">
        <f t="shared" si="48"/>
        <v>0</v>
      </c>
      <c r="BD133" s="2341">
        <f t="shared" si="48"/>
        <v>0</v>
      </c>
      <c r="BE133" s="2341">
        <f t="shared" si="48"/>
        <v>0</v>
      </c>
      <c r="BF133" s="2341">
        <f t="shared" si="48"/>
        <v>0</v>
      </c>
    </row>
    <row r="134" spans="2:58" ht="14.25" thickBot="1">
      <c r="B134" s="700"/>
      <c r="C134" s="660"/>
      <c r="D134" s="679" t="s">
        <v>1013</v>
      </c>
      <c r="E134" s="633"/>
      <c r="F134" s="681"/>
      <c r="G134" s="636">
        <v>5</v>
      </c>
      <c r="H134" s="620"/>
      <c r="I134" s="621"/>
      <c r="J134" s="621"/>
      <c r="K134" s="621"/>
      <c r="L134" s="622"/>
      <c r="M134" s="701">
        <f>ROUNDDOWN(V134,1)</f>
        <v>3</v>
      </c>
      <c r="N134" s="624">
        <f t="shared" si="32"/>
        <v>0.82758620689655171</v>
      </c>
      <c r="O134" s="748">
        <f>ROUNDDOWN(X134,1)</f>
        <v>0</v>
      </c>
      <c r="P134" s="625">
        <f t="shared" si="33"/>
        <v>0</v>
      </c>
      <c r="Q134" s="626"/>
      <c r="R134" s="546"/>
      <c r="S134" s="771"/>
      <c r="T134" s="546"/>
      <c r="V134" s="627">
        <f>SUMPRODUCT(V135:V136,W135:W136)</f>
        <v>3</v>
      </c>
      <c r="W134" s="628">
        <f>重み!D134</f>
        <v>0.82758620689655171</v>
      </c>
      <c r="X134" s="627">
        <f>SUMPRODUCT(X135:X136,Y135:Y136)</f>
        <v>0</v>
      </c>
      <c r="Y134" s="628">
        <f>重み!E134</f>
        <v>0</v>
      </c>
      <c r="Z134" s="599"/>
      <c r="AA134" s="546"/>
      <c r="AB134" s="575">
        <f>重み!M134</f>
        <v>0.82758620689655171</v>
      </c>
      <c r="AC134" s="281"/>
      <c r="AD134" s="575">
        <f>重み!N134</f>
        <v>0</v>
      </c>
    </row>
    <row r="135" spans="2:58">
      <c r="B135" s="700"/>
      <c r="C135" s="840"/>
      <c r="D135" s="645">
        <v>4.0999999999999996</v>
      </c>
      <c r="E135" s="634" t="s">
        <v>1000</v>
      </c>
      <c r="F135" s="686"/>
      <c r="G135" s="636"/>
      <c r="H135" s="2680"/>
      <c r="I135" s="2681"/>
      <c r="J135" s="2681"/>
      <c r="K135" s="2681"/>
      <c r="L135" s="2682"/>
      <c r="M135" s="649">
        <f>ROUNDDOWN(S135,1)</f>
        <v>3</v>
      </c>
      <c r="N135" s="750">
        <f t="shared" si="32"/>
        <v>0.5</v>
      </c>
      <c r="O135" s="751">
        <f>ROUNDDOWN(T135,1)</f>
        <v>0</v>
      </c>
      <c r="P135" s="625">
        <f t="shared" si="33"/>
        <v>0</v>
      </c>
      <c r="Q135" s="626"/>
      <c r="R135" s="546"/>
      <c r="S135" s="714">
        <f>採点LR1!F127</f>
        <v>3</v>
      </c>
      <c r="T135" s="831"/>
      <c r="V135" s="653">
        <f>M135</f>
        <v>3</v>
      </c>
      <c r="W135" s="628">
        <f>重み!D135</f>
        <v>0.5</v>
      </c>
      <c r="X135" s="694"/>
      <c r="Y135" s="628">
        <f>重み!E135</f>
        <v>0</v>
      </c>
      <c r="Z135" s="599"/>
      <c r="AA135" s="546"/>
      <c r="AB135" s="575">
        <f>重み!M135</f>
        <v>0.41379310344827586</v>
      </c>
      <c r="AC135" s="281"/>
      <c r="AD135" s="575"/>
    </row>
    <row r="136" spans="2:58" ht="14.25" thickBot="1">
      <c r="B136" s="700"/>
      <c r="C136" s="841"/>
      <c r="D136" s="645">
        <v>4.2</v>
      </c>
      <c r="E136" s="634" t="s">
        <v>1007</v>
      </c>
      <c r="F136" s="686"/>
      <c r="G136" s="636"/>
      <c r="H136" s="2680"/>
      <c r="I136" s="2681"/>
      <c r="J136" s="2681"/>
      <c r="K136" s="2681"/>
      <c r="L136" s="2682"/>
      <c r="M136" s="657">
        <f>ROUNDDOWN(S136,1)</f>
        <v>3</v>
      </c>
      <c r="N136" s="750">
        <f t="shared" si="32"/>
        <v>0.5</v>
      </c>
      <c r="O136" s="751">
        <f>ROUNDDOWN(T136,1)</f>
        <v>0</v>
      </c>
      <c r="P136" s="625">
        <f t="shared" si="33"/>
        <v>0</v>
      </c>
      <c r="Q136" s="626"/>
      <c r="R136" s="546"/>
      <c r="S136" s="722">
        <f>採点LR1!F157</f>
        <v>3</v>
      </c>
      <c r="T136" s="831"/>
      <c r="V136" s="653">
        <f>M136</f>
        <v>3</v>
      </c>
      <c r="W136" s="628">
        <f>重み!D136</f>
        <v>0.5</v>
      </c>
      <c r="X136" s="694"/>
      <c r="Y136" s="628">
        <f>重み!E136</f>
        <v>0</v>
      </c>
      <c r="Z136" s="599"/>
      <c r="AA136" s="546"/>
      <c r="AB136" s="575">
        <f>重み!M136</f>
        <v>0.41379310344827586</v>
      </c>
      <c r="AC136" s="281"/>
      <c r="AD136" s="575"/>
    </row>
    <row r="137" spans="2:58" ht="14.25" thickBot="1">
      <c r="B137" s="700"/>
      <c r="C137" s="660"/>
      <c r="D137" s="679" t="s">
        <v>1014</v>
      </c>
      <c r="E137" s="633"/>
      <c r="F137" s="681"/>
      <c r="G137" s="720">
        <v>5</v>
      </c>
      <c r="H137" s="620"/>
      <c r="I137" s="621"/>
      <c r="J137" s="621"/>
      <c r="K137" s="621"/>
      <c r="L137" s="622"/>
      <c r="M137" s="701">
        <f>ROUNDDOWN(V137,1)</f>
        <v>3</v>
      </c>
      <c r="N137" s="624">
        <f t="shared" si="32"/>
        <v>0.17241379310344829</v>
      </c>
      <c r="O137" s="748">
        <f>ROUNDDOWN(X137,1)</f>
        <v>0</v>
      </c>
      <c r="P137" s="625">
        <f t="shared" si="33"/>
        <v>0</v>
      </c>
      <c r="Q137" s="626"/>
      <c r="R137" s="546"/>
      <c r="S137" s="771"/>
      <c r="T137" s="546"/>
      <c r="V137" s="627">
        <f>SUMPRODUCT(V138:V139,W138:W139)</f>
        <v>3</v>
      </c>
      <c r="W137" s="628">
        <f>重み!D137</f>
        <v>0.17241379310344829</v>
      </c>
      <c r="X137" s="627">
        <f>SUMPRODUCT(X138:X139,Y138:Y139)</f>
        <v>0</v>
      </c>
      <c r="Y137" s="628">
        <f>重み!E137</f>
        <v>0</v>
      </c>
      <c r="Z137" s="599"/>
      <c r="AA137" s="546"/>
      <c r="AB137" s="575">
        <f>重み!M137</f>
        <v>0.17241379310344829</v>
      </c>
      <c r="AC137" s="281"/>
      <c r="AD137" s="575">
        <f>重み!N137</f>
        <v>0</v>
      </c>
    </row>
    <row r="138" spans="2:58">
      <c r="B138" s="700"/>
      <c r="C138" s="840"/>
      <c r="D138" s="645">
        <v>4.0999999999999996</v>
      </c>
      <c r="E138" s="634" t="s">
        <v>1000</v>
      </c>
      <c r="F138" s="686"/>
      <c r="G138" s="636"/>
      <c r="H138" s="2680"/>
      <c r="I138" s="2681"/>
      <c r="J138" s="2681"/>
      <c r="K138" s="2681"/>
      <c r="L138" s="2682"/>
      <c r="M138" s="649">
        <f>ROUNDDOWN(S138,1)</f>
        <v>3</v>
      </c>
      <c r="N138" s="750">
        <f t="shared" si="32"/>
        <v>0.5</v>
      </c>
      <c r="O138" s="751">
        <f>ROUNDDOWN(T138,1)</f>
        <v>0</v>
      </c>
      <c r="P138" s="625">
        <f t="shared" si="33"/>
        <v>0</v>
      </c>
      <c r="Q138" s="626"/>
      <c r="R138" s="546"/>
      <c r="S138" s="714">
        <f>採点LR1!K127</f>
        <v>3</v>
      </c>
      <c r="T138" s="546"/>
      <c r="V138" s="653">
        <f>M138</f>
        <v>3</v>
      </c>
      <c r="W138" s="628">
        <f>重み!D138</f>
        <v>0.5</v>
      </c>
      <c r="X138" s="694"/>
      <c r="Y138" s="628">
        <f>重み!E138</f>
        <v>0</v>
      </c>
      <c r="Z138" s="599"/>
      <c r="AA138" s="546"/>
      <c r="AB138" s="575">
        <f>重み!M138</f>
        <v>8.6206896551724144E-2</v>
      </c>
      <c r="AC138" s="281"/>
      <c r="AD138" s="575"/>
    </row>
    <row r="139" spans="2:58" ht="14.25" thickBot="1">
      <c r="B139" s="754"/>
      <c r="C139" s="841"/>
      <c r="D139" s="645">
        <v>4.2</v>
      </c>
      <c r="E139" s="634" t="s">
        <v>1007</v>
      </c>
      <c r="F139" s="686"/>
      <c r="G139" s="636"/>
      <c r="H139" s="2680"/>
      <c r="I139" s="2681"/>
      <c r="J139" s="2681"/>
      <c r="K139" s="2681"/>
      <c r="L139" s="2682"/>
      <c r="M139" s="657">
        <f>ROUNDDOWN(S139,1)</f>
        <v>3</v>
      </c>
      <c r="N139" s="750">
        <f t="shared" si="32"/>
        <v>0.5</v>
      </c>
      <c r="O139" s="751">
        <f>ROUNDDOWN(T139,1)</f>
        <v>0</v>
      </c>
      <c r="P139" s="625">
        <f t="shared" si="33"/>
        <v>0</v>
      </c>
      <c r="Q139" s="626"/>
      <c r="R139" s="546"/>
      <c r="S139" s="722">
        <f>採点LR1!K157</f>
        <v>3</v>
      </c>
      <c r="T139" s="546"/>
      <c r="V139" s="653">
        <f>M139</f>
        <v>3</v>
      </c>
      <c r="W139" s="628">
        <f>重み!D139</f>
        <v>0.5</v>
      </c>
      <c r="X139" s="694"/>
      <c r="Y139" s="628">
        <f>重み!E139</f>
        <v>0</v>
      </c>
      <c r="Z139" s="599"/>
      <c r="AA139" s="546"/>
      <c r="AB139" s="575">
        <f>重み!M139</f>
        <v>8.6206896551724144E-2</v>
      </c>
      <c r="AC139" s="281"/>
      <c r="AD139" s="575"/>
    </row>
    <row r="140" spans="2:58" ht="15.75" thickBot="1">
      <c r="B140" s="723" t="s">
        <v>1927</v>
      </c>
      <c r="C140" s="724" t="s">
        <v>1928</v>
      </c>
      <c r="D140" s="724"/>
      <c r="E140" s="724"/>
      <c r="F140" s="779"/>
      <c r="G140" s="780"/>
      <c r="H140" s="728"/>
      <c r="I140" s="729"/>
      <c r="J140" s="729"/>
      <c r="K140" s="729"/>
      <c r="L140" s="730"/>
      <c r="M140" s="731">
        <f>ROUNDDOWN(V140,1)</f>
        <v>0</v>
      </c>
      <c r="N140" s="732" t="e">
        <f t="shared" si="32"/>
        <v>#N/A</v>
      </c>
      <c r="O140" s="733">
        <f>ROUNDDOWN(X140,1)</f>
        <v>0</v>
      </c>
      <c r="P140" s="734">
        <f t="shared" si="33"/>
        <v>0</v>
      </c>
      <c r="Q140" s="735">
        <f>ROUNDDOWN(Z140,1)</f>
        <v>3</v>
      </c>
      <c r="R140" s="546"/>
      <c r="S140" s="545"/>
      <c r="T140" s="546"/>
      <c r="V140" s="694"/>
      <c r="W140" s="612" t="e">
        <f>重み!D140</f>
        <v>#N/A</v>
      </c>
      <c r="X140" s="694"/>
      <c r="Y140" s="612"/>
      <c r="Z140" s="599">
        <f>Z141*W141+Z146*W146+W153*Z153</f>
        <v>3.0466666666666669</v>
      </c>
      <c r="AA140" s="546"/>
      <c r="AB140" s="575">
        <f>重み!M140</f>
        <v>0.3</v>
      </c>
      <c r="AC140" s="281"/>
      <c r="AD140" s="575">
        <f>重み!N140</f>
        <v>0</v>
      </c>
      <c r="AF140" s="2385"/>
      <c r="AG140" s="2371"/>
      <c r="AH140" s="2371"/>
      <c r="AI140" s="2371"/>
      <c r="AJ140" s="2371"/>
      <c r="AK140" s="2371"/>
      <c r="AL140" s="2371"/>
      <c r="AM140" s="2371"/>
      <c r="AN140" s="2371"/>
      <c r="AO140" s="2372"/>
      <c r="AP140" s="2373"/>
      <c r="AQ140" s="2374" t="e">
        <f>N140</f>
        <v>#N/A</v>
      </c>
      <c r="AR140" s="735">
        <f t="shared" ref="AR140" si="49">ROUNDDOWN(AT140,1)</f>
        <v>3</v>
      </c>
      <c r="AT140" s="2356">
        <f>SUMPRODUCT(AQ141:AQ158,AT141:AT158)</f>
        <v>3</v>
      </c>
    </row>
    <row r="141" spans="2:58" ht="14.25" thickBot="1">
      <c r="B141" s="834">
        <v>1</v>
      </c>
      <c r="C141" s="616" t="s">
        <v>1272</v>
      </c>
      <c r="D141" s="616"/>
      <c r="E141" s="616"/>
      <c r="F141" s="618"/>
      <c r="G141" s="619"/>
      <c r="H141" s="835"/>
      <c r="I141" s="836"/>
      <c r="J141" s="836"/>
      <c r="K141" s="836"/>
      <c r="L141" s="837"/>
      <c r="M141" s="701">
        <f>ROUNDDOWN(V141,1)</f>
        <v>3</v>
      </c>
      <c r="N141" s="624">
        <f t="shared" si="32"/>
        <v>0.2</v>
      </c>
      <c r="O141" s="748">
        <f>ROUNDDOWN(X141,1)</f>
        <v>0</v>
      </c>
      <c r="P141" s="625">
        <f t="shared" si="33"/>
        <v>0</v>
      </c>
      <c r="Q141" s="626">
        <f>ROUNDDOWN(Z141,1)</f>
        <v>3</v>
      </c>
      <c r="R141" s="546"/>
      <c r="S141" s="643"/>
      <c r="T141" s="546"/>
      <c r="V141" s="627">
        <f>V142*W142+V143*W143</f>
        <v>3</v>
      </c>
      <c r="W141" s="628">
        <f>重み!D141</f>
        <v>0.2</v>
      </c>
      <c r="X141" s="627">
        <f>X142*Y142+X143*Y143</f>
        <v>0</v>
      </c>
      <c r="Y141" s="628">
        <f>重み!E141</f>
        <v>0</v>
      </c>
      <c r="Z141" s="599">
        <f>IF(X141=0,V141,IF(V141=0,X141,V141*AB$6+X141*AD$6))</f>
        <v>3</v>
      </c>
      <c r="AA141" s="546"/>
      <c r="AB141" s="575">
        <f>重み!M141</f>
        <v>0.2</v>
      </c>
      <c r="AC141" s="281"/>
      <c r="AD141" s="575">
        <f>重み!N141</f>
        <v>0</v>
      </c>
      <c r="AF141" s="2360">
        <v>3</v>
      </c>
      <c r="AG141" s="2360"/>
      <c r="AH141" s="2360"/>
      <c r="AI141" s="2360"/>
      <c r="AJ141" s="2360"/>
      <c r="AK141" s="2360">
        <v>4</v>
      </c>
      <c r="AL141" s="2360"/>
      <c r="AM141" s="2360"/>
      <c r="AN141" s="2360"/>
      <c r="AO141" s="2360"/>
      <c r="AP141" s="2357">
        <f t="shared" ref="AP141:AP153" si="50">ROUNDDOWN(AT141,1)</f>
        <v>3</v>
      </c>
      <c r="AQ141" s="857">
        <f>N141</f>
        <v>0.2</v>
      </c>
      <c r="AR141" s="677"/>
      <c r="AT141" s="2356">
        <f>SUMPRODUCT($AW$7:$BF$7,AF141:AO141)/AV141</f>
        <v>3</v>
      </c>
      <c r="AV141" s="2355">
        <f>SUMPRODUCT($AW$7:$BF$7,AW141:BF141)</f>
        <v>0.34482758620689657</v>
      </c>
      <c r="AW141" s="2341">
        <f t="shared" ref="AW141:BF141" si="51">IF(AF141&gt;0,1,0)</f>
        <v>1</v>
      </c>
      <c r="AX141" s="2341">
        <f t="shared" si="51"/>
        <v>0</v>
      </c>
      <c r="AY141" s="2341">
        <f t="shared" si="51"/>
        <v>0</v>
      </c>
      <c r="AZ141" s="2341">
        <f t="shared" si="51"/>
        <v>0</v>
      </c>
      <c r="BA141" s="2341">
        <f t="shared" si="51"/>
        <v>0</v>
      </c>
      <c r="BB141" s="2341">
        <f t="shared" si="51"/>
        <v>1</v>
      </c>
      <c r="BC141" s="2341">
        <f t="shared" si="51"/>
        <v>0</v>
      </c>
      <c r="BD141" s="2341">
        <f t="shared" si="51"/>
        <v>0</v>
      </c>
      <c r="BE141" s="2341">
        <f t="shared" si="51"/>
        <v>0</v>
      </c>
      <c r="BF141" s="2341">
        <f t="shared" si="51"/>
        <v>0</v>
      </c>
    </row>
    <row r="142" spans="2:58" ht="14.25" thickBot="1">
      <c r="B142" s="700"/>
      <c r="C142" s="667">
        <v>1.1000000000000001</v>
      </c>
      <c r="D142" s="634" t="s">
        <v>1273</v>
      </c>
      <c r="E142" s="634"/>
      <c r="F142" s="686"/>
      <c r="G142" s="636">
        <v>5</v>
      </c>
      <c r="H142" s="2680"/>
      <c r="I142" s="2681"/>
      <c r="J142" s="2681"/>
      <c r="K142" s="2681"/>
      <c r="L142" s="2682"/>
      <c r="M142" s="816">
        <f>ROUNDDOWN(S142,1)</f>
        <v>3</v>
      </c>
      <c r="N142" s="822">
        <f t="shared" si="32"/>
        <v>0.4</v>
      </c>
      <c r="O142" s="760">
        <f>ROUNDDOWN(T142,1)</f>
        <v>0</v>
      </c>
      <c r="P142" s="684">
        <f t="shared" si="33"/>
        <v>0</v>
      </c>
      <c r="Q142" s="642"/>
      <c r="R142" s="546"/>
      <c r="S142" s="714">
        <f>採点LR2!F8</f>
        <v>3</v>
      </c>
      <c r="T142" s="831"/>
      <c r="V142" s="653">
        <f>M142</f>
        <v>3</v>
      </c>
      <c r="W142" s="628">
        <f>重み!D142</f>
        <v>0.4</v>
      </c>
      <c r="X142" s="694"/>
      <c r="Y142" s="628">
        <f>重み!E142</f>
        <v>0</v>
      </c>
      <c r="Z142" s="599"/>
      <c r="AA142" s="546"/>
      <c r="AB142" s="575">
        <f>重み!M142</f>
        <v>0.4</v>
      </c>
      <c r="AC142" s="281"/>
      <c r="AD142" s="575">
        <f>重み!N142</f>
        <v>0</v>
      </c>
      <c r="AP142" s="2386">
        <f t="shared" si="50"/>
        <v>0</v>
      </c>
    </row>
    <row r="143" spans="2:58" ht="14.25" thickBot="1">
      <c r="B143" s="700"/>
      <c r="C143" s="838">
        <v>1.2</v>
      </c>
      <c r="D143" s="679" t="s">
        <v>1274</v>
      </c>
      <c r="E143" s="633"/>
      <c r="F143" s="681"/>
      <c r="G143" s="636">
        <v>5</v>
      </c>
      <c r="H143" s="620"/>
      <c r="I143" s="621"/>
      <c r="J143" s="621"/>
      <c r="K143" s="621"/>
      <c r="L143" s="622"/>
      <c r="M143" s="701">
        <f>ROUNDDOWN(V143,1)</f>
        <v>3</v>
      </c>
      <c r="N143" s="624">
        <f t="shared" ref="N143:N174" si="52">W143</f>
        <v>0.6</v>
      </c>
      <c r="O143" s="748">
        <f>ROUNDDOWN(X143,1)</f>
        <v>0</v>
      </c>
      <c r="P143" s="625">
        <f t="shared" ref="P143:P175" si="53">Y143</f>
        <v>0</v>
      </c>
      <c r="Q143" s="626"/>
      <c r="R143" s="546"/>
      <c r="S143" s="839"/>
      <c r="T143" s="546"/>
      <c r="V143" s="627">
        <f>SUMPRODUCT(V144:V145,W144:W145)</f>
        <v>2.9999999999999996</v>
      </c>
      <c r="W143" s="628">
        <f>重み!D143</f>
        <v>0.6</v>
      </c>
      <c r="X143" s="627">
        <f>SUMPRODUCT(X144:X145,Y144:Y145)</f>
        <v>0</v>
      </c>
      <c r="Y143" s="628">
        <f>重み!E143</f>
        <v>0</v>
      </c>
      <c r="Z143" s="599"/>
      <c r="AA143" s="546"/>
      <c r="AB143" s="575">
        <f>重み!M143</f>
        <v>0.6</v>
      </c>
      <c r="AC143" s="281"/>
      <c r="AD143" s="575">
        <f>重み!N143</f>
        <v>0</v>
      </c>
      <c r="AP143" s="2386">
        <f t="shared" si="50"/>
        <v>0</v>
      </c>
    </row>
    <row r="144" spans="2:58">
      <c r="B144" s="700"/>
      <c r="C144" s="840"/>
      <c r="D144" s="645">
        <v>1</v>
      </c>
      <c r="E144" s="634" t="s">
        <v>1275</v>
      </c>
      <c r="F144" s="686"/>
      <c r="G144" s="636"/>
      <c r="H144" s="2680"/>
      <c r="I144" s="2681"/>
      <c r="J144" s="2681"/>
      <c r="K144" s="2681"/>
      <c r="L144" s="2682"/>
      <c r="M144" s="649">
        <f>ROUNDDOWN(S144,1)</f>
        <v>3</v>
      </c>
      <c r="N144" s="750">
        <f t="shared" si="52"/>
        <v>0.7</v>
      </c>
      <c r="O144" s="751">
        <f>ROUNDDOWN(T144,1)</f>
        <v>0</v>
      </c>
      <c r="P144" s="625">
        <f t="shared" si="53"/>
        <v>0</v>
      </c>
      <c r="Q144" s="626"/>
      <c r="R144" s="546"/>
      <c r="S144" s="746">
        <f>採点LR2!F18</f>
        <v>3</v>
      </c>
      <c r="T144" s="831"/>
      <c r="V144" s="653">
        <f>M144</f>
        <v>3</v>
      </c>
      <c r="W144" s="628">
        <f>重み!D144</f>
        <v>0.7</v>
      </c>
      <c r="X144" s="694"/>
      <c r="Y144" s="628">
        <f>重み!E144</f>
        <v>0</v>
      </c>
      <c r="Z144" s="599"/>
      <c r="AA144" s="546"/>
      <c r="AB144" s="575">
        <f>重み!M144</f>
        <v>0.7</v>
      </c>
      <c r="AC144" s="281"/>
      <c r="AD144" s="575">
        <f>重み!N144</f>
        <v>0</v>
      </c>
      <c r="AP144" s="2386">
        <f t="shared" si="50"/>
        <v>0</v>
      </c>
    </row>
    <row r="145" spans="2:58" ht="14.25" thickBot="1">
      <c r="B145" s="754"/>
      <c r="C145" s="841"/>
      <c r="D145" s="645">
        <v>2</v>
      </c>
      <c r="E145" s="2683" t="s">
        <v>1276</v>
      </c>
      <c r="F145" s="2684"/>
      <c r="G145" s="636"/>
      <c r="H145" s="2680"/>
      <c r="I145" s="2681"/>
      <c r="J145" s="2681"/>
      <c r="K145" s="2681"/>
      <c r="L145" s="2682"/>
      <c r="M145" s="657">
        <f>ROUNDDOWN(S145,1)</f>
        <v>3</v>
      </c>
      <c r="N145" s="750">
        <f t="shared" si="52"/>
        <v>0.3</v>
      </c>
      <c r="O145" s="751">
        <f>ROUNDDOWN(T145,1)</f>
        <v>0</v>
      </c>
      <c r="P145" s="625">
        <f t="shared" si="53"/>
        <v>0</v>
      </c>
      <c r="Q145" s="626"/>
      <c r="R145" s="546"/>
      <c r="S145" s="746">
        <f>採点LR2!K18</f>
        <v>3</v>
      </c>
      <c r="T145" s="831"/>
      <c r="V145" s="653">
        <f>M145</f>
        <v>3</v>
      </c>
      <c r="W145" s="628">
        <f>重み!D145</f>
        <v>0.3</v>
      </c>
      <c r="X145" s="694"/>
      <c r="Y145" s="628">
        <f>重み!E145</f>
        <v>0</v>
      </c>
      <c r="Z145" s="599"/>
      <c r="AA145" s="546"/>
      <c r="AB145" s="575">
        <f>重み!M145</f>
        <v>0.3</v>
      </c>
      <c r="AC145" s="281"/>
      <c r="AD145" s="575">
        <f>重み!N145</f>
        <v>0</v>
      </c>
      <c r="AP145" s="2386">
        <f t="shared" si="50"/>
        <v>0</v>
      </c>
    </row>
    <row r="146" spans="2:58" ht="14.25" thickBot="1">
      <c r="B146" s="817">
        <v>2</v>
      </c>
      <c r="C146" s="769" t="s">
        <v>1277</v>
      </c>
      <c r="D146" s="769"/>
      <c r="E146" s="769"/>
      <c r="F146" s="681"/>
      <c r="G146" s="636"/>
      <c r="H146" s="671"/>
      <c r="I146" s="672"/>
      <c r="J146" s="672"/>
      <c r="K146" s="672"/>
      <c r="L146" s="673"/>
      <c r="M146" s="701">
        <f>ROUNDDOWN(V146,1)</f>
        <v>3</v>
      </c>
      <c r="N146" s="675">
        <f t="shared" si="52"/>
        <v>0.6</v>
      </c>
      <c r="O146" s="786">
        <f>ROUNDDOWN(X146,1)</f>
        <v>0</v>
      </c>
      <c r="P146" s="676">
        <f t="shared" si="53"/>
        <v>0</v>
      </c>
      <c r="Q146" s="677">
        <f>ROUNDDOWN(Z146,1)</f>
        <v>3</v>
      </c>
      <c r="R146" s="546"/>
      <c r="S146" s="839"/>
      <c r="T146" s="546"/>
      <c r="V146" s="627">
        <f>V147*W147+V148*W148+V149*W149+V150*W150+V151*W151+V152*W152</f>
        <v>3.0000000000000004</v>
      </c>
      <c r="W146" s="628">
        <f>重み!D146</f>
        <v>0.6</v>
      </c>
      <c r="X146" s="627">
        <f>X147*Y147+X148*Y148+X149*Y149+X150*Y150+X151*Y151+X152*Y152</f>
        <v>0</v>
      </c>
      <c r="Y146" s="628">
        <f>重み!E146</f>
        <v>0</v>
      </c>
      <c r="Z146" s="599">
        <f>IF(X146=0,V146,IF(V146=0,X146,V146*AB$6+X146*AD$6))</f>
        <v>3.0000000000000004</v>
      </c>
      <c r="AA146" s="546"/>
      <c r="AB146" s="575">
        <f>重み!M146</f>
        <v>0.6</v>
      </c>
      <c r="AC146" s="281"/>
      <c r="AD146" s="575">
        <f>重み!N146</f>
        <v>0</v>
      </c>
      <c r="AF146" s="2360">
        <v>3</v>
      </c>
      <c r="AG146" s="2360"/>
      <c r="AH146" s="2360"/>
      <c r="AI146" s="2360"/>
      <c r="AJ146" s="2360"/>
      <c r="AK146" s="2360">
        <v>4</v>
      </c>
      <c r="AL146" s="2360"/>
      <c r="AM146" s="2360"/>
      <c r="AN146" s="2360"/>
      <c r="AO146" s="2360"/>
      <c r="AP146" s="2357">
        <f t="shared" si="50"/>
        <v>3</v>
      </c>
      <c r="AQ146" s="857">
        <f>N146</f>
        <v>0.6</v>
      </c>
      <c r="AR146" s="677"/>
      <c r="AT146" s="2356">
        <f>SUMPRODUCT($AW$7:$BF$7,AF146:AO146)/AV146</f>
        <v>3</v>
      </c>
      <c r="AV146" s="2355">
        <f>SUMPRODUCT($AW$7:$BF$7,AW146:BF146)</f>
        <v>0.34482758620689657</v>
      </c>
      <c r="AW146" s="2341">
        <f t="shared" ref="AW146:BF146" si="54">IF(AF146&gt;0,1,0)</f>
        <v>1</v>
      </c>
      <c r="AX146" s="2341">
        <f t="shared" si="54"/>
        <v>0</v>
      </c>
      <c r="AY146" s="2341">
        <f t="shared" si="54"/>
        <v>0</v>
      </c>
      <c r="AZ146" s="2341">
        <f t="shared" si="54"/>
        <v>0</v>
      </c>
      <c r="BA146" s="2341">
        <f t="shared" si="54"/>
        <v>0</v>
      </c>
      <c r="BB146" s="2341">
        <f t="shared" si="54"/>
        <v>1</v>
      </c>
      <c r="BC146" s="2341">
        <f t="shared" si="54"/>
        <v>0</v>
      </c>
      <c r="BD146" s="2341">
        <f t="shared" si="54"/>
        <v>0</v>
      </c>
      <c r="BE146" s="2341">
        <f t="shared" si="54"/>
        <v>0</v>
      </c>
      <c r="BF146" s="2341">
        <f t="shared" si="54"/>
        <v>0</v>
      </c>
    </row>
    <row r="147" spans="2:58">
      <c r="B147" s="821"/>
      <c r="C147" s="667">
        <v>2.1</v>
      </c>
      <c r="D147" s="773" t="s">
        <v>1278</v>
      </c>
      <c r="E147" s="634"/>
      <c r="F147" s="686"/>
      <c r="G147" s="636"/>
      <c r="H147" s="2680"/>
      <c r="I147" s="2681"/>
      <c r="J147" s="2681"/>
      <c r="K147" s="2681"/>
      <c r="L147" s="2682"/>
      <c r="M147" s="649">
        <f t="shared" ref="M147:M152" si="55">ROUNDDOWN(S147,1)</f>
        <v>3</v>
      </c>
      <c r="N147" s="750">
        <f t="shared" si="52"/>
        <v>0.1</v>
      </c>
      <c r="O147" s="751">
        <f t="shared" ref="O147:O152" si="56">ROUNDDOWN(T147,1)</f>
        <v>0</v>
      </c>
      <c r="P147" s="625">
        <f t="shared" si="53"/>
        <v>0</v>
      </c>
      <c r="Q147" s="626"/>
      <c r="R147" s="546"/>
      <c r="S147" s="842">
        <f>採点LR2!F29</f>
        <v>3</v>
      </c>
      <c r="T147" s="831"/>
      <c r="V147" s="843">
        <f t="shared" ref="V147:V152" si="57">M147</f>
        <v>3</v>
      </c>
      <c r="W147" s="628">
        <f>重み!D147</f>
        <v>0.1</v>
      </c>
      <c r="X147" s="694"/>
      <c r="Y147" s="628">
        <f>重み!E147</f>
        <v>0</v>
      </c>
      <c r="Z147" s="599"/>
      <c r="AA147" s="546"/>
      <c r="AB147" s="575">
        <f>重み!M147</f>
        <v>0.1</v>
      </c>
      <c r="AC147" s="281"/>
      <c r="AD147" s="575">
        <f>重み!N147</f>
        <v>0</v>
      </c>
      <c r="AP147" s="2386">
        <f t="shared" si="50"/>
        <v>0</v>
      </c>
    </row>
    <row r="148" spans="2:58">
      <c r="B148" s="707"/>
      <c r="C148" s="667">
        <v>2.2000000000000002</v>
      </c>
      <c r="D148" s="773" t="s">
        <v>1279</v>
      </c>
      <c r="E148" s="634"/>
      <c r="F148" s="686"/>
      <c r="G148" s="636">
        <v>5</v>
      </c>
      <c r="H148" s="2680"/>
      <c r="I148" s="2681"/>
      <c r="J148" s="2681"/>
      <c r="K148" s="2681"/>
      <c r="L148" s="2682"/>
      <c r="M148" s="663">
        <f t="shared" si="55"/>
        <v>3</v>
      </c>
      <c r="N148" s="750">
        <f t="shared" si="52"/>
        <v>0.2</v>
      </c>
      <c r="O148" s="751">
        <f t="shared" si="56"/>
        <v>0</v>
      </c>
      <c r="P148" s="625">
        <f t="shared" si="53"/>
        <v>0</v>
      </c>
      <c r="Q148" s="626"/>
      <c r="R148" s="546"/>
      <c r="S148" s="844">
        <f>採点LR2!F51</f>
        <v>3</v>
      </c>
      <c r="T148" s="546"/>
      <c r="V148" s="843">
        <f t="shared" si="57"/>
        <v>3</v>
      </c>
      <c r="W148" s="628">
        <f>重み!D148</f>
        <v>0.2</v>
      </c>
      <c r="X148" s="694"/>
      <c r="Y148" s="628">
        <f>重み!E148</f>
        <v>0</v>
      </c>
      <c r="Z148" s="599"/>
      <c r="AA148" s="546"/>
      <c r="AB148" s="575">
        <f>重み!M148</f>
        <v>0.2</v>
      </c>
      <c r="AC148" s="281"/>
      <c r="AD148" s="575">
        <f>重み!N148</f>
        <v>0</v>
      </c>
      <c r="AP148" s="2386">
        <f t="shared" si="50"/>
        <v>0</v>
      </c>
    </row>
    <row r="149" spans="2:58">
      <c r="B149" s="700"/>
      <c r="C149" s="667">
        <v>2.2999999999999998</v>
      </c>
      <c r="D149" s="634" t="s">
        <v>1280</v>
      </c>
      <c r="E149" s="634"/>
      <c r="F149" s="686"/>
      <c r="G149" s="636"/>
      <c r="H149" s="2680">
        <f>採点LR2!K67</f>
        <v>0</v>
      </c>
      <c r="I149" s="2687"/>
      <c r="J149" s="2687"/>
      <c r="K149" s="2687"/>
      <c r="L149" s="2688"/>
      <c r="M149" s="663">
        <f t="shared" si="55"/>
        <v>3</v>
      </c>
      <c r="N149" s="750">
        <f t="shared" si="52"/>
        <v>0.2</v>
      </c>
      <c r="O149" s="751">
        <f t="shared" si="56"/>
        <v>0</v>
      </c>
      <c r="P149" s="625">
        <f t="shared" si="53"/>
        <v>0</v>
      </c>
      <c r="Q149" s="626"/>
      <c r="R149" s="546"/>
      <c r="S149" s="842">
        <f>採点LR2!F60</f>
        <v>3</v>
      </c>
      <c r="T149" s="831"/>
      <c r="V149" s="843">
        <f t="shared" si="57"/>
        <v>3</v>
      </c>
      <c r="W149" s="628">
        <f>重み!D149</f>
        <v>0.2</v>
      </c>
      <c r="X149" s="694"/>
      <c r="Y149" s="628">
        <f>重み!E149</f>
        <v>0</v>
      </c>
      <c r="Z149" s="599"/>
      <c r="AA149" s="546"/>
      <c r="AB149" s="575">
        <f>重み!M149</f>
        <v>0.2</v>
      </c>
      <c r="AC149" s="281"/>
      <c r="AD149" s="575">
        <f>重み!N149</f>
        <v>0</v>
      </c>
      <c r="AP149" s="2386">
        <f t="shared" si="50"/>
        <v>0</v>
      </c>
    </row>
    <row r="150" spans="2:58">
      <c r="B150" s="700"/>
      <c r="C150" s="667">
        <v>2.4</v>
      </c>
      <c r="D150" s="2685" t="s">
        <v>62</v>
      </c>
      <c r="E150" s="2686"/>
      <c r="F150" s="2684"/>
      <c r="G150" s="636"/>
      <c r="H150" s="2680">
        <f>採点LR2!K92</f>
        <v>0</v>
      </c>
      <c r="I150" s="2687"/>
      <c r="J150" s="2687"/>
      <c r="K150" s="2687"/>
      <c r="L150" s="2688"/>
      <c r="M150" s="663">
        <f t="shared" si="55"/>
        <v>3</v>
      </c>
      <c r="N150" s="750">
        <f t="shared" si="52"/>
        <v>0.2</v>
      </c>
      <c r="O150" s="751">
        <f t="shared" si="56"/>
        <v>0</v>
      </c>
      <c r="P150" s="625">
        <f t="shared" si="53"/>
        <v>0</v>
      </c>
      <c r="Q150" s="626"/>
      <c r="R150" s="546"/>
      <c r="S150" s="842">
        <f>採点LR2!F85</f>
        <v>3</v>
      </c>
      <c r="T150" s="831"/>
      <c r="V150" s="843">
        <f t="shared" si="57"/>
        <v>3</v>
      </c>
      <c r="W150" s="628">
        <f>重み!D150</f>
        <v>0.2</v>
      </c>
      <c r="X150" s="694"/>
      <c r="Y150" s="628">
        <f>重み!E150</f>
        <v>0</v>
      </c>
      <c r="Z150" s="599"/>
      <c r="AA150" s="546"/>
      <c r="AB150" s="575">
        <f>重み!M150</f>
        <v>0.2</v>
      </c>
      <c r="AC150" s="281"/>
      <c r="AD150" s="575">
        <f>重み!N150</f>
        <v>0</v>
      </c>
      <c r="AP150" s="2386">
        <f t="shared" si="50"/>
        <v>0</v>
      </c>
    </row>
    <row r="151" spans="2:58">
      <c r="B151" s="707"/>
      <c r="C151" s="667">
        <v>2.5</v>
      </c>
      <c r="D151" s="773" t="s">
        <v>1281</v>
      </c>
      <c r="E151" s="634"/>
      <c r="F151" s="686"/>
      <c r="G151" s="636">
        <v>5</v>
      </c>
      <c r="H151" s="2680"/>
      <c r="I151" s="2681"/>
      <c r="J151" s="2681"/>
      <c r="K151" s="2681"/>
      <c r="L151" s="2682"/>
      <c r="M151" s="663">
        <f t="shared" si="55"/>
        <v>3</v>
      </c>
      <c r="N151" s="750">
        <f t="shared" si="52"/>
        <v>0.1</v>
      </c>
      <c r="O151" s="751">
        <f t="shared" si="56"/>
        <v>0</v>
      </c>
      <c r="P151" s="625">
        <f t="shared" si="53"/>
        <v>0</v>
      </c>
      <c r="Q151" s="626"/>
      <c r="R151" s="546"/>
      <c r="S151" s="842">
        <f>採点LR2!F143</f>
        <v>3</v>
      </c>
      <c r="T151" s="831"/>
      <c r="V151" s="843">
        <f t="shared" si="57"/>
        <v>3</v>
      </c>
      <c r="W151" s="628">
        <f>重み!D151</f>
        <v>0.1</v>
      </c>
      <c r="X151" s="694"/>
      <c r="Y151" s="628">
        <f>重み!E151</f>
        <v>0</v>
      </c>
      <c r="Z151" s="599"/>
      <c r="AA151" s="546"/>
      <c r="AB151" s="575">
        <f>重み!M151</f>
        <v>0.1</v>
      </c>
      <c r="AC151" s="281"/>
      <c r="AD151" s="575">
        <f>重み!N151</f>
        <v>0</v>
      </c>
      <c r="AP151" s="2386">
        <f t="shared" si="50"/>
        <v>0</v>
      </c>
    </row>
    <row r="152" spans="2:58" ht="14.25" thickBot="1">
      <c r="B152" s="845"/>
      <c r="C152" s="667">
        <v>2.6</v>
      </c>
      <c r="D152" s="773" t="s">
        <v>1282</v>
      </c>
      <c r="E152" s="634"/>
      <c r="F152" s="686"/>
      <c r="G152" s="636">
        <v>5</v>
      </c>
      <c r="H152" s="2680"/>
      <c r="I152" s="2681"/>
      <c r="J152" s="2681"/>
      <c r="K152" s="2681"/>
      <c r="L152" s="2682"/>
      <c r="M152" s="657">
        <f t="shared" si="55"/>
        <v>3</v>
      </c>
      <c r="N152" s="750">
        <f t="shared" si="52"/>
        <v>0.2</v>
      </c>
      <c r="O152" s="751">
        <f t="shared" si="56"/>
        <v>0</v>
      </c>
      <c r="P152" s="625">
        <f t="shared" si="53"/>
        <v>0</v>
      </c>
      <c r="Q152" s="626"/>
      <c r="R152" s="546"/>
      <c r="S152" s="846">
        <f>採点LR2!F152</f>
        <v>3</v>
      </c>
      <c r="T152" s="546"/>
      <c r="V152" s="843">
        <f t="shared" si="57"/>
        <v>3</v>
      </c>
      <c r="W152" s="628">
        <f>重み!D152</f>
        <v>0.2</v>
      </c>
      <c r="X152" s="694"/>
      <c r="Y152" s="628">
        <f>重み!E152</f>
        <v>0</v>
      </c>
      <c r="Z152" s="599"/>
      <c r="AA152" s="546"/>
      <c r="AB152" s="575">
        <f>重み!M152</f>
        <v>0.2</v>
      </c>
      <c r="AC152" s="281"/>
      <c r="AD152" s="575">
        <f>重み!N152</f>
        <v>0</v>
      </c>
      <c r="AP152" s="2386">
        <f t="shared" si="50"/>
        <v>0</v>
      </c>
    </row>
    <row r="153" spans="2:58" ht="14.25" thickBot="1">
      <c r="B153" s="817">
        <v>3</v>
      </c>
      <c r="C153" s="769" t="s">
        <v>1283</v>
      </c>
      <c r="D153" s="773"/>
      <c r="E153" s="634"/>
      <c r="F153" s="686"/>
      <c r="G153" s="636"/>
      <c r="H153" s="671"/>
      <c r="I153" s="672"/>
      <c r="J153" s="672"/>
      <c r="K153" s="672"/>
      <c r="L153" s="673"/>
      <c r="M153" s="701">
        <f>ROUNDDOWN(V153,1)</f>
        <v>3.2</v>
      </c>
      <c r="N153" s="675">
        <f t="shared" si="52"/>
        <v>0.2</v>
      </c>
      <c r="O153" s="786">
        <f>ROUNDDOWN(X153,1)</f>
        <v>0</v>
      </c>
      <c r="P153" s="676">
        <f t="shared" si="53"/>
        <v>0</v>
      </c>
      <c r="Q153" s="677">
        <f>ROUNDDOWN(Z153,1)</f>
        <v>3.2</v>
      </c>
      <c r="R153" s="546"/>
      <c r="S153" s="847"/>
      <c r="T153" s="546"/>
      <c r="V153" s="627">
        <f>V154*W154+V155*W155</f>
        <v>3.2333333333333334</v>
      </c>
      <c r="W153" s="628">
        <f>重み!D153</f>
        <v>0.2</v>
      </c>
      <c r="X153" s="627">
        <f>X154*Y154+X155*Y155</f>
        <v>0</v>
      </c>
      <c r="Y153" s="628">
        <f>重み!E153</f>
        <v>0</v>
      </c>
      <c r="Z153" s="599">
        <f>IF(X153=0,V153,IF(V153=0,X153,V153*AB$6+X153*AD$6))</f>
        <v>3.2333333333333334</v>
      </c>
      <c r="AA153" s="546"/>
      <c r="AB153" s="575">
        <f>重み!M153</f>
        <v>0.2</v>
      </c>
      <c r="AC153" s="281"/>
      <c r="AD153" s="575">
        <f>重み!N153</f>
        <v>0</v>
      </c>
      <c r="AF153" s="2360">
        <v>3</v>
      </c>
      <c r="AG153" s="2360"/>
      <c r="AH153" s="2360"/>
      <c r="AI153" s="2360"/>
      <c r="AJ153" s="2360"/>
      <c r="AK153" s="2360">
        <v>4</v>
      </c>
      <c r="AL153" s="2360"/>
      <c r="AM153" s="2360"/>
      <c r="AN153" s="2360"/>
      <c r="AO153" s="2360"/>
      <c r="AP153" s="2357">
        <f t="shared" si="50"/>
        <v>3</v>
      </c>
      <c r="AQ153" s="857">
        <f>N153</f>
        <v>0.2</v>
      </c>
      <c r="AR153" s="677"/>
      <c r="AT153" s="2356">
        <f>SUMPRODUCT($AW$7:$BF$7,AF153:AO153)/AV153</f>
        <v>3</v>
      </c>
      <c r="AV153" s="2355">
        <f>SUMPRODUCT($AW$7:$BF$7,AW153:BF153)</f>
        <v>0.34482758620689657</v>
      </c>
      <c r="AW153" s="2341">
        <f t="shared" ref="AW153:BF153" si="58">IF(AF153&gt;0,1,0)</f>
        <v>1</v>
      </c>
      <c r="AX153" s="2341">
        <f t="shared" si="58"/>
        <v>0</v>
      </c>
      <c r="AY153" s="2341">
        <f t="shared" si="58"/>
        <v>0</v>
      </c>
      <c r="AZ153" s="2341">
        <f t="shared" si="58"/>
        <v>0</v>
      </c>
      <c r="BA153" s="2341">
        <f t="shared" si="58"/>
        <v>0</v>
      </c>
      <c r="BB153" s="2341">
        <f t="shared" si="58"/>
        <v>1</v>
      </c>
      <c r="BC153" s="2341">
        <f t="shared" si="58"/>
        <v>0</v>
      </c>
      <c r="BD153" s="2341">
        <f t="shared" si="58"/>
        <v>0</v>
      </c>
      <c r="BE153" s="2341">
        <f t="shared" si="58"/>
        <v>0</v>
      </c>
      <c r="BF153" s="2341">
        <f t="shared" si="58"/>
        <v>0</v>
      </c>
    </row>
    <row r="154" spans="2:58" ht="14.25" thickBot="1">
      <c r="B154" s="707"/>
      <c r="C154" s="667">
        <v>3.1</v>
      </c>
      <c r="D154" s="773" t="s">
        <v>1284</v>
      </c>
      <c r="E154" s="634"/>
      <c r="F154" s="686"/>
      <c r="G154" s="636">
        <v>5</v>
      </c>
      <c r="H154" s="2680"/>
      <c r="I154" s="2681"/>
      <c r="J154" s="2681"/>
      <c r="K154" s="2681"/>
      <c r="L154" s="2682"/>
      <c r="M154" s="848">
        <f>ROUNDDOWN(S154,1)</f>
        <v>3</v>
      </c>
      <c r="N154" s="750">
        <f t="shared" si="52"/>
        <v>0.3</v>
      </c>
      <c r="O154" s="751">
        <f>ROUNDDOWN(T154,1)</f>
        <v>0</v>
      </c>
      <c r="P154" s="625">
        <f t="shared" si="53"/>
        <v>0</v>
      </c>
      <c r="Q154" s="626"/>
      <c r="R154" s="546"/>
      <c r="S154" s="849">
        <f>採点LR2!F169</f>
        <v>3</v>
      </c>
      <c r="T154" s="546"/>
      <c r="V154" s="843">
        <f>M154</f>
        <v>3</v>
      </c>
      <c r="W154" s="628">
        <f>重み!D154</f>
        <v>0.3</v>
      </c>
      <c r="X154" s="694"/>
      <c r="Y154" s="628">
        <f>重み!E154</f>
        <v>0</v>
      </c>
      <c r="Z154" s="599"/>
      <c r="AA154" s="546"/>
      <c r="AB154" s="575">
        <f>重み!M154</f>
        <v>0.3</v>
      </c>
      <c r="AC154" s="281"/>
      <c r="AD154" s="575">
        <f>重み!N154</f>
        <v>0</v>
      </c>
    </row>
    <row r="155" spans="2:58" ht="14.25" thickBot="1">
      <c r="B155" s="707"/>
      <c r="C155" s="632">
        <v>3.2</v>
      </c>
      <c r="D155" s="773" t="s">
        <v>1285</v>
      </c>
      <c r="E155" s="633"/>
      <c r="F155" s="681"/>
      <c r="G155" s="636">
        <v>5</v>
      </c>
      <c r="H155" s="620"/>
      <c r="I155" s="621"/>
      <c r="J155" s="621"/>
      <c r="K155" s="621"/>
      <c r="L155" s="850"/>
      <c r="M155" s="701">
        <f>ROUNDDOWN(V155,1)</f>
        <v>3.3</v>
      </c>
      <c r="N155" s="624">
        <f t="shared" si="52"/>
        <v>0.7</v>
      </c>
      <c r="O155" s="748">
        <f>ROUNDDOWN(X155,1)</f>
        <v>0</v>
      </c>
      <c r="P155" s="789">
        <f t="shared" si="53"/>
        <v>0</v>
      </c>
      <c r="Q155" s="626"/>
      <c r="R155" s="546"/>
      <c r="S155" s="851"/>
      <c r="T155" s="546"/>
      <c r="V155" s="627">
        <f>SUMPRODUCT(V156:V158,W156:W158)</f>
        <v>3.3333333333333335</v>
      </c>
      <c r="W155" s="628">
        <f>重み!D155</f>
        <v>0.7</v>
      </c>
      <c r="X155" s="627">
        <f>SUMPRODUCT(X156:X158,Y156:Y158)</f>
        <v>0</v>
      </c>
      <c r="Y155" s="628">
        <f>重み!E155</f>
        <v>0</v>
      </c>
      <c r="Z155" s="599"/>
      <c r="AA155" s="546"/>
      <c r="AB155" s="575">
        <f>重み!M155</f>
        <v>0.7</v>
      </c>
      <c r="AC155" s="281"/>
      <c r="AD155" s="575">
        <f>重み!N155</f>
        <v>0</v>
      </c>
    </row>
    <row r="156" spans="2:58">
      <c r="B156" s="707"/>
      <c r="C156" s="644"/>
      <c r="D156" s="645">
        <v>1</v>
      </c>
      <c r="E156" s="634" t="s">
        <v>144</v>
      </c>
      <c r="F156" s="686"/>
      <c r="G156" s="636"/>
      <c r="H156" s="2680"/>
      <c r="I156" s="2681"/>
      <c r="J156" s="2681"/>
      <c r="K156" s="2681"/>
      <c r="L156" s="2682"/>
      <c r="M156" s="649">
        <f>ROUNDDOWN(S156,1)</f>
        <v>4</v>
      </c>
      <c r="N156" s="750">
        <f t="shared" si="52"/>
        <v>0.33333333333333337</v>
      </c>
      <c r="O156" s="751">
        <f>ROUNDDOWN(T156,1)</f>
        <v>0</v>
      </c>
      <c r="P156" s="625">
        <f t="shared" si="53"/>
        <v>0</v>
      </c>
      <c r="Q156" s="626"/>
      <c r="R156" s="546"/>
      <c r="S156" s="842">
        <f>採点LR2!F203</f>
        <v>4</v>
      </c>
      <c r="T156" s="831"/>
      <c r="V156" s="843">
        <f>M156</f>
        <v>4</v>
      </c>
      <c r="W156" s="628">
        <f>重み!D156</f>
        <v>0.33333333333333337</v>
      </c>
      <c r="X156" s="694"/>
      <c r="Y156" s="628">
        <f>重み!E156</f>
        <v>0</v>
      </c>
      <c r="Z156" s="599"/>
      <c r="AA156" s="546"/>
      <c r="AB156" s="575">
        <f>重み!M156</f>
        <v>0.33333333333333337</v>
      </c>
      <c r="AC156" s="281"/>
      <c r="AD156" s="575">
        <f>重み!N156</f>
        <v>0</v>
      </c>
    </row>
    <row r="157" spans="2:58">
      <c r="B157" s="707"/>
      <c r="C157" s="644"/>
      <c r="D157" s="645">
        <v>2</v>
      </c>
      <c r="E157" s="634" t="s">
        <v>145</v>
      </c>
      <c r="F157" s="686"/>
      <c r="G157" s="636"/>
      <c r="H157" s="2680"/>
      <c r="I157" s="2681"/>
      <c r="J157" s="2681"/>
      <c r="K157" s="2681"/>
      <c r="L157" s="2682"/>
      <c r="M157" s="663">
        <f>ROUNDDOWN(S157,1)</f>
        <v>3</v>
      </c>
      <c r="N157" s="750">
        <f t="shared" si="52"/>
        <v>0.33333333333333337</v>
      </c>
      <c r="O157" s="751">
        <f>ROUNDDOWN(T157,1)</f>
        <v>0</v>
      </c>
      <c r="P157" s="625">
        <f t="shared" si="53"/>
        <v>0</v>
      </c>
      <c r="Q157" s="626"/>
      <c r="R157" s="546"/>
      <c r="S157" s="842">
        <f>採点LR2!K203</f>
        <v>3</v>
      </c>
      <c r="T157" s="831"/>
      <c r="V157" s="843">
        <f>M157</f>
        <v>3</v>
      </c>
      <c r="W157" s="628">
        <f>重み!D157</f>
        <v>0.33333333333333337</v>
      </c>
      <c r="X157" s="694"/>
      <c r="Y157" s="628">
        <f>重み!E157</f>
        <v>0</v>
      </c>
      <c r="Z157" s="599"/>
      <c r="AA157" s="546"/>
      <c r="AB157" s="575">
        <f>重み!M157</f>
        <v>0.33333333333333337</v>
      </c>
      <c r="AC157" s="281"/>
      <c r="AD157" s="575">
        <f>重み!N157</f>
        <v>0</v>
      </c>
    </row>
    <row r="158" spans="2:58" ht="14.25" thickBot="1">
      <c r="B158" s="852"/>
      <c r="C158" s="717"/>
      <c r="D158" s="775">
        <v>3</v>
      </c>
      <c r="E158" s="718" t="s">
        <v>146</v>
      </c>
      <c r="F158" s="719"/>
      <c r="G158" s="720"/>
      <c r="H158" s="2680"/>
      <c r="I158" s="2681"/>
      <c r="J158" s="2681"/>
      <c r="K158" s="2681"/>
      <c r="L158" s="2682"/>
      <c r="M158" s="657">
        <f>ROUNDDOWN(S158,1)</f>
        <v>3</v>
      </c>
      <c r="N158" s="776">
        <f t="shared" si="52"/>
        <v>0.33333333333333337</v>
      </c>
      <c r="O158" s="777">
        <f>ROUNDDOWN(T158,1)</f>
        <v>0</v>
      </c>
      <c r="P158" s="778">
        <f t="shared" si="53"/>
        <v>0</v>
      </c>
      <c r="Q158" s="721"/>
      <c r="R158" s="546"/>
      <c r="S158" s="846">
        <f>採点LR2!F212</f>
        <v>3</v>
      </c>
      <c r="T158" s="546"/>
      <c r="V158" s="843">
        <f>M158</f>
        <v>3</v>
      </c>
      <c r="W158" s="628">
        <f>重み!D158</f>
        <v>0.33333333333333337</v>
      </c>
      <c r="X158" s="694"/>
      <c r="Y158" s="628">
        <f>重み!E158</f>
        <v>0</v>
      </c>
      <c r="Z158" s="599"/>
      <c r="AA158" s="546"/>
      <c r="AB158" s="575">
        <f>重み!M158</f>
        <v>0.33333333333333337</v>
      </c>
      <c r="AC158" s="281"/>
      <c r="AD158" s="575">
        <f>重み!N158</f>
        <v>0</v>
      </c>
    </row>
    <row r="159" spans="2:58" ht="15.75" thickBot="1">
      <c r="B159" s="723" t="s">
        <v>1929</v>
      </c>
      <c r="C159" s="724" t="s">
        <v>1930</v>
      </c>
      <c r="D159" s="724"/>
      <c r="E159" s="724"/>
      <c r="F159" s="779"/>
      <c r="G159" s="780"/>
      <c r="H159" s="728"/>
      <c r="I159" s="729"/>
      <c r="J159" s="729"/>
      <c r="K159" s="729"/>
      <c r="L159" s="730"/>
      <c r="M159" s="853">
        <f>ROUNDDOWN(V159,1)</f>
        <v>0</v>
      </c>
      <c r="N159" s="732" t="e">
        <f t="shared" si="52"/>
        <v>#N/A</v>
      </c>
      <c r="O159" s="733">
        <f>ROUNDDOWN(X159,1)</f>
        <v>0</v>
      </c>
      <c r="P159" s="734">
        <f t="shared" si="53"/>
        <v>0</v>
      </c>
      <c r="Q159" s="735" t="e">
        <f>ROUNDDOWN(Z159,1)</f>
        <v>#N/A</v>
      </c>
      <c r="R159" s="546"/>
      <c r="S159" s="851"/>
      <c r="T159" s="546"/>
      <c r="V159" s="694"/>
      <c r="W159" s="612" t="e">
        <f>重み!D159</f>
        <v>#N/A</v>
      </c>
      <c r="X159" s="694"/>
      <c r="Y159" s="612"/>
      <c r="Z159" s="599" t="e">
        <f>W160*Z160+W161*Z161+W169*Z169</f>
        <v>#N/A</v>
      </c>
      <c r="AA159" s="546"/>
      <c r="AB159" s="575">
        <f>重み!M159</f>
        <v>0.3</v>
      </c>
      <c r="AC159" s="281"/>
      <c r="AD159" s="575">
        <f>重み!N159</f>
        <v>0</v>
      </c>
      <c r="AF159" s="2385"/>
      <c r="AG159" s="2371"/>
      <c r="AH159" s="2371"/>
      <c r="AI159" s="2371"/>
      <c r="AJ159" s="2371"/>
      <c r="AK159" s="2371"/>
      <c r="AL159" s="2371"/>
      <c r="AM159" s="2371"/>
      <c r="AN159" s="2371"/>
      <c r="AO159" s="2372"/>
      <c r="AP159" s="2373"/>
      <c r="AQ159" s="2374" t="e">
        <f>N159</f>
        <v>#N/A</v>
      </c>
      <c r="AR159" s="735" t="e">
        <f t="shared" ref="AR159" si="59">ROUNDDOWN(AT159,1)</f>
        <v>#N/A</v>
      </c>
      <c r="AT159" s="2356" t="e">
        <f>SUMPRODUCT(AQ160:AQ180,AT160:AT180)</f>
        <v>#N/A</v>
      </c>
    </row>
    <row r="160" spans="2:58" ht="14.25" thickBot="1">
      <c r="B160" s="614">
        <v>1</v>
      </c>
      <c r="C160" s="616" t="s">
        <v>670</v>
      </c>
      <c r="D160" s="787"/>
      <c r="E160" s="787"/>
      <c r="F160" s="713"/>
      <c r="G160" s="619"/>
      <c r="H160" s="2680"/>
      <c r="I160" s="2681"/>
      <c r="J160" s="2681"/>
      <c r="K160" s="2681"/>
      <c r="L160" s="2682"/>
      <c r="M160" s="816" t="e">
        <f>ROUNDDOWN(S160,1)</f>
        <v>#N/A</v>
      </c>
      <c r="N160" s="750" t="e">
        <f>W160</f>
        <v>#N/A</v>
      </c>
      <c r="O160" s="748">
        <f>ROUNDDOWN(T160,1)</f>
        <v>0</v>
      </c>
      <c r="P160" s="625">
        <f t="shared" si="53"/>
        <v>0</v>
      </c>
      <c r="Q160" s="626" t="e">
        <f>ROUNDDOWN(Z160,1)</f>
        <v>#N/A</v>
      </c>
      <c r="R160" s="546"/>
      <c r="S160" s="842" t="e">
        <f>採点LR3!F7</f>
        <v>#N/A</v>
      </c>
      <c r="T160" s="831"/>
      <c r="V160" s="843" t="e">
        <f>M160</f>
        <v>#N/A</v>
      </c>
      <c r="W160" s="628" t="e">
        <f>重み!D160</f>
        <v>#N/A</v>
      </c>
      <c r="X160" s="694"/>
      <c r="Y160" s="628">
        <f>重み!E160</f>
        <v>0</v>
      </c>
      <c r="Z160" s="599" t="e">
        <f>IF(X160=0,V160,IF(V160=0,X160,V160*AB$6+X160*AD$6))</f>
        <v>#N/A</v>
      </c>
      <c r="AA160" s="546"/>
      <c r="AB160" s="575">
        <f>重み!M160</f>
        <v>0.33333333333333337</v>
      </c>
      <c r="AC160" s="281"/>
      <c r="AD160" s="575">
        <f>重み!N160</f>
        <v>0</v>
      </c>
      <c r="AF160" s="2360"/>
      <c r="AG160" s="2360"/>
      <c r="AH160" s="2360"/>
      <c r="AI160" s="2360"/>
      <c r="AJ160" s="2360"/>
      <c r="AK160" s="2360">
        <v>4</v>
      </c>
      <c r="AL160" s="2360"/>
      <c r="AM160" s="2360"/>
      <c r="AN160" s="2360"/>
      <c r="AO160" s="2360"/>
      <c r="AP160" s="2357" t="e">
        <f t="shared" ref="AP160:AP169" si="60">ROUNDDOWN(AT160,1)</f>
        <v>#N/A</v>
      </c>
      <c r="AQ160" s="857" t="e">
        <f>N160</f>
        <v>#N/A</v>
      </c>
      <c r="AR160" s="677"/>
      <c r="AT160" s="2387" t="e">
        <f>S160</f>
        <v>#N/A</v>
      </c>
      <c r="AV160" s="2355">
        <f>SUMPRODUCT($AW$7:$BF$7,AW160:BF160)</f>
        <v>0</v>
      </c>
      <c r="AW160" s="2341">
        <f t="shared" ref="AW160:BF161" si="61">IF(AF160&gt;0,1,0)</f>
        <v>0</v>
      </c>
      <c r="AX160" s="2341">
        <f t="shared" si="61"/>
        <v>0</v>
      </c>
      <c r="AY160" s="2341">
        <f t="shared" si="61"/>
        <v>0</v>
      </c>
      <c r="AZ160" s="2341">
        <f t="shared" si="61"/>
        <v>0</v>
      </c>
      <c r="BA160" s="2341">
        <f t="shared" si="61"/>
        <v>0</v>
      </c>
      <c r="BB160" s="2341">
        <f t="shared" si="61"/>
        <v>1</v>
      </c>
      <c r="BC160" s="2341">
        <f t="shared" si="61"/>
        <v>0</v>
      </c>
      <c r="BD160" s="2341">
        <f t="shared" si="61"/>
        <v>0</v>
      </c>
      <c r="BE160" s="2341">
        <f t="shared" si="61"/>
        <v>0</v>
      </c>
      <c r="BF160" s="2341">
        <f t="shared" si="61"/>
        <v>0</v>
      </c>
    </row>
    <row r="161" spans="2:58" ht="14.25" thickBot="1">
      <c r="B161" s="747">
        <v>2</v>
      </c>
      <c r="C161" s="669" t="s">
        <v>671</v>
      </c>
      <c r="D161" s="669"/>
      <c r="E161" s="669"/>
      <c r="F161" s="686"/>
      <c r="G161" s="636">
        <v>5</v>
      </c>
      <c r="H161" s="819"/>
      <c r="I161" s="820"/>
      <c r="J161" s="820"/>
      <c r="K161" s="820"/>
      <c r="L161" s="820"/>
      <c r="M161" s="854">
        <f>ROUNDDOWN(V161,1)</f>
        <v>3</v>
      </c>
      <c r="N161" s="855" t="e">
        <f t="shared" si="52"/>
        <v>#N/A</v>
      </c>
      <c r="O161" s="856">
        <f>ROUNDDOWN(X161,1)</f>
        <v>0</v>
      </c>
      <c r="P161" s="857">
        <f t="shared" si="53"/>
        <v>0</v>
      </c>
      <c r="Q161" s="677">
        <f>ROUNDDOWN(Z161,1)</f>
        <v>3</v>
      </c>
      <c r="R161" s="546"/>
      <c r="S161" s="858"/>
      <c r="T161" s="546"/>
      <c r="V161" s="627">
        <f>SUMPRODUCT(V162:V164,W162:W164)</f>
        <v>3</v>
      </c>
      <c r="W161" s="628" t="e">
        <f>重み!D161</f>
        <v>#N/A</v>
      </c>
      <c r="X161" s="627">
        <f>SUMPRODUCT(X162:X164,Y162:Y164)</f>
        <v>0</v>
      </c>
      <c r="Y161" s="628">
        <f>重み!E161</f>
        <v>0</v>
      </c>
      <c r="Z161" s="599">
        <f>IF(X161=0,V161,IF(V161=0,X161,V161*AB$6+X161*AD$6))</f>
        <v>3</v>
      </c>
      <c r="AA161" s="546"/>
      <c r="AB161" s="575">
        <f>重み!M161</f>
        <v>0.33333333333333337</v>
      </c>
      <c r="AC161" s="281"/>
      <c r="AD161" s="575">
        <f>重み!N161</f>
        <v>0</v>
      </c>
      <c r="AF161" s="2360">
        <v>3</v>
      </c>
      <c r="AG161" s="2360"/>
      <c r="AH161" s="2360"/>
      <c r="AI161" s="2360"/>
      <c r="AJ161" s="2360"/>
      <c r="AK161" s="2360">
        <v>4</v>
      </c>
      <c r="AL161" s="2360"/>
      <c r="AM161" s="2360"/>
      <c r="AN161" s="2360"/>
      <c r="AO161" s="2360"/>
      <c r="AP161" s="2357">
        <f t="shared" si="60"/>
        <v>3</v>
      </c>
      <c r="AQ161" s="857" t="e">
        <f>N161</f>
        <v>#N/A</v>
      </c>
      <c r="AR161" s="677"/>
      <c r="AT161" s="2356">
        <f>SUMPRODUCT($AW$7:$BF$7,AF161:AO161)/AV161</f>
        <v>3</v>
      </c>
      <c r="AV161" s="2355">
        <f>SUMPRODUCT($AW$7:$BF$7,AW161:BF161)</f>
        <v>0.34482758620689657</v>
      </c>
      <c r="AW161" s="2341">
        <f t="shared" si="61"/>
        <v>1</v>
      </c>
      <c r="AX161" s="2341">
        <f t="shared" si="61"/>
        <v>0</v>
      </c>
      <c r="AY161" s="2341">
        <f t="shared" si="61"/>
        <v>0</v>
      </c>
      <c r="AZ161" s="2341">
        <f t="shared" si="61"/>
        <v>0</v>
      </c>
      <c r="BA161" s="2341">
        <f t="shared" si="61"/>
        <v>0</v>
      </c>
      <c r="BB161" s="2341">
        <f t="shared" si="61"/>
        <v>1</v>
      </c>
      <c r="BC161" s="2341">
        <f t="shared" si="61"/>
        <v>0</v>
      </c>
      <c r="BD161" s="2341">
        <f t="shared" si="61"/>
        <v>0</v>
      </c>
      <c r="BE161" s="2341">
        <f t="shared" si="61"/>
        <v>0</v>
      </c>
      <c r="BF161" s="2341">
        <f t="shared" si="61"/>
        <v>0</v>
      </c>
    </row>
    <row r="162" spans="2:58">
      <c r="B162" s="614"/>
      <c r="C162" s="667">
        <v>2.1</v>
      </c>
      <c r="D162" s="788" t="s">
        <v>672</v>
      </c>
      <c r="E162" s="787"/>
      <c r="F162" s="713"/>
      <c r="G162" s="619"/>
      <c r="H162" s="2680"/>
      <c r="I162" s="2681"/>
      <c r="J162" s="2681"/>
      <c r="K162" s="2681"/>
      <c r="L162" s="2682"/>
      <c r="M162" s="782">
        <f>ROUNDDOWN(S162,1)</f>
        <v>3</v>
      </c>
      <c r="N162" s="750">
        <f t="shared" si="52"/>
        <v>0.25</v>
      </c>
      <c r="O162" s="748">
        <f>ROUNDDOWN(T162,1)</f>
        <v>0</v>
      </c>
      <c r="P162" s="625">
        <f t="shared" si="53"/>
        <v>0</v>
      </c>
      <c r="Q162" s="626"/>
      <c r="R162" s="546"/>
      <c r="S162" s="842">
        <f>採点LR3!F21</f>
        <v>3</v>
      </c>
      <c r="T162" s="831"/>
      <c r="V162" s="843">
        <f>M162</f>
        <v>3</v>
      </c>
      <c r="W162" s="628">
        <f>重み!D162</f>
        <v>0.25</v>
      </c>
      <c r="X162" s="694"/>
      <c r="Y162" s="628">
        <f>重み!E162</f>
        <v>0</v>
      </c>
      <c r="Z162" s="599"/>
      <c r="AA162" s="546"/>
      <c r="AB162" s="575">
        <f>重み!M162</f>
        <v>0.25</v>
      </c>
      <c r="AC162" s="281"/>
      <c r="AD162" s="575">
        <f>重み!N162</f>
        <v>0</v>
      </c>
      <c r="AP162" s="2386">
        <f t="shared" si="60"/>
        <v>0</v>
      </c>
    </row>
    <row r="163" spans="2:58" ht="14.25" thickBot="1">
      <c r="B163" s="614"/>
      <c r="C163" s="667">
        <v>2.2000000000000002</v>
      </c>
      <c r="D163" s="788" t="s">
        <v>1931</v>
      </c>
      <c r="E163" s="669"/>
      <c r="F163" s="686"/>
      <c r="G163" s="636">
        <v>5</v>
      </c>
      <c r="H163" s="2680"/>
      <c r="I163" s="2681"/>
      <c r="J163" s="2681"/>
      <c r="K163" s="2681"/>
      <c r="L163" s="2682"/>
      <c r="M163" s="668">
        <f>ROUNDDOWN(S163,1)</f>
        <v>3</v>
      </c>
      <c r="N163" s="750">
        <f t="shared" si="52"/>
        <v>0.5</v>
      </c>
      <c r="O163" s="748">
        <f>ROUNDDOWN(T163,1)</f>
        <v>0</v>
      </c>
      <c r="P163" s="789">
        <f t="shared" si="53"/>
        <v>0</v>
      </c>
      <c r="Q163" s="626"/>
      <c r="R163" s="546"/>
      <c r="S163" s="846">
        <f>採点LR3!F30</f>
        <v>3</v>
      </c>
      <c r="T163" s="546"/>
      <c r="V163" s="843">
        <f>M163</f>
        <v>3</v>
      </c>
      <c r="W163" s="628">
        <f>重み!D163</f>
        <v>0.5</v>
      </c>
      <c r="X163" s="694"/>
      <c r="Y163" s="628">
        <f>重み!E163</f>
        <v>0</v>
      </c>
      <c r="Z163" s="599"/>
      <c r="AA163" s="546"/>
      <c r="AB163" s="575">
        <f>重み!M163</f>
        <v>0.5</v>
      </c>
      <c r="AC163" s="281"/>
      <c r="AD163" s="575">
        <f>重み!N163</f>
        <v>0</v>
      </c>
      <c r="AP163" s="2386">
        <f t="shared" si="60"/>
        <v>0</v>
      </c>
    </row>
    <row r="164" spans="2:58" ht="14.25" thickBot="1">
      <c r="B164" s="614"/>
      <c r="C164" s="660">
        <v>2.2999999999999998</v>
      </c>
      <c r="D164" s="859" t="s">
        <v>673</v>
      </c>
      <c r="E164" s="616"/>
      <c r="F164" s="618"/>
      <c r="G164" s="636">
        <v>5</v>
      </c>
      <c r="H164" s="648"/>
      <c r="I164" s="706"/>
      <c r="J164" s="706"/>
      <c r="K164" s="706"/>
      <c r="L164" s="860"/>
      <c r="M164" s="854">
        <f>ROUNDDOWN(V164,1)</f>
        <v>3</v>
      </c>
      <c r="N164" s="861">
        <f t="shared" si="52"/>
        <v>0.25</v>
      </c>
      <c r="O164" s="768">
        <f>ROUNDDOWN(X164,1)</f>
        <v>0</v>
      </c>
      <c r="P164" s="625">
        <f t="shared" si="53"/>
        <v>0</v>
      </c>
      <c r="Q164" s="626"/>
      <c r="R164" s="546"/>
      <c r="S164" s="858"/>
      <c r="T164" s="546"/>
      <c r="V164" s="627">
        <f>SUMPRODUCT(V165:V168,W165:W168)</f>
        <v>3</v>
      </c>
      <c r="W164" s="628">
        <f>重み!D164</f>
        <v>0.25</v>
      </c>
      <c r="X164" s="627">
        <f>SUMPRODUCT(X165:X168,Y165:Y168)</f>
        <v>0</v>
      </c>
      <c r="Y164" s="628">
        <f>重み!E164</f>
        <v>0</v>
      </c>
      <c r="Z164" s="599"/>
      <c r="AA164" s="546"/>
      <c r="AB164" s="575">
        <f>重み!M164</f>
        <v>0.25</v>
      </c>
      <c r="AC164" s="281"/>
      <c r="AD164" s="575">
        <f>重み!N164</f>
        <v>0</v>
      </c>
      <c r="AP164" s="2386">
        <f t="shared" si="60"/>
        <v>0</v>
      </c>
    </row>
    <row r="165" spans="2:58">
      <c r="B165" s="614"/>
      <c r="C165" s="685"/>
      <c r="D165" s="645">
        <v>1</v>
      </c>
      <c r="E165" s="773" t="s">
        <v>1932</v>
      </c>
      <c r="F165" s="686"/>
      <c r="G165" s="636"/>
      <c r="H165" s="2680"/>
      <c r="I165" s="2681"/>
      <c r="J165" s="2681"/>
      <c r="K165" s="2681"/>
      <c r="L165" s="2682"/>
      <c r="M165" s="649">
        <f>ROUNDDOWN(S165,1)</f>
        <v>3</v>
      </c>
      <c r="N165" s="650">
        <f t="shared" si="52"/>
        <v>0.25</v>
      </c>
      <c r="O165" s="768">
        <f>ROUNDDOWN(T165,1)</f>
        <v>0</v>
      </c>
      <c r="P165" s="650">
        <f t="shared" si="53"/>
        <v>0</v>
      </c>
      <c r="Q165" s="626"/>
      <c r="R165" s="546"/>
      <c r="S165" s="842">
        <f>採点LR3!F63</f>
        <v>3</v>
      </c>
      <c r="T165" s="831"/>
      <c r="V165" s="843">
        <f>M165</f>
        <v>3</v>
      </c>
      <c r="W165" s="628">
        <f>重み!D165</f>
        <v>0.25</v>
      </c>
      <c r="X165" s="694"/>
      <c r="Y165" s="628">
        <f>重み!E168</f>
        <v>0</v>
      </c>
      <c r="Z165" s="599"/>
      <c r="AA165" s="546"/>
      <c r="AB165" s="575">
        <f>重み!M165</f>
        <v>0.25</v>
      </c>
      <c r="AC165" s="281"/>
      <c r="AD165" s="575">
        <f>重み!N168</f>
        <v>0</v>
      </c>
      <c r="AP165" s="2386">
        <f t="shared" si="60"/>
        <v>0</v>
      </c>
    </row>
    <row r="166" spans="2:58">
      <c r="B166" s="614"/>
      <c r="C166" s="685"/>
      <c r="D166" s="772">
        <v>2</v>
      </c>
      <c r="E166" s="773" t="s">
        <v>1933</v>
      </c>
      <c r="F166" s="686"/>
      <c r="G166" s="636"/>
      <c r="H166" s="2680"/>
      <c r="I166" s="2681"/>
      <c r="J166" s="2681"/>
      <c r="K166" s="2681"/>
      <c r="L166" s="2682"/>
      <c r="M166" s="663">
        <f>ROUNDDOWN(S166,1)</f>
        <v>3</v>
      </c>
      <c r="N166" s="650">
        <f t="shared" si="52"/>
        <v>0.25</v>
      </c>
      <c r="O166" s="828">
        <f>ROUNDDOWN(T166,1)</f>
        <v>0</v>
      </c>
      <c r="P166" s="650">
        <f t="shared" si="53"/>
        <v>0</v>
      </c>
      <c r="Q166" s="626"/>
      <c r="R166" s="546"/>
      <c r="S166" s="842">
        <f>採点LR3!F72</f>
        <v>3</v>
      </c>
      <c r="T166" s="831"/>
      <c r="V166" s="843">
        <f>M166</f>
        <v>3</v>
      </c>
      <c r="W166" s="628">
        <f>重み!D166</f>
        <v>0.25</v>
      </c>
      <c r="X166" s="694"/>
      <c r="Y166" s="628">
        <f>重み!E179</f>
        <v>0</v>
      </c>
      <c r="Z166" s="599"/>
      <c r="AA166" s="546"/>
      <c r="AB166" s="575">
        <f>重み!M166</f>
        <v>0.25</v>
      </c>
      <c r="AC166" s="281"/>
      <c r="AD166" s="575">
        <f>重み!N179</f>
        <v>0</v>
      </c>
      <c r="AP166" s="2386">
        <f t="shared" si="60"/>
        <v>0</v>
      </c>
    </row>
    <row r="167" spans="2:58">
      <c r="B167" s="614"/>
      <c r="C167" s="685"/>
      <c r="D167" s="645">
        <v>3</v>
      </c>
      <c r="E167" s="773" t="s">
        <v>674</v>
      </c>
      <c r="F167" s="686"/>
      <c r="G167" s="636"/>
      <c r="H167" s="2680"/>
      <c r="I167" s="2681"/>
      <c r="J167" s="2681"/>
      <c r="K167" s="2681"/>
      <c r="L167" s="2682"/>
      <c r="M167" s="663">
        <f>ROUNDDOWN(S167,1)</f>
        <v>3</v>
      </c>
      <c r="N167" s="650">
        <f t="shared" si="52"/>
        <v>0.25</v>
      </c>
      <c r="O167" s="828">
        <f>ROUNDDOWN(T167,1)</f>
        <v>0</v>
      </c>
      <c r="P167" s="650">
        <f t="shared" si="53"/>
        <v>0</v>
      </c>
      <c r="Q167" s="626"/>
      <c r="R167" s="546"/>
      <c r="S167" s="842">
        <f>採点LR3!F81</f>
        <v>3</v>
      </c>
      <c r="T167" s="546"/>
      <c r="V167" s="843">
        <f>M167</f>
        <v>3</v>
      </c>
      <c r="W167" s="628">
        <f>重み!D167</f>
        <v>0.25</v>
      </c>
      <c r="X167" s="694"/>
      <c r="Y167" s="628">
        <f>重み!E180</f>
        <v>0</v>
      </c>
      <c r="Z167" s="599"/>
      <c r="AA167" s="546"/>
      <c r="AB167" s="575">
        <f>重み!M167</f>
        <v>0.25</v>
      </c>
      <c r="AC167" s="281"/>
      <c r="AD167" s="575">
        <f>重み!N180</f>
        <v>0</v>
      </c>
      <c r="AP167" s="2386">
        <f t="shared" si="60"/>
        <v>0</v>
      </c>
    </row>
    <row r="168" spans="2:58" ht="14.25" thickBot="1">
      <c r="B168" s="862"/>
      <c r="C168" s="699"/>
      <c r="D168" s="645">
        <v>4</v>
      </c>
      <c r="E168" s="773" t="s">
        <v>991</v>
      </c>
      <c r="F168" s="686"/>
      <c r="G168" s="656"/>
      <c r="H168" s="2680"/>
      <c r="I168" s="2681"/>
      <c r="J168" s="2681"/>
      <c r="K168" s="2681"/>
      <c r="L168" s="2682"/>
      <c r="M168" s="657">
        <f>ROUNDDOWN(S168,1)</f>
        <v>3</v>
      </c>
      <c r="N168" s="863">
        <f t="shared" si="52"/>
        <v>0.25</v>
      </c>
      <c r="O168" s="864">
        <f>ROUNDDOWN(T168,1)</f>
        <v>0</v>
      </c>
      <c r="P168" s="863">
        <f t="shared" si="53"/>
        <v>0</v>
      </c>
      <c r="Q168" s="741"/>
      <c r="R168" s="546"/>
      <c r="S168" s="846">
        <f>採点LR3!F101</f>
        <v>3</v>
      </c>
      <c r="T168" s="546"/>
      <c r="V168" s="843">
        <f>M168</f>
        <v>3</v>
      </c>
      <c r="W168" s="628">
        <f>重み!D168</f>
        <v>0.25</v>
      </c>
      <c r="X168" s="694"/>
      <c r="Y168" s="628">
        <f>重み!E181</f>
        <v>0</v>
      </c>
      <c r="Z168" s="599"/>
      <c r="AA168" s="546"/>
      <c r="AB168" s="575">
        <f>重み!M168</f>
        <v>0.25</v>
      </c>
      <c r="AC168" s="281"/>
      <c r="AD168" s="575">
        <f>重み!N181</f>
        <v>0</v>
      </c>
      <c r="AP168" s="2386">
        <f t="shared" si="60"/>
        <v>0</v>
      </c>
    </row>
    <row r="169" spans="2:58">
      <c r="B169" s="817">
        <v>3</v>
      </c>
      <c r="C169" s="669" t="s">
        <v>992</v>
      </c>
      <c r="D169" s="773"/>
      <c r="E169" s="669"/>
      <c r="F169" s="686"/>
      <c r="G169" s="712"/>
      <c r="H169" s="671"/>
      <c r="I169" s="672"/>
      <c r="J169" s="672"/>
      <c r="K169" s="672"/>
      <c r="L169" s="673"/>
      <c r="M169" s="865">
        <f>ROUNDDOWN(V169,1)</f>
        <v>3</v>
      </c>
      <c r="N169" s="675" t="e">
        <f t="shared" si="52"/>
        <v>#N/A</v>
      </c>
      <c r="O169" s="786">
        <f>ROUNDDOWN(X169,1)</f>
        <v>0</v>
      </c>
      <c r="P169" s="676">
        <f t="shared" si="53"/>
        <v>0</v>
      </c>
      <c r="Q169" s="677">
        <f>ROUNDDOWN(Z169,1)</f>
        <v>3</v>
      </c>
      <c r="R169" s="546"/>
      <c r="S169" s="546"/>
      <c r="T169" s="546"/>
      <c r="V169" s="627">
        <f>V170*W170+V174*W174+V178*W178</f>
        <v>3.0000000000000004</v>
      </c>
      <c r="W169" s="628" t="e">
        <f>重み!D169</f>
        <v>#N/A</v>
      </c>
      <c r="X169" s="627">
        <f>X170*Y170+X174*Y174+X178*Y178</f>
        <v>0</v>
      </c>
      <c r="Y169" s="628">
        <f>重み!E169</f>
        <v>0</v>
      </c>
      <c r="Z169" s="599">
        <f>IF(X169=0,V169,IF(V169=0,X169,V169*AB$6+X169*AD$6))</f>
        <v>3.0000000000000004</v>
      </c>
      <c r="AA169" s="546"/>
      <c r="AB169" s="575">
        <f>重み!M169</f>
        <v>0.33333333333333337</v>
      </c>
      <c r="AC169" s="281"/>
      <c r="AD169" s="575">
        <f>重み!N169</f>
        <v>0</v>
      </c>
      <c r="AF169" s="2360">
        <v>3</v>
      </c>
      <c r="AG169" s="2360"/>
      <c r="AH169" s="2360"/>
      <c r="AI169" s="2360"/>
      <c r="AJ169" s="2360"/>
      <c r="AK169" s="2360">
        <v>4</v>
      </c>
      <c r="AL169" s="2360"/>
      <c r="AM169" s="2360"/>
      <c r="AN169" s="2360"/>
      <c r="AO169" s="2360"/>
      <c r="AP169" s="2357">
        <f t="shared" si="60"/>
        <v>3</v>
      </c>
      <c r="AQ169" s="857" t="e">
        <f>N169</f>
        <v>#N/A</v>
      </c>
      <c r="AR169" s="677"/>
      <c r="AT169" s="2356">
        <f>SUMPRODUCT($AW$7:$BF$7,AF169:AO169)/AV169</f>
        <v>3</v>
      </c>
      <c r="AV169" s="2355">
        <f>SUMPRODUCT($AW$7:$BF$7,AW169:BF169)</f>
        <v>0.34482758620689657</v>
      </c>
      <c r="AW169" s="2341">
        <f t="shared" ref="AW169:BF169" si="62">IF(AF169&gt;0,1,0)</f>
        <v>1</v>
      </c>
      <c r="AX169" s="2341">
        <f t="shared" si="62"/>
        <v>0</v>
      </c>
      <c r="AY169" s="2341">
        <f t="shared" si="62"/>
        <v>0</v>
      </c>
      <c r="AZ169" s="2341">
        <f t="shared" si="62"/>
        <v>0</v>
      </c>
      <c r="BA169" s="2341">
        <f t="shared" si="62"/>
        <v>0</v>
      </c>
      <c r="BB169" s="2341">
        <f t="shared" si="62"/>
        <v>1</v>
      </c>
      <c r="BC169" s="2341">
        <f t="shared" si="62"/>
        <v>0</v>
      </c>
      <c r="BD169" s="2341">
        <f t="shared" si="62"/>
        <v>0</v>
      </c>
      <c r="BE169" s="2341">
        <f t="shared" si="62"/>
        <v>0</v>
      </c>
      <c r="BF169" s="2341">
        <f t="shared" si="62"/>
        <v>0</v>
      </c>
    </row>
    <row r="170" spans="2:58" ht="14.25" thickBot="1">
      <c r="B170" s="821"/>
      <c r="C170" s="632">
        <v>3.1</v>
      </c>
      <c r="D170" s="788" t="s">
        <v>993</v>
      </c>
      <c r="E170" s="616"/>
      <c r="F170" s="618"/>
      <c r="G170" s="636"/>
      <c r="H170" s="620"/>
      <c r="I170" s="621"/>
      <c r="J170" s="621"/>
      <c r="K170" s="621"/>
      <c r="L170" s="622"/>
      <c r="M170" s="866">
        <f>ROUNDDOWN(V170,1)</f>
        <v>3</v>
      </c>
      <c r="N170" s="624">
        <f t="shared" si="52"/>
        <v>0.4</v>
      </c>
      <c r="O170" s="748">
        <f>ROUNDDOWN(X170,1)</f>
        <v>0</v>
      </c>
      <c r="P170" s="625">
        <f t="shared" si="53"/>
        <v>0</v>
      </c>
      <c r="Q170" s="626"/>
      <c r="R170" s="546"/>
      <c r="S170" s="546"/>
      <c r="T170" s="546"/>
      <c r="V170" s="627">
        <f>SUMPRODUCT(V171:V173,W171:W173)</f>
        <v>3</v>
      </c>
      <c r="W170" s="628">
        <f>重み!D170</f>
        <v>0.4</v>
      </c>
      <c r="X170" s="627">
        <f>SUMPRODUCT(X171:X173,Y171:Y173)</f>
        <v>0</v>
      </c>
      <c r="Y170" s="628">
        <f>重み!E170</f>
        <v>0</v>
      </c>
      <c r="Z170" s="599"/>
      <c r="AA170" s="546"/>
      <c r="AB170" s="575">
        <f>重み!M170</f>
        <v>0.4</v>
      </c>
      <c r="AC170" s="281"/>
      <c r="AD170" s="575">
        <f>重み!N170</f>
        <v>0</v>
      </c>
    </row>
    <row r="171" spans="2:58">
      <c r="B171" s="867"/>
      <c r="C171" s="685"/>
      <c r="D171" s="645">
        <v>1</v>
      </c>
      <c r="E171" s="773" t="s">
        <v>994</v>
      </c>
      <c r="F171" s="686"/>
      <c r="G171" s="636">
        <v>5</v>
      </c>
      <c r="H171" s="2680"/>
      <c r="I171" s="2681"/>
      <c r="J171" s="2681"/>
      <c r="K171" s="2681"/>
      <c r="L171" s="2682"/>
      <c r="M171" s="868">
        <f>ROUNDDOWN(S171,1)</f>
        <v>3</v>
      </c>
      <c r="N171" s="750">
        <f t="shared" si="52"/>
        <v>0.33333333333333337</v>
      </c>
      <c r="O171" s="748">
        <f>ROUNDDOWN(T171,1)</f>
        <v>0</v>
      </c>
      <c r="P171" s="625">
        <f t="shared" si="53"/>
        <v>0</v>
      </c>
      <c r="Q171" s="626"/>
      <c r="R171" s="546"/>
      <c r="S171" s="869">
        <f>採点LR3!F122</f>
        <v>3</v>
      </c>
      <c r="T171" s="546"/>
      <c r="V171" s="653">
        <f>M171</f>
        <v>3</v>
      </c>
      <c r="W171" s="628">
        <f>重み!D171</f>
        <v>0.33333333333333337</v>
      </c>
      <c r="X171" s="694"/>
      <c r="Y171" s="628">
        <f>重み!E171</f>
        <v>0</v>
      </c>
      <c r="Z171" s="599"/>
      <c r="AA171" s="546"/>
      <c r="AB171" s="575">
        <f>重み!M171</f>
        <v>0.33333333333333337</v>
      </c>
      <c r="AC171" s="281"/>
      <c r="AD171" s="575">
        <f>重み!N171</f>
        <v>0</v>
      </c>
    </row>
    <row r="172" spans="2:58">
      <c r="B172" s="867"/>
      <c r="C172" s="685"/>
      <c r="D172" s="772">
        <v>2</v>
      </c>
      <c r="E172" s="773" t="s">
        <v>1934</v>
      </c>
      <c r="F172" s="686"/>
      <c r="G172" s="636"/>
      <c r="H172" s="2680"/>
      <c r="I172" s="2681"/>
      <c r="J172" s="2681"/>
      <c r="K172" s="2681"/>
      <c r="L172" s="2682"/>
      <c r="M172" s="870">
        <f>ROUNDDOWN(S172,1)</f>
        <v>3</v>
      </c>
      <c r="N172" s="750">
        <f t="shared" si="52"/>
        <v>0.33333333333333337</v>
      </c>
      <c r="O172" s="748">
        <f>ROUNDDOWN(T172,1)</f>
        <v>0</v>
      </c>
      <c r="P172" s="625">
        <f t="shared" si="53"/>
        <v>0</v>
      </c>
      <c r="Q172" s="626"/>
      <c r="R172" s="546"/>
      <c r="S172" s="871">
        <f>採点LR3!F148</f>
        <v>3</v>
      </c>
      <c r="T172" s="546"/>
      <c r="V172" s="653">
        <f>M172</f>
        <v>3</v>
      </c>
      <c r="W172" s="628">
        <f>重み!D172</f>
        <v>0.33333333333333337</v>
      </c>
      <c r="X172" s="694"/>
      <c r="Y172" s="628">
        <f>重み!E172</f>
        <v>0</v>
      </c>
      <c r="Z172" s="599"/>
      <c r="AA172" s="546"/>
      <c r="AB172" s="575">
        <f>重み!M172</f>
        <v>0.33333333333333337</v>
      </c>
      <c r="AC172" s="281"/>
      <c r="AD172" s="575">
        <f>重み!N172</f>
        <v>0</v>
      </c>
    </row>
    <row r="173" spans="2:58" ht="14.25" thickBot="1">
      <c r="B173" s="867"/>
      <c r="C173" s="685"/>
      <c r="D173" s="645">
        <v>3</v>
      </c>
      <c r="E173" s="773" t="s">
        <v>1935</v>
      </c>
      <c r="F173" s="686"/>
      <c r="G173" s="636">
        <v>5</v>
      </c>
      <c r="H173" s="2680"/>
      <c r="I173" s="2681"/>
      <c r="J173" s="2681"/>
      <c r="K173" s="2681"/>
      <c r="L173" s="2682"/>
      <c r="M173" s="872">
        <f>ROUNDDOWN(S173,1)</f>
        <v>3</v>
      </c>
      <c r="N173" s="750">
        <f t="shared" si="52"/>
        <v>0.33333333333333337</v>
      </c>
      <c r="O173" s="748">
        <f>ROUNDDOWN(T173,1)</f>
        <v>0</v>
      </c>
      <c r="P173" s="625">
        <f t="shared" si="53"/>
        <v>0</v>
      </c>
      <c r="Q173" s="626"/>
      <c r="R173" s="546"/>
      <c r="S173" s="826">
        <f>採点LR3!F167</f>
        <v>3</v>
      </c>
      <c r="T173" s="546"/>
      <c r="V173" s="653">
        <f>M173</f>
        <v>3</v>
      </c>
      <c r="W173" s="628">
        <f>重み!D173</f>
        <v>0.33333333333333337</v>
      </c>
      <c r="X173" s="694"/>
      <c r="Y173" s="628">
        <f>重み!E173</f>
        <v>0</v>
      </c>
      <c r="Z173" s="599"/>
      <c r="AA173" s="546"/>
      <c r="AB173" s="575">
        <f>重み!M173</f>
        <v>0.33333333333333337</v>
      </c>
      <c r="AC173" s="281"/>
      <c r="AD173" s="575">
        <f>重み!N173</f>
        <v>0</v>
      </c>
    </row>
    <row r="174" spans="2:58" ht="14.25" thickBot="1">
      <c r="B174" s="867"/>
      <c r="C174" s="632">
        <v>3.2</v>
      </c>
      <c r="D174" s="773" t="s">
        <v>2446</v>
      </c>
      <c r="E174" s="787"/>
      <c r="F174" s="713"/>
      <c r="G174" s="656">
        <v>5</v>
      </c>
      <c r="H174" s="648"/>
      <c r="I174" s="706"/>
      <c r="J174" s="706"/>
      <c r="K174" s="706"/>
      <c r="L174" s="706"/>
      <c r="M174" s="873">
        <f>ROUNDDOWN(V174,1)</f>
        <v>3</v>
      </c>
      <c r="N174" s="750">
        <f t="shared" si="52"/>
        <v>0.4</v>
      </c>
      <c r="O174" s="748">
        <f>ROUNDDOWN(X174,1)</f>
        <v>0</v>
      </c>
      <c r="P174" s="625">
        <f t="shared" si="53"/>
        <v>0</v>
      </c>
      <c r="Q174" s="626"/>
      <c r="R174" s="546"/>
      <c r="S174" s="874"/>
      <c r="T174" s="546"/>
      <c r="V174" s="627">
        <f>SUMPRODUCT(V175:V177,W175:W177)</f>
        <v>3</v>
      </c>
      <c r="W174" s="628">
        <f>重み!D174</f>
        <v>0.4</v>
      </c>
      <c r="X174" s="627">
        <f>SUMPRODUCT(X175:X177,Y175:Y177)</f>
        <v>0</v>
      </c>
      <c r="Y174" s="628">
        <f>重み!E174</f>
        <v>0</v>
      </c>
      <c r="Z174" s="599"/>
      <c r="AA174" s="546"/>
      <c r="AB174" s="575">
        <f>重み!M174</f>
        <v>0.4</v>
      </c>
      <c r="AC174" s="281"/>
      <c r="AD174" s="575">
        <f>重み!N174</f>
        <v>0</v>
      </c>
    </row>
    <row r="175" spans="2:58">
      <c r="B175" s="867"/>
      <c r="C175" s="685"/>
      <c r="D175" s="645">
        <v>1</v>
      </c>
      <c r="E175" s="773" t="s">
        <v>1936</v>
      </c>
      <c r="F175" s="686"/>
      <c r="G175" s="636"/>
      <c r="H175" s="2680"/>
      <c r="I175" s="2681"/>
      <c r="J175" s="2681"/>
      <c r="K175" s="2681"/>
      <c r="L175" s="2682"/>
      <c r="M175" s="649">
        <f>ROUNDDOWN(S175,1)</f>
        <v>3</v>
      </c>
      <c r="N175" s="750">
        <f t="shared" ref="N175:N180" si="63">W175</f>
        <v>0.67241379310344829</v>
      </c>
      <c r="O175" s="748"/>
      <c r="P175" s="625">
        <f t="shared" si="53"/>
        <v>0</v>
      </c>
      <c r="Q175" s="626"/>
      <c r="R175" s="546"/>
      <c r="S175" s="869">
        <f>採点LR3!F177</f>
        <v>3</v>
      </c>
      <c r="T175" s="546"/>
      <c r="V175" s="653">
        <f>M175</f>
        <v>3</v>
      </c>
      <c r="W175" s="628">
        <f>重み!D175</f>
        <v>0.67241379310344829</v>
      </c>
      <c r="X175" s="694"/>
      <c r="Y175" s="628">
        <f>重み!E175</f>
        <v>0</v>
      </c>
      <c r="Z175" s="599"/>
      <c r="AA175" s="546"/>
      <c r="AB175" s="575">
        <f>重み!M175</f>
        <v>0.67241379310344829</v>
      </c>
      <c r="AC175" s="281"/>
      <c r="AD175" s="575">
        <f>重み!N175</f>
        <v>0</v>
      </c>
    </row>
    <row r="176" spans="2:58" ht="14.25" thickBot="1">
      <c r="B176" s="867"/>
      <c r="C176" s="685"/>
      <c r="D176" s="645">
        <v>2</v>
      </c>
      <c r="E176" s="773" t="s">
        <v>995</v>
      </c>
      <c r="F176" s="686"/>
      <c r="G176" s="636"/>
      <c r="H176" s="2680"/>
      <c r="I176" s="2681"/>
      <c r="J176" s="2681"/>
      <c r="K176" s="2681"/>
      <c r="L176" s="2682"/>
      <c r="M176" s="663">
        <f>ROUNDDOWN(S176,1)</f>
        <v>3</v>
      </c>
      <c r="N176" s="824">
        <f t="shared" si="63"/>
        <v>5.5172413793103448E-2</v>
      </c>
      <c r="O176" s="748"/>
      <c r="P176" s="625"/>
      <c r="Q176" s="626"/>
      <c r="R176" s="546"/>
      <c r="S176" s="826">
        <f>採点LR3!F186</f>
        <v>3</v>
      </c>
      <c r="T176" s="546"/>
      <c r="V176" s="653">
        <f>M176</f>
        <v>3</v>
      </c>
      <c r="W176" s="628">
        <f>重み!D176</f>
        <v>5.5172413793103448E-2</v>
      </c>
      <c r="X176" s="694"/>
      <c r="Y176" s="628"/>
      <c r="Z176" s="599"/>
      <c r="AA176" s="546"/>
      <c r="AB176" s="575">
        <f>重み!M176</f>
        <v>5.5172413793103448E-2</v>
      </c>
      <c r="AC176" s="281"/>
      <c r="AD176" s="575">
        <f>重み!N176</f>
        <v>0</v>
      </c>
    </row>
    <row r="177" spans="2:44" ht="14.25" thickBot="1">
      <c r="B177" s="867"/>
      <c r="C177" s="685"/>
      <c r="D177" s="772">
        <v>3</v>
      </c>
      <c r="E177" s="773" t="s">
        <v>1937</v>
      </c>
      <c r="F177" s="686"/>
      <c r="G177" s="636"/>
      <c r="H177" s="2680"/>
      <c r="I177" s="2681"/>
      <c r="J177" s="2681"/>
      <c r="K177" s="2681"/>
      <c r="L177" s="2682"/>
      <c r="M177" s="663">
        <f>ROUNDDOWN(S177,1)</f>
        <v>3</v>
      </c>
      <c r="N177" s="824">
        <f t="shared" si="63"/>
        <v>0.27241379310344827</v>
      </c>
      <c r="O177" s="748"/>
      <c r="P177" s="625">
        <f>Y177</f>
        <v>0</v>
      </c>
      <c r="Q177" s="626"/>
      <c r="R177" s="546"/>
      <c r="S177" s="826">
        <f>採点LR3!F204</f>
        <v>3</v>
      </c>
      <c r="T177" s="546"/>
      <c r="V177" s="653">
        <f>M177</f>
        <v>3</v>
      </c>
      <c r="W177" s="628">
        <f>重み!D177</f>
        <v>0.27241379310344827</v>
      </c>
      <c r="X177" s="694"/>
      <c r="Y177" s="628">
        <f>重み!E177</f>
        <v>0</v>
      </c>
      <c r="Z177" s="599"/>
      <c r="AA177" s="546"/>
      <c r="AB177" s="575">
        <f>重み!M177</f>
        <v>0.27241379310344827</v>
      </c>
      <c r="AC177" s="281"/>
      <c r="AD177" s="575">
        <f>重み!N177</f>
        <v>0</v>
      </c>
    </row>
    <row r="178" spans="2:44" ht="14.25" thickBot="1">
      <c r="B178" s="867"/>
      <c r="C178" s="632">
        <v>3.3</v>
      </c>
      <c r="D178" s="773" t="s">
        <v>996</v>
      </c>
      <c r="E178" s="787"/>
      <c r="F178" s="713"/>
      <c r="G178" s="656">
        <v>5</v>
      </c>
      <c r="H178" s="648"/>
      <c r="I178" s="706"/>
      <c r="J178" s="706"/>
      <c r="K178" s="706"/>
      <c r="L178" s="706"/>
      <c r="M178" s="873">
        <f>ROUNDDOWN(V178,1)</f>
        <v>3</v>
      </c>
      <c r="N178" s="750">
        <f t="shared" si="63"/>
        <v>0.2</v>
      </c>
      <c r="O178" s="748">
        <f>ROUNDDOWN(X178,1)</f>
        <v>0</v>
      </c>
      <c r="P178" s="625">
        <f>Y178</f>
        <v>0</v>
      </c>
      <c r="Q178" s="626"/>
      <c r="R178" s="546"/>
      <c r="S178" s="874"/>
      <c r="T178" s="546"/>
      <c r="V178" s="627">
        <f>SUMPRODUCT(V179:V180,W179:W180)</f>
        <v>2.9999999999999996</v>
      </c>
      <c r="W178" s="628">
        <f>重み!D178</f>
        <v>0.2</v>
      </c>
      <c r="X178" s="627">
        <f>SUMPRODUCT(X179:X180,Y179:Y180)</f>
        <v>0</v>
      </c>
      <c r="Y178" s="628">
        <f>重み!E178</f>
        <v>0</v>
      </c>
      <c r="Z178" s="599"/>
      <c r="AA178" s="546"/>
      <c r="AB178" s="575">
        <f>重み!M178</f>
        <v>0.2</v>
      </c>
      <c r="AC178" s="281"/>
      <c r="AD178" s="575">
        <f>重み!N178</f>
        <v>0</v>
      </c>
    </row>
    <row r="179" spans="2:44">
      <c r="B179" s="867"/>
      <c r="C179" s="685"/>
      <c r="D179" s="645">
        <v>1</v>
      </c>
      <c r="E179" s="2691" t="s">
        <v>997</v>
      </c>
      <c r="F179" s="2684"/>
      <c r="G179" s="636"/>
      <c r="H179" s="2680"/>
      <c r="I179" s="2681"/>
      <c r="J179" s="2681"/>
      <c r="K179" s="2681"/>
      <c r="L179" s="2682"/>
      <c r="M179" s="649">
        <f>ROUNDDOWN(S179,1)</f>
        <v>3</v>
      </c>
      <c r="N179" s="750">
        <f t="shared" si="63"/>
        <v>0.7</v>
      </c>
      <c r="O179" s="748"/>
      <c r="P179" s="625">
        <f>Y179</f>
        <v>0</v>
      </c>
      <c r="Q179" s="626"/>
      <c r="R179" s="546"/>
      <c r="S179" s="869">
        <f>採点LR3!F215</f>
        <v>3</v>
      </c>
      <c r="T179" s="546"/>
      <c r="V179" s="653">
        <f>M179</f>
        <v>3</v>
      </c>
      <c r="W179" s="628">
        <f>重み!D179</f>
        <v>0.7</v>
      </c>
      <c r="X179" s="694"/>
      <c r="Y179" s="628">
        <f>重み!E179</f>
        <v>0</v>
      </c>
      <c r="Z179" s="599"/>
      <c r="AA179" s="546"/>
      <c r="AB179" s="575">
        <f>重み!M179</f>
        <v>0.7</v>
      </c>
      <c r="AC179" s="281"/>
      <c r="AD179" s="575">
        <f>重み!N179</f>
        <v>0</v>
      </c>
    </row>
    <row r="180" spans="2:44" ht="14.25" thickBot="1">
      <c r="B180" s="867"/>
      <c r="C180" s="685"/>
      <c r="D180" s="772">
        <v>2</v>
      </c>
      <c r="E180" s="2689" t="s">
        <v>2398</v>
      </c>
      <c r="F180" s="2690"/>
      <c r="G180" s="636"/>
      <c r="H180" s="2680"/>
      <c r="I180" s="2681"/>
      <c r="J180" s="2681"/>
      <c r="K180" s="2681"/>
      <c r="L180" s="2682"/>
      <c r="M180" s="663">
        <f>ROUNDDOWN(S180,1)</f>
        <v>3</v>
      </c>
      <c r="N180" s="824">
        <f t="shared" si="63"/>
        <v>0.3</v>
      </c>
      <c r="O180" s="748"/>
      <c r="P180" s="625">
        <f>Y180</f>
        <v>0</v>
      </c>
      <c r="Q180" s="626"/>
      <c r="R180" s="546"/>
      <c r="S180" s="871">
        <f>採点LR3!F233</f>
        <v>3</v>
      </c>
      <c r="T180" s="546"/>
      <c r="V180" s="2361">
        <f>M180</f>
        <v>3</v>
      </c>
      <c r="W180" s="2362">
        <f>重み!D180</f>
        <v>0.3</v>
      </c>
      <c r="X180" s="2363"/>
      <c r="Y180" s="2362">
        <f>重み!E180</f>
        <v>0</v>
      </c>
      <c r="Z180" s="2364"/>
      <c r="AA180" s="546"/>
      <c r="AB180" s="613">
        <f>重み!M180</f>
        <v>0.3</v>
      </c>
      <c r="AC180" s="281"/>
      <c r="AD180" s="613">
        <f>重み!N180</f>
        <v>0</v>
      </c>
    </row>
    <row r="181" spans="2:44">
      <c r="B181" s="2366"/>
      <c r="C181" s="2366"/>
      <c r="D181" s="2366"/>
      <c r="E181" s="2366"/>
      <c r="F181" s="2366"/>
      <c r="G181" s="2366"/>
      <c r="H181" s="2366"/>
      <c r="I181" s="2366"/>
      <c r="J181" s="2366"/>
      <c r="K181" s="2366"/>
      <c r="L181" s="2366"/>
      <c r="M181" s="2366"/>
      <c r="N181" s="2366"/>
      <c r="O181" s="2366"/>
      <c r="P181" s="2366"/>
      <c r="Q181" s="2366"/>
      <c r="R181" s="546"/>
      <c r="S181" s="2366"/>
      <c r="T181" s="2366"/>
      <c r="U181" s="2366"/>
      <c r="V181" s="2366"/>
      <c r="W181" s="2366"/>
      <c r="X181" s="2366"/>
      <c r="Y181" s="2366"/>
      <c r="Z181" s="2366"/>
      <c r="AA181" s="2366"/>
      <c r="AB181" s="2366"/>
      <c r="AC181" s="2366"/>
      <c r="AD181" s="2366"/>
      <c r="AE181" s="2366"/>
      <c r="AF181" s="2366"/>
      <c r="AG181" s="2366"/>
      <c r="AH181" s="2366"/>
      <c r="AI181" s="2366"/>
      <c r="AJ181" s="2366"/>
      <c r="AK181" s="2366"/>
      <c r="AL181" s="2366"/>
      <c r="AM181" s="2366"/>
      <c r="AN181" s="2366"/>
      <c r="AO181" s="2366"/>
      <c r="AP181" s="2366"/>
      <c r="AQ181" s="2366"/>
      <c r="AR181" s="2366"/>
    </row>
    <row r="182" spans="2:44" hidden="1">
      <c r="R182" s="546"/>
    </row>
  </sheetData>
  <sheetProtection password="F3D9" sheet="1" objects="1" scenarios="1"/>
  <mergeCells count="136">
    <mergeCell ref="B3:F3"/>
    <mergeCell ref="H119:L119"/>
    <mergeCell ref="E5:F5"/>
    <mergeCell ref="S5:T6"/>
    <mergeCell ref="H12:L12"/>
    <mergeCell ref="H13:L13"/>
    <mergeCell ref="H15:L15"/>
    <mergeCell ref="H16:L16"/>
    <mergeCell ref="H32:L32"/>
    <mergeCell ref="H33:L33"/>
    <mergeCell ref="H36:L36"/>
    <mergeCell ref="H27:L27"/>
    <mergeCell ref="H28:L28"/>
    <mergeCell ref="H29:L29"/>
    <mergeCell ref="H30:L30"/>
    <mergeCell ref="H60:L60"/>
    <mergeCell ref="D46:E46"/>
    <mergeCell ref="H46:L46"/>
    <mergeCell ref="H37:L37"/>
    <mergeCell ref="H38:L38"/>
    <mergeCell ref="H40:L40"/>
    <mergeCell ref="H41:L41"/>
    <mergeCell ref="H44:L44"/>
    <mergeCell ref="H45:L45"/>
    <mergeCell ref="H59:L59"/>
    <mergeCell ref="L2:M2"/>
    <mergeCell ref="L3:M3"/>
    <mergeCell ref="H23:L23"/>
    <mergeCell ref="H24:L24"/>
    <mergeCell ref="H25:L25"/>
    <mergeCell ref="H26:L26"/>
    <mergeCell ref="H17:L17"/>
    <mergeCell ref="H18:L18"/>
    <mergeCell ref="H19:L19"/>
    <mergeCell ref="H22:L22"/>
    <mergeCell ref="H11:L11"/>
    <mergeCell ref="H39:L39"/>
    <mergeCell ref="H43:L43"/>
    <mergeCell ref="H42:L42"/>
    <mergeCell ref="H54:L54"/>
    <mergeCell ref="H55:L55"/>
    <mergeCell ref="H56:L56"/>
    <mergeCell ref="H57:L57"/>
    <mergeCell ref="H49:L49"/>
    <mergeCell ref="H50:L50"/>
    <mergeCell ref="H51:L51"/>
    <mergeCell ref="H52:L52"/>
    <mergeCell ref="H72:L72"/>
    <mergeCell ref="H73:L73"/>
    <mergeCell ref="H74:L74"/>
    <mergeCell ref="H77:L77"/>
    <mergeCell ref="H66:L66"/>
    <mergeCell ref="H68:L68"/>
    <mergeCell ref="H69:L69"/>
    <mergeCell ref="H70:L70"/>
    <mergeCell ref="H64:L64"/>
    <mergeCell ref="H65:L65"/>
    <mergeCell ref="H87:L87"/>
    <mergeCell ref="H88:L88"/>
    <mergeCell ref="H89:L89"/>
    <mergeCell ref="H91:L91"/>
    <mergeCell ref="H83:L83"/>
    <mergeCell ref="E84:F84"/>
    <mergeCell ref="H84:L84"/>
    <mergeCell ref="H85:L85"/>
    <mergeCell ref="H78:L78"/>
    <mergeCell ref="H80:L80"/>
    <mergeCell ref="H81:L81"/>
    <mergeCell ref="E82:F82"/>
    <mergeCell ref="H82:L82"/>
    <mergeCell ref="H104:L104"/>
    <mergeCell ref="H105:L105"/>
    <mergeCell ref="H106:L106"/>
    <mergeCell ref="H107:L107"/>
    <mergeCell ref="H99:L99"/>
    <mergeCell ref="H100:L100"/>
    <mergeCell ref="H101:L101"/>
    <mergeCell ref="H103:L103"/>
    <mergeCell ref="H92:L92"/>
    <mergeCell ref="H93:L93"/>
    <mergeCell ref="H94:L94"/>
    <mergeCell ref="H95:L95"/>
    <mergeCell ref="H108:L108"/>
    <mergeCell ref="H110:L110"/>
    <mergeCell ref="H111:L111"/>
    <mergeCell ref="H113:L113"/>
    <mergeCell ref="H156:L156"/>
    <mergeCell ref="H142:L142"/>
    <mergeCell ref="H144:L144"/>
    <mergeCell ref="H145:L145"/>
    <mergeCell ref="H147:L147"/>
    <mergeCell ref="H148:L148"/>
    <mergeCell ref="H114:L114"/>
    <mergeCell ref="H118:L118"/>
    <mergeCell ref="H122:L122"/>
    <mergeCell ref="H123:L123"/>
    <mergeCell ref="H120:L120"/>
    <mergeCell ref="H121:L121"/>
    <mergeCell ref="H125:L125"/>
    <mergeCell ref="H126:L126"/>
    <mergeCell ref="H135:L135"/>
    <mergeCell ref="H136:L136"/>
    <mergeCell ref="H138:L138"/>
    <mergeCell ref="H127:L127"/>
    <mergeCell ref="H128:L128"/>
    <mergeCell ref="H129:L129"/>
    <mergeCell ref="E145:F145"/>
    <mergeCell ref="D150:F150"/>
    <mergeCell ref="H168:L168"/>
    <mergeCell ref="H157:L157"/>
    <mergeCell ref="H158:L158"/>
    <mergeCell ref="H149:L149"/>
    <mergeCell ref="H150:L150"/>
    <mergeCell ref="H172:L172"/>
    <mergeCell ref="E180:F180"/>
    <mergeCell ref="H180:L180"/>
    <mergeCell ref="H173:L173"/>
    <mergeCell ref="H175:L175"/>
    <mergeCell ref="H177:L177"/>
    <mergeCell ref="E179:F179"/>
    <mergeCell ref="H179:L179"/>
    <mergeCell ref="H176:L176"/>
    <mergeCell ref="H160:L160"/>
    <mergeCell ref="H162:L162"/>
    <mergeCell ref="H151:L151"/>
    <mergeCell ref="H152:L152"/>
    <mergeCell ref="H154:L154"/>
    <mergeCell ref="H130:L130"/>
    <mergeCell ref="H131:L131"/>
    <mergeCell ref="H132:L132"/>
    <mergeCell ref="H139:L139"/>
    <mergeCell ref="H171:L171"/>
    <mergeCell ref="H163:L163"/>
    <mergeCell ref="H165:L165"/>
    <mergeCell ref="H166:L166"/>
    <mergeCell ref="H167:L167"/>
  </mergeCells>
  <phoneticPr fontId="21"/>
  <conditionalFormatting sqref="H11:L13">
    <cfRule type="expression" dxfId="154" priority="1" stopIfTrue="1">
      <formula>OR(AND(M11&gt;3,N11&gt;0),AND(O11&gt;3,P11&gt;0))</formula>
    </cfRule>
  </conditionalFormatting>
  <conditionalFormatting sqref="H15:L19 H22:L30 H36:L46 H49:L52 H54:L57 H59:L60 H64:L66 H68:L70 H72:L74 H77:L78 H91:L95 H99:L101 H103:L108 H110:L111 H113:L114 H125:L126 H135:L136 H138:L139 H142:L142 H144:L145 H147:L148 H151:L152 H154:L154 H156:L158 H160:L160 H162:L163 H165:L168 H171:L173 H175:L177 H179:L180">
    <cfRule type="expression" dxfId="153" priority="25" stopIfTrue="1">
      <formula>OR(AND(M15&gt;3,N15&gt;0),AND(O15&gt;3,P15&gt;0))</formula>
    </cfRule>
  </conditionalFormatting>
  <conditionalFormatting sqref="H32:L33">
    <cfRule type="expression" dxfId="152" priority="10" stopIfTrue="1">
      <formula>OR(AND(M32&gt;3,N32&gt;0),AND(O32&gt;3,P32&gt;0))</formula>
    </cfRule>
  </conditionalFormatting>
  <conditionalFormatting sqref="H80:L85">
    <cfRule type="expression" dxfId="151" priority="13" stopIfTrue="1">
      <formula>OR(AND(M80&gt;3,N80&gt;0),AND(O80&gt;3,P80&gt;0))</formula>
    </cfRule>
  </conditionalFormatting>
  <conditionalFormatting sqref="H87:L88 H122:L123 H127:L132 H149:L150">
    <cfRule type="expression" dxfId="150" priority="24" stopIfTrue="1">
      <formula>M87&gt;3</formula>
    </cfRule>
  </conditionalFormatting>
  <conditionalFormatting sqref="H89:L89">
    <cfRule type="expression" dxfId="149" priority="14" stopIfTrue="1">
      <formula>OR(AND(M89&gt;3,N89&gt;0),AND(O89&gt;3,P89&gt;0))</formula>
    </cfRule>
  </conditionalFormatting>
  <conditionalFormatting sqref="H118:L121">
    <cfRule type="expression" dxfId="148" priority="19" stopIfTrue="1">
      <formula>OR(AND(M118&gt;3,N118&gt;0),AND(O118&gt;3,P118&gt;0))</formula>
    </cfRule>
  </conditionalFormatting>
  <conditionalFormatting sqref="M10 O10 O20 O34 O47 O62 O75 O97">
    <cfRule type="expression" dxfId="147" priority="9" stopIfTrue="1">
      <formula>AND(AB10=0)</formula>
    </cfRule>
  </conditionalFormatting>
  <conditionalFormatting sqref="M10:M60 O10:O60">
    <cfRule type="expression" dxfId="146" priority="4" stopIfTrue="1">
      <formula>AND(AB10&gt;0,M10="")</formula>
    </cfRule>
  </conditionalFormatting>
  <conditionalFormatting sqref="M11:M60 O21:O33">
    <cfRule type="expression" dxfId="145" priority="5" stopIfTrue="1">
      <formula>(AB11=0)</formula>
    </cfRule>
  </conditionalFormatting>
  <conditionalFormatting sqref="M62:M108 M110:M115 O110:O115 M118:M139 O118:O139 M141:M158 O141:O158 M160:M180 O160:O180 O11:O19 O35:O46 O48:O60 O63:O74 O98:O108">
    <cfRule type="expression" dxfId="144" priority="7" stopIfTrue="1">
      <formula>(AB11=0)</formula>
    </cfRule>
  </conditionalFormatting>
  <conditionalFormatting sqref="M62:M108 M110:M115 O110:O115 M118:M139 O118:O139 M141:M158 O141:O158 M160:M180 O160:O180">
    <cfRule type="expression" dxfId="143" priority="6" stopIfTrue="1">
      <formula>AND(AB62&gt;0,M62="")</formula>
    </cfRule>
  </conditionalFormatting>
  <conditionalFormatting sqref="O62:O108">
    <cfRule type="expression" dxfId="142" priority="2" stopIfTrue="1">
      <formula>AND(AD62&gt;0,O62="")</formula>
    </cfRule>
  </conditionalFormatting>
  <conditionalFormatting sqref="O76:O96">
    <cfRule type="expression" dxfId="141" priority="3" stopIfTrue="1">
      <formula>(AD76=0)</formula>
    </cfRule>
  </conditionalFormatting>
  <conditionalFormatting sqref="AF10:AJ47 AL10:AO47 AF48:AO60 AF62:AJ62 AL62:AO62 AF63:AO108 AF110:AO115 AF119:AO123 AF125:AO139 AF141:AO158 AF161:AO169">
    <cfRule type="expression" dxfId="140" priority="15">
      <formula>AF$7&gt;0</formula>
    </cfRule>
  </conditionalFormatting>
  <dataValidations xWindow="895" yWindow="482" count="2">
    <dataValidation allowBlank="1" showErrorMessage="1" sqref="V178 X178 V153 X153 V143 V169:V170 V155 X155 V174 X174 X161 V161 X169:X170 V164 X146 V146 X121 V119 X90 X97:X98 X102 X112 X133:X134 X141 X143 V90 V97:V98 V102 V112 X164 V133:V134 V141 X14 X71 V71 V137 V79 V75:V76 V67 V62:V63 V58 V53 V47:V48 V43 V39 V34:V35 V20:V21 V14 V10:V11 X10:X11 X79 X75:X76 X67 X62:X63 X58 X53 X47:X48 X20:X21 X39 X34:X35 V86 X86 X137 X119 W124:X124 AP160:AP161 X31 W125:W180 AP10:AQ10 AP20 AP34 AP47 AP169 AP75 AP62 AP97 AP110:AP112 AP118:AP119 AP124 AP133 AP141 AP146 AP153 W10:W123 V31 M10:O180" xr:uid="{00000000-0002-0000-0300-000000000000}"/>
    <dataValidation type="decimal" allowBlank="1" showInputMessage="1" showErrorMessage="1" errorTitle="警告" error="1～5点で入力（対象外とする場合は0点を入力）" promptTitle="注意" prompt="3点以上を与える場合は、本評価項目を「解説」シートで採点し「環境配慮設計の概要記入欄」に配慮内容を必ず入力する。" sqref="Q159 Q109 Q140 Q116:Q117 Q61" xr:uid="{00000000-0002-0000-0300-000001000000}">
      <formula1>0</formula1>
      <formula2>5</formula2>
    </dataValidation>
  </dataValidations>
  <printOptions horizontalCentered="1"/>
  <pageMargins left="0.59055118110236227" right="0.59055118110236227" top="0.78740157480314965" bottom="0.59055118110236227" header="0.51181102362204722" footer="0.51181102362204722"/>
  <pageSetup paperSize="9" scale="70" fitToHeight="2" orientation="portrait" verticalDpi="4294967293" r:id="rId1"/>
  <headerFooter alignWithMargins="0">
    <oddHeader>&amp;L&amp;F&amp;R&amp;A</oddHeader>
    <oddFooter>&amp;C&amp;P/&amp;N</oddFooter>
  </headerFooter>
  <rowBreaks count="1" manualBreakCount="1">
    <brk id="89" max="16"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B1:G12"/>
  <sheetViews>
    <sheetView showGridLines="0" workbookViewId="0"/>
  </sheetViews>
  <sheetFormatPr defaultColWidth="0" defaultRowHeight="13.5" zeroHeight="1"/>
  <cols>
    <col min="1" max="1" width="0.875" customWidth="1"/>
    <col min="2" max="2" width="17.375" customWidth="1"/>
    <col min="3" max="3" width="38" style="948" customWidth="1"/>
    <col min="4" max="4" width="14.25" customWidth="1"/>
    <col min="5" max="5" width="21.25" customWidth="1"/>
    <col min="6" max="6" width="1.375" customWidth="1"/>
  </cols>
  <sheetData>
    <row r="1" spans="2:7" ht="21">
      <c r="B1" s="935" t="s">
        <v>2696</v>
      </c>
      <c r="C1" s="936"/>
      <c r="D1" s="937" t="s">
        <v>2697</v>
      </c>
      <c r="E1" s="136" t="str">
        <f>メイン!C11</f>
        <v>○○ビル</v>
      </c>
    </row>
    <row r="2" spans="2:7" s="880" customFormat="1" thickBot="1">
      <c r="B2" s="938"/>
      <c r="C2" s="939"/>
      <c r="D2" s="939"/>
      <c r="E2" s="939"/>
      <c r="F2" s="940"/>
      <c r="G2" s="940"/>
    </row>
    <row r="3" spans="2:7" ht="21" customHeight="1" thickBot="1">
      <c r="B3" s="941"/>
      <c r="C3" s="942" t="s">
        <v>2698</v>
      </c>
      <c r="D3" s="942"/>
      <c r="E3" s="943"/>
    </row>
    <row r="4" spans="2:7" ht="81" customHeight="1" thickTop="1">
      <c r="B4" s="944" t="s">
        <v>2699</v>
      </c>
      <c r="C4" s="2711" t="s">
        <v>2700</v>
      </c>
      <c r="D4" s="2712"/>
      <c r="E4" s="2713"/>
    </row>
    <row r="5" spans="2:7" ht="81" customHeight="1">
      <c r="B5" s="945" t="s">
        <v>2701</v>
      </c>
      <c r="C5" s="2714" t="s">
        <v>2702</v>
      </c>
      <c r="D5" s="2715"/>
      <c r="E5" s="2716"/>
    </row>
    <row r="6" spans="2:7" ht="81" customHeight="1">
      <c r="B6" s="945" t="s">
        <v>2703</v>
      </c>
      <c r="C6" s="2714" t="s">
        <v>1949</v>
      </c>
      <c r="D6" s="2715"/>
      <c r="E6" s="2716"/>
    </row>
    <row r="7" spans="2:7" ht="81" customHeight="1">
      <c r="B7" s="945" t="s">
        <v>2704</v>
      </c>
      <c r="C7" s="2714" t="s">
        <v>1950</v>
      </c>
      <c r="D7" s="2715"/>
      <c r="E7" s="2716"/>
    </row>
    <row r="8" spans="2:7" ht="81" customHeight="1">
      <c r="B8" s="945" t="s">
        <v>1951</v>
      </c>
      <c r="C8" s="2714" t="s">
        <v>1952</v>
      </c>
      <c r="D8" s="2715"/>
      <c r="E8" s="2716"/>
    </row>
    <row r="9" spans="2:7" ht="81" customHeight="1">
      <c r="B9" s="945" t="s">
        <v>2705</v>
      </c>
      <c r="C9" s="2714" t="s">
        <v>1953</v>
      </c>
      <c r="D9" s="2715"/>
      <c r="E9" s="2716"/>
    </row>
    <row r="10" spans="2:7" ht="81" customHeight="1" thickBot="1">
      <c r="B10" s="946" t="s">
        <v>2281</v>
      </c>
      <c r="C10" s="2720" t="s">
        <v>1954</v>
      </c>
      <c r="D10" s="2721"/>
      <c r="E10" s="2722"/>
    </row>
    <row r="11" spans="2:7" ht="122.25" customHeight="1" thickTop="1" thickBot="1">
      <c r="B11" s="947" t="s">
        <v>2706</v>
      </c>
      <c r="C11" s="2717" t="s">
        <v>2707</v>
      </c>
      <c r="D11" s="2718"/>
      <c r="E11" s="2719"/>
    </row>
    <row r="12" spans="2:7"/>
  </sheetData>
  <sheetProtection algorithmName="SHA-512" hashValue="3LE81oG1eeyYn3rRobag6lCbEPwHcyPXFzl0besXZxjZ3NelrbBJ9AEEAje8z7+3mALtZOVxAOdfsUN2T1KNtA==" saltValue="el3QbUx/OFcqDbtU/4pPIw==" spinCount="100000" sheet="1" objects="1" scenarios="1"/>
  <mergeCells count="8">
    <mergeCell ref="C4:E4"/>
    <mergeCell ref="C9:E9"/>
    <mergeCell ref="C11:E11"/>
    <mergeCell ref="C5:E5"/>
    <mergeCell ref="C6:E6"/>
    <mergeCell ref="C7:E7"/>
    <mergeCell ref="C8:E8"/>
    <mergeCell ref="C10:E10"/>
  </mergeCells>
  <phoneticPr fontId="21"/>
  <printOptions horizontalCentered="1"/>
  <pageMargins left="0.59055118110236227" right="0.59055118110236227" top="0.78740157480314965" bottom="0.59055118110236227" header="0.51181102362204722" footer="0.51181102362204722"/>
  <pageSetup paperSize="9" orientation="portrait" verticalDpi="300" r:id="rId1"/>
  <headerFooter alignWithMargins="0">
    <oddHeader>&amp;L&amp;F&amp;R&amp;A</oddHeader>
    <oddFooter>&amp;C&amp;P/&amp;N</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B1:AC88"/>
  <sheetViews>
    <sheetView showGridLines="0" zoomScaleNormal="100" workbookViewId="0">
      <selection activeCell="E20" sqref="E20"/>
    </sheetView>
  </sheetViews>
  <sheetFormatPr defaultColWidth="0" defaultRowHeight="13.5" zeroHeight="1"/>
  <cols>
    <col min="1" max="1" width="1.25" customWidth="1"/>
    <col min="2" max="2" width="5.875" style="136" customWidth="1"/>
    <col min="3" max="3" width="28.125" style="136" customWidth="1"/>
    <col min="4" max="4" width="15" style="136" customWidth="1"/>
    <col min="5" max="5" width="13.125" style="136" customWidth="1"/>
    <col min="6" max="6" width="9.875" customWidth="1"/>
    <col min="7" max="7" width="3" customWidth="1"/>
    <col min="8" max="8" width="4.125" customWidth="1"/>
    <col min="9" max="9" width="29.375" bestFit="1" customWidth="1"/>
    <col min="10" max="10" width="10.75" bestFit="1" customWidth="1"/>
    <col min="11" max="11" width="12.5" bestFit="1" customWidth="1"/>
    <col min="12" max="12" width="4.375" customWidth="1"/>
    <col min="13" max="13" width="2.875" customWidth="1"/>
    <col min="14" max="14" width="5.625" hidden="1" customWidth="1"/>
    <col min="15" max="16" width="14.125" hidden="1" customWidth="1"/>
    <col min="17" max="17" width="2.125" hidden="1" customWidth="1"/>
    <col min="18" max="19" width="14.125" hidden="1" customWidth="1"/>
  </cols>
  <sheetData>
    <row r="1" spans="2:29" ht="9.75" customHeight="1" thickBot="1">
      <c r="B1"/>
      <c r="C1"/>
      <c r="D1"/>
      <c r="E1"/>
    </row>
    <row r="2" spans="2:29" s="104" customFormat="1" ht="18.75">
      <c r="B2" s="100" t="s">
        <v>200</v>
      </c>
      <c r="C2" s="101"/>
      <c r="D2" s="102"/>
      <c r="E2" s="101"/>
      <c r="F2" s="103"/>
      <c r="G2"/>
      <c r="M2"/>
      <c r="N2"/>
      <c r="O2"/>
      <c r="P2"/>
      <c r="Q2"/>
      <c r="R2"/>
      <c r="S2"/>
      <c r="T2"/>
      <c r="U2"/>
      <c r="V2"/>
      <c r="W2"/>
      <c r="X2"/>
      <c r="Y2"/>
      <c r="Z2"/>
      <c r="AA2"/>
      <c r="AB2"/>
      <c r="AC2"/>
    </row>
    <row r="3" spans="2:29" s="104" customFormat="1" ht="21" customHeight="1">
      <c r="B3" s="105" t="s">
        <v>1741</v>
      </c>
      <c r="C3" s="106"/>
      <c r="D3" s="107"/>
      <c r="E3" s="106"/>
      <c r="F3" s="108"/>
      <c r="G3"/>
      <c r="H3" s="109" t="s">
        <v>1881</v>
      </c>
      <c r="I3" s="110"/>
      <c r="J3" s="110"/>
      <c r="K3" s="110"/>
      <c r="L3" s="111"/>
      <c r="M3"/>
      <c r="O3" s="112">
        <v>0</v>
      </c>
      <c r="P3" t="s">
        <v>1742</v>
      </c>
      <c r="Q3"/>
      <c r="R3"/>
      <c r="S3"/>
      <c r="T3"/>
      <c r="U3"/>
      <c r="V3"/>
      <c r="W3"/>
      <c r="X3"/>
      <c r="Y3"/>
      <c r="Z3"/>
      <c r="AA3"/>
      <c r="AB3"/>
      <c r="AC3"/>
    </row>
    <row r="4" spans="2:29">
      <c r="B4" s="113"/>
      <c r="C4" s="114" t="s">
        <v>1743</v>
      </c>
      <c r="D4" s="114" t="s">
        <v>1744</v>
      </c>
      <c r="E4" s="4"/>
      <c r="F4" s="108"/>
      <c r="H4" s="115" t="s">
        <v>2416</v>
      </c>
      <c r="I4" s="4"/>
      <c r="J4" s="4"/>
      <c r="K4" s="4"/>
      <c r="L4" s="116"/>
    </row>
    <row r="5" spans="2:29">
      <c r="B5" s="113"/>
      <c r="C5" s="117" t="str">
        <f>IF($O$7=0,"根拠を記入してください",$O$7)</f>
        <v>根拠を記入してください</v>
      </c>
      <c r="D5" s="118" t="str">
        <f>IF($P$7=0,O9,$P$7)</f>
        <v>N.A.</v>
      </c>
      <c r="E5" s="4" t="s">
        <v>2417</v>
      </c>
      <c r="F5" s="108"/>
      <c r="H5" s="115" t="s">
        <v>2418</v>
      </c>
      <c r="I5" s="4"/>
      <c r="J5" s="4"/>
      <c r="K5" s="4"/>
      <c r="L5" s="116"/>
    </row>
    <row r="6" spans="2:29">
      <c r="B6" s="113"/>
      <c r="C6" s="4"/>
      <c r="D6" s="4"/>
      <c r="E6" s="4"/>
      <c r="F6" s="108"/>
      <c r="H6" s="115"/>
      <c r="I6" s="119" t="str">
        <f>CO2データ!D105</f>
        <v>北海道電力株式会社</v>
      </c>
      <c r="J6" s="120">
        <f>CO2データ!I105</f>
        <v>6.8800000000000003E-4</v>
      </c>
      <c r="K6" s="115"/>
      <c r="L6" s="121"/>
      <c r="O6" t="s">
        <v>1745</v>
      </c>
      <c r="P6" t="s">
        <v>1746</v>
      </c>
    </row>
    <row r="7" spans="2:29">
      <c r="B7" s="113"/>
      <c r="C7" s="4"/>
      <c r="D7" s="4"/>
      <c r="E7" s="4"/>
      <c r="F7" s="108"/>
      <c r="H7" s="115"/>
      <c r="I7" s="119" t="str">
        <f>CO2データ!D106</f>
        <v>東北電力株式会社</v>
      </c>
      <c r="J7" s="120">
        <f>CO2データ!I106</f>
        <v>5.9999999999999995E-4</v>
      </c>
      <c r="K7" s="115"/>
      <c r="L7" s="121"/>
      <c r="O7">
        <f>IF($O$3=1,C10,IF($O$3=2,C16,IF($O$3=3,C20,IF($O$3=4,C24,C28))))</f>
        <v>0</v>
      </c>
      <c r="P7">
        <f>IF($O$3=1,D10,IF($O$3=2,D16,IF($O$3=3,D20,IF($O$3=4,D24,D28))))</f>
        <v>0</v>
      </c>
    </row>
    <row r="8" spans="2:29">
      <c r="B8" s="113" t="s">
        <v>2419</v>
      </c>
      <c r="C8" s="4"/>
      <c r="D8" s="4"/>
      <c r="E8" s="4"/>
      <c r="F8" s="108"/>
      <c r="H8" s="115"/>
      <c r="I8" s="119" t="str">
        <f>CO2データ!D107</f>
        <v>東京電力株式会社</v>
      </c>
      <c r="J8" s="120">
        <f>CO2データ!I107</f>
        <v>5.2499999999999997E-4</v>
      </c>
      <c r="K8" s="115"/>
      <c r="L8" s="121"/>
    </row>
    <row r="9" spans="2:29">
      <c r="B9" s="113"/>
      <c r="C9" s="114" t="s">
        <v>1743</v>
      </c>
      <c r="D9" s="122" t="s">
        <v>2420</v>
      </c>
      <c r="E9" s="4"/>
      <c r="F9" s="108"/>
      <c r="H9" s="115"/>
      <c r="I9" s="119" t="str">
        <f>CO2データ!D108</f>
        <v>中部電力株式会社</v>
      </c>
      <c r="J9" s="120">
        <f>CO2データ!I108</f>
        <v>5.1599999999999997E-4</v>
      </c>
      <c r="K9" s="115"/>
      <c r="L9" s="121"/>
      <c r="O9" t="s">
        <v>2421</v>
      </c>
    </row>
    <row r="10" spans="2:29">
      <c r="B10" s="113"/>
      <c r="C10" s="123"/>
      <c r="D10" s="124"/>
      <c r="E10" s="4" t="s">
        <v>2422</v>
      </c>
      <c r="F10" s="108"/>
      <c r="H10" s="115"/>
      <c r="I10" s="119" t="str">
        <f>CO2データ!D109</f>
        <v>北陸電力株式会社</v>
      </c>
      <c r="J10" s="120">
        <f>CO2データ!I109</f>
        <v>6.6299999999999996E-4</v>
      </c>
      <c r="K10" s="115"/>
      <c r="L10" s="121"/>
    </row>
    <row r="11" spans="2:29">
      <c r="B11" s="113"/>
      <c r="C11" s="4"/>
      <c r="D11" s="4"/>
      <c r="E11" s="4"/>
      <c r="F11" s="108"/>
      <c r="H11" s="115"/>
      <c r="I11" s="119" t="str">
        <f>CO2データ!D110</f>
        <v>関西電力株式会社</v>
      </c>
      <c r="J11" s="120">
        <f>CO2データ!I110</f>
        <v>5.1400000000000003E-4</v>
      </c>
      <c r="K11" s="115"/>
      <c r="L11" s="121"/>
    </row>
    <row r="12" spans="2:29">
      <c r="B12" s="113" t="s">
        <v>352</v>
      </c>
      <c r="C12" s="4"/>
      <c r="D12" s="4"/>
      <c r="E12" s="4"/>
      <c r="F12" s="108"/>
      <c r="H12" s="115"/>
      <c r="I12" s="119" t="str">
        <f>CO2データ!D111</f>
        <v>中国電力株式会社</v>
      </c>
      <c r="J12" s="120">
        <f>CO2データ!I111</f>
        <v>7.3800000000000005E-4</v>
      </c>
      <c r="K12" s="115"/>
      <c r="L12" s="121"/>
    </row>
    <row r="13" spans="2:29">
      <c r="B13" s="125" t="s">
        <v>2423</v>
      </c>
      <c r="C13" s="2723" t="s">
        <v>2424</v>
      </c>
      <c r="D13" s="2723"/>
      <c r="E13" s="2723"/>
      <c r="F13" s="108"/>
      <c r="H13" s="115"/>
      <c r="I13" s="119" t="str">
        <f>CO2データ!D112</f>
        <v>四国電力株式会社</v>
      </c>
      <c r="J13" s="120">
        <f>CO2データ!I112</f>
        <v>6.9999999999999999E-4</v>
      </c>
      <c r="K13" s="115"/>
      <c r="L13" s="121"/>
    </row>
    <row r="14" spans="2:29">
      <c r="B14" s="125"/>
      <c r="C14" s="2723"/>
      <c r="D14" s="2723"/>
      <c r="E14" s="2723"/>
      <c r="F14" s="108"/>
      <c r="H14" s="115"/>
      <c r="I14" s="119" t="str">
        <f>CO2データ!D113</f>
        <v>九州電力株式会社</v>
      </c>
      <c r="J14" s="120">
        <f>CO2データ!I113</f>
        <v>6.1200000000000002E-4</v>
      </c>
      <c r="K14" s="115"/>
      <c r="L14" s="121"/>
    </row>
    <row r="15" spans="2:29">
      <c r="B15" s="113"/>
      <c r="C15" s="114" t="s">
        <v>353</v>
      </c>
      <c r="D15" s="122" t="s">
        <v>2425</v>
      </c>
      <c r="E15" s="4"/>
      <c r="F15" s="108"/>
      <c r="H15" s="115"/>
      <c r="I15" s="119" t="str">
        <f>CO2データ!D114</f>
        <v>沖縄電力株式会社</v>
      </c>
      <c r="J15" s="120">
        <f>CO2データ!I114</f>
        <v>9.0300000000000005E-4</v>
      </c>
      <c r="K15" s="115"/>
      <c r="L15" s="121"/>
    </row>
    <row r="16" spans="2:29">
      <c r="B16" s="113"/>
      <c r="C16" s="124"/>
      <c r="D16" s="127" t="e">
        <f>VLOOKUP(C16,C50:D88,2)</f>
        <v>#N/A</v>
      </c>
      <c r="E16" s="4" t="s">
        <v>354</v>
      </c>
      <c r="F16" s="108"/>
      <c r="H16" s="115"/>
      <c r="I16" s="119" t="str">
        <f>CO2データ!D115</f>
        <v>イーレックス株式会社</v>
      </c>
      <c r="J16" s="120">
        <f>CO2データ!I115</f>
        <v>6.0300000000000002E-4</v>
      </c>
      <c r="K16" s="115"/>
      <c r="L16" s="121"/>
    </row>
    <row r="17" spans="2:12" ht="15" customHeight="1">
      <c r="B17" s="113"/>
      <c r="C17" s="9"/>
      <c r="D17" s="9"/>
      <c r="E17" s="9"/>
      <c r="F17" s="108"/>
      <c r="H17" s="115"/>
      <c r="I17" s="119" t="str">
        <f>CO2データ!D116</f>
        <v>出光グリーンパワー株式会社</v>
      </c>
      <c r="J17" s="120">
        <f>CO2データ!I116</f>
        <v>8.6000000000000003E-5</v>
      </c>
      <c r="K17" s="115"/>
      <c r="L17" s="121"/>
    </row>
    <row r="18" spans="2:12" ht="15" customHeight="1">
      <c r="B18" s="125" t="s">
        <v>2426</v>
      </c>
      <c r="C18" s="4" t="s">
        <v>355</v>
      </c>
      <c r="D18" s="4"/>
      <c r="E18" s="4"/>
      <c r="F18" s="108"/>
      <c r="H18" s="115"/>
      <c r="I18" s="119" t="str">
        <f>CO2データ!D117</f>
        <v>伊藤忠エネクス株式会社</v>
      </c>
      <c r="J18" s="120">
        <f>CO2データ!I117</f>
        <v>6.7599999999999995E-4</v>
      </c>
      <c r="K18" s="115"/>
      <c r="L18" s="121"/>
    </row>
    <row r="19" spans="2:12" ht="15" customHeight="1">
      <c r="B19" s="113"/>
      <c r="C19" s="114" t="s">
        <v>1743</v>
      </c>
      <c r="D19" s="122" t="s">
        <v>2420</v>
      </c>
      <c r="E19" s="4"/>
      <c r="F19" s="108"/>
      <c r="H19" s="115"/>
      <c r="I19" s="119" t="str">
        <f>CO2データ!D118</f>
        <v>エネサーブ株式会社</v>
      </c>
      <c r="J19" s="120">
        <f>CO2データ!I118</f>
        <v>6.1600000000000001E-4</v>
      </c>
      <c r="K19" s="115"/>
      <c r="L19" s="121"/>
    </row>
    <row r="20" spans="2:12" ht="15" customHeight="1">
      <c r="B20" s="113"/>
      <c r="C20" s="123"/>
      <c r="D20" s="124"/>
      <c r="E20" s="4" t="s">
        <v>2422</v>
      </c>
      <c r="F20" s="108"/>
      <c r="H20" s="115"/>
      <c r="I20" s="119" t="str">
        <f>CO2データ!D119</f>
        <v>荏原環境プラント株式会社</v>
      </c>
      <c r="J20" s="120">
        <f>CO2データ!I119</f>
        <v>4.5600000000000003E-4</v>
      </c>
      <c r="K20" s="115"/>
      <c r="L20" s="121"/>
    </row>
    <row r="21" spans="2:12" ht="15" customHeight="1">
      <c r="B21" s="113"/>
      <c r="C21" s="9"/>
      <c r="D21" s="9"/>
      <c r="E21" s="9"/>
      <c r="F21" s="108"/>
      <c r="H21" s="115"/>
      <c r="I21" s="119" t="str">
        <f>CO2データ!D120</f>
        <v>王子製紙株式会社</v>
      </c>
      <c r="J21" s="120">
        <f>CO2データ!I120</f>
        <v>4.75E-4</v>
      </c>
      <c r="K21" s="115"/>
      <c r="L21" s="121"/>
    </row>
    <row r="22" spans="2:12" ht="15" customHeight="1">
      <c r="B22" s="125" t="s">
        <v>2427</v>
      </c>
      <c r="C22" s="4" t="s">
        <v>2428</v>
      </c>
      <c r="D22" s="4"/>
      <c r="E22" s="4"/>
      <c r="F22" s="108"/>
      <c r="H22" s="115"/>
      <c r="I22" s="119" t="str">
        <f>CO2データ!D121</f>
        <v>オリックス株式会社</v>
      </c>
      <c r="J22" s="120">
        <f>CO2データ!I121</f>
        <v>7.6199999999999998E-4</v>
      </c>
      <c r="K22" s="115"/>
      <c r="L22" s="121"/>
    </row>
    <row r="23" spans="2:12" ht="15" customHeight="1">
      <c r="B23" s="125"/>
      <c r="C23" s="114" t="s">
        <v>214</v>
      </c>
      <c r="D23" s="122" t="s">
        <v>1747</v>
      </c>
      <c r="E23" s="4"/>
      <c r="F23" s="108"/>
      <c r="H23" s="115"/>
      <c r="I23" s="119" t="str">
        <f>CO2データ!D122</f>
        <v>株式会社イーセル</v>
      </c>
      <c r="J23" s="120">
        <f>CO2データ!I122</f>
        <v>0</v>
      </c>
      <c r="K23" s="115"/>
      <c r="L23" s="121"/>
    </row>
    <row r="24" spans="2:12" ht="15" customHeight="1">
      <c r="B24" s="113"/>
      <c r="C24" s="126" t="s">
        <v>213</v>
      </c>
      <c r="D24" s="127" t="str">
        <f>IF($O$3=4,J46,"")</f>
        <v/>
      </c>
      <c r="E24" s="4" t="s">
        <v>2429</v>
      </c>
      <c r="F24" s="108"/>
      <c r="H24" s="115"/>
      <c r="I24" s="119" t="str">
        <f>CO2データ!D123</f>
        <v>株式会社エネット</v>
      </c>
      <c r="J24" s="120">
        <f>CO2データ!I123</f>
        <v>4.2900000000000002E-4</v>
      </c>
      <c r="K24" s="115"/>
      <c r="L24" s="121"/>
    </row>
    <row r="25" spans="2:12" ht="15" customHeight="1">
      <c r="B25" s="113"/>
      <c r="C25" s="4"/>
      <c r="D25" s="4"/>
      <c r="E25" s="4"/>
      <c r="F25" s="108"/>
      <c r="H25" s="115"/>
      <c r="I25" s="119" t="str">
        <f>CO2データ!D124</f>
        <v>株式会社Ｆ－Ｐｏｗｅｒ</v>
      </c>
      <c r="J25" s="120">
        <f>CO2データ!I124</f>
        <v>5.2499999999999997E-4</v>
      </c>
      <c r="K25" s="115"/>
      <c r="L25" s="121"/>
    </row>
    <row r="26" spans="2:12" ht="15" customHeight="1">
      <c r="B26" s="113" t="s">
        <v>2430</v>
      </c>
      <c r="C26" s="4"/>
      <c r="D26" s="4"/>
      <c r="E26" s="4"/>
      <c r="F26" s="108"/>
      <c r="H26" s="115"/>
      <c r="I26" s="119" t="str">
        <f>CO2データ!D125</f>
        <v>株式会社Ｇ－Ｐｏｗｅｒ</v>
      </c>
      <c r="J26" s="120">
        <f>CO2データ!I125</f>
        <v>4.4099999999999999E-4</v>
      </c>
      <c r="K26" s="115"/>
      <c r="L26" s="121"/>
    </row>
    <row r="27" spans="2:12" ht="15" customHeight="1">
      <c r="B27" s="113"/>
      <c r="C27" s="114" t="s">
        <v>1743</v>
      </c>
      <c r="D27" s="122" t="s">
        <v>2420</v>
      </c>
      <c r="E27" s="4"/>
      <c r="F27" s="108"/>
      <c r="H27" s="115"/>
      <c r="I27" s="119" t="str">
        <f>CO2データ!D126</f>
        <v>株式会社日本セレモニー</v>
      </c>
      <c r="J27" s="120">
        <f>CO2データ!I126</f>
        <v>7.9699999999999997E-4</v>
      </c>
      <c r="K27" s="115"/>
      <c r="L27" s="121"/>
    </row>
    <row r="28" spans="2:12" ht="15" customHeight="1">
      <c r="B28" s="113"/>
      <c r="C28" s="123"/>
      <c r="D28" s="124"/>
      <c r="E28" s="4" t="s">
        <v>2422</v>
      </c>
      <c r="F28" s="108"/>
      <c r="H28" s="115"/>
      <c r="I28" s="119" t="str">
        <f>CO2データ!D127</f>
        <v>サミットエナジー株式会社</v>
      </c>
      <c r="J28" s="120">
        <f>CO2データ!I127</f>
        <v>4.3800000000000002E-4</v>
      </c>
      <c r="K28" s="115"/>
      <c r="L28" s="121"/>
    </row>
    <row r="29" spans="2:12" ht="15" customHeight="1">
      <c r="B29" s="113"/>
      <c r="C29" s="2066"/>
      <c r="D29" s="2066"/>
      <c r="E29" s="4"/>
      <c r="F29" s="108"/>
      <c r="H29" s="115"/>
      <c r="I29" s="119" t="str">
        <f>CO2データ!D128</f>
        <v>ＪＸ日鉱日石エネルギー株式会社</v>
      </c>
      <c r="J29" s="120">
        <f>CO2データ!I128</f>
        <v>3.6699999999999998E-4</v>
      </c>
      <c r="K29" s="115"/>
      <c r="L29" s="121"/>
    </row>
    <row r="30" spans="2:12" ht="15" customHeight="1">
      <c r="B30" s="113"/>
      <c r="C30" s="2066"/>
      <c r="D30" s="2066"/>
      <c r="E30" s="4"/>
      <c r="F30" s="108"/>
      <c r="H30" s="115"/>
      <c r="I30" s="119" t="str">
        <f>CO2データ!D129</f>
        <v>ＪＥＮホールディングス株式会社</v>
      </c>
      <c r="J30" s="120">
        <f>CO2データ!I129</f>
        <v>4.9399999999999997E-4</v>
      </c>
      <c r="K30" s="115"/>
      <c r="L30" s="121"/>
    </row>
    <row r="31" spans="2:12" ht="15" customHeight="1">
      <c r="B31" s="113"/>
      <c r="C31" s="2066"/>
      <c r="D31" s="2066"/>
      <c r="E31" s="4"/>
      <c r="F31" s="108"/>
      <c r="H31" s="115"/>
      <c r="I31" s="119" t="str">
        <f>CO2データ!D130</f>
        <v>志賀高原リゾート開発株式会社</v>
      </c>
      <c r="J31" s="120">
        <f>CO2データ!I130</f>
        <v>3.1199999999999999E-4</v>
      </c>
      <c r="K31" s="115"/>
      <c r="L31" s="121"/>
    </row>
    <row r="32" spans="2:12" ht="15" customHeight="1">
      <c r="B32" s="113"/>
      <c r="C32" s="2066"/>
      <c r="D32" s="2066"/>
      <c r="E32" s="4"/>
      <c r="F32" s="108"/>
      <c r="H32" s="115"/>
      <c r="I32" s="119" t="str">
        <f>CO2データ!D131</f>
        <v>昭和シェル石油株式会社</v>
      </c>
      <c r="J32" s="120">
        <f>CO2データ!I131</f>
        <v>3.6699999999999998E-4</v>
      </c>
      <c r="K32" s="115"/>
      <c r="L32" s="121"/>
    </row>
    <row r="33" spans="2:12" ht="15" customHeight="1">
      <c r="B33" s="113"/>
      <c r="C33" s="2066"/>
      <c r="D33" s="2066"/>
      <c r="E33" s="4"/>
      <c r="F33" s="108"/>
      <c r="H33" s="115"/>
      <c r="I33" s="119" t="str">
        <f>CO2データ!D132</f>
        <v>新日鉄住金エンジニアリング株式会社</v>
      </c>
      <c r="J33" s="120">
        <f>CO2データ!I132</f>
        <v>6.5499999999999998E-4</v>
      </c>
      <c r="K33" s="115"/>
      <c r="L33" s="121"/>
    </row>
    <row r="34" spans="2:12" ht="15" customHeight="1">
      <c r="B34" s="113"/>
      <c r="C34" s="2066"/>
      <c r="D34" s="2066"/>
      <c r="E34" s="4"/>
      <c r="F34" s="108"/>
      <c r="H34" s="115"/>
      <c r="I34" s="119" t="str">
        <f>CO2データ!D133</f>
        <v>泉北天然ガス発電株式会社</v>
      </c>
      <c r="J34" s="120">
        <f>CO2データ!I133</f>
        <v>3.88E-4</v>
      </c>
      <c r="K34" s="115"/>
      <c r="L34" s="121"/>
    </row>
    <row r="35" spans="2:12" ht="15" customHeight="1">
      <c r="B35" s="113"/>
      <c r="C35" s="2066"/>
      <c r="D35" s="2066"/>
      <c r="E35" s="4"/>
      <c r="F35" s="108"/>
      <c r="H35" s="115"/>
      <c r="I35" s="119" t="str">
        <f>CO2データ!D134</f>
        <v>ダイヤモンドパワー株式会社</v>
      </c>
      <c r="J35" s="120">
        <f>CO2データ!I134</f>
        <v>4.3100000000000001E-4</v>
      </c>
      <c r="K35" s="115"/>
      <c r="L35" s="121"/>
    </row>
    <row r="36" spans="2:12" ht="15" customHeight="1">
      <c r="B36" s="113"/>
      <c r="C36" s="2066"/>
      <c r="D36" s="2066"/>
      <c r="E36" s="4"/>
      <c r="F36" s="108"/>
      <c r="H36" s="115"/>
      <c r="I36" s="119" t="str">
        <f>CO2データ!D135</f>
        <v>テス・エンジニアリング株式会社</v>
      </c>
      <c r="J36" s="120">
        <f>CO2データ!I135</f>
        <v>4.9399999999999997E-4</v>
      </c>
      <c r="K36" s="115"/>
      <c r="L36" s="121"/>
    </row>
    <row r="37" spans="2:12" ht="15" customHeight="1">
      <c r="B37" s="113"/>
      <c r="C37" s="2066"/>
      <c r="D37" s="2066"/>
      <c r="E37" s="4"/>
      <c r="F37" s="108"/>
      <c r="H37" s="115"/>
      <c r="I37" s="119" t="str">
        <f>CO2データ!D136</f>
        <v>東京エコサービス株式会社</v>
      </c>
      <c r="J37" s="120">
        <f>CO2データ!I136</f>
        <v>9.2E-5</v>
      </c>
      <c r="K37" s="115"/>
      <c r="L37" s="121"/>
    </row>
    <row r="38" spans="2:12" ht="15" customHeight="1">
      <c r="B38" s="113"/>
      <c r="C38" s="2066"/>
      <c r="D38" s="2066"/>
      <c r="E38" s="4"/>
      <c r="F38" s="108"/>
      <c r="H38" s="115"/>
      <c r="I38" s="119" t="str">
        <f>CO2データ!D137</f>
        <v>日本テクノ株式会社</v>
      </c>
      <c r="J38" s="120">
        <f>CO2データ!I137</f>
        <v>5.0799999999999999E-4</v>
      </c>
      <c r="K38" s="115"/>
      <c r="L38" s="121"/>
    </row>
    <row r="39" spans="2:12" ht="15" customHeight="1">
      <c r="B39" s="113"/>
      <c r="C39" s="2066"/>
      <c r="D39" s="2066"/>
      <c r="E39" s="4"/>
      <c r="F39" s="108"/>
      <c r="H39" s="115"/>
      <c r="I39" s="119" t="str">
        <f>CO2データ!D138</f>
        <v>日本ロジテック協同組合</v>
      </c>
      <c r="J39" s="120">
        <f>CO2データ!I138</f>
        <v>4.86E-4</v>
      </c>
      <c r="K39" s="115"/>
      <c r="L39" s="121"/>
    </row>
    <row r="40" spans="2:12" ht="15" customHeight="1">
      <c r="B40" s="113"/>
      <c r="C40" s="2066"/>
      <c r="D40" s="2066"/>
      <c r="E40" s="4"/>
      <c r="F40" s="108"/>
      <c r="H40" s="115"/>
      <c r="I40" s="119" t="str">
        <f>CO2データ!D139</f>
        <v>パナソニック株式会社</v>
      </c>
      <c r="J40" s="120">
        <f>CO2データ!I139</f>
        <v>4.9799999999999996E-4</v>
      </c>
      <c r="K40" s="115"/>
      <c r="L40" s="121"/>
    </row>
    <row r="41" spans="2:12" ht="15" customHeight="1">
      <c r="B41" s="113"/>
      <c r="C41" s="2066"/>
      <c r="D41" s="2066"/>
      <c r="E41" s="4"/>
      <c r="F41" s="108"/>
      <c r="H41" s="115"/>
      <c r="I41" s="119" t="str">
        <f>CO2データ!D140</f>
        <v>プレミアムグリーンパワー株式会社</v>
      </c>
      <c r="J41" s="120">
        <f>CO2データ!I140</f>
        <v>1.8E-5</v>
      </c>
      <c r="K41" s="115"/>
      <c r="L41" s="121"/>
    </row>
    <row r="42" spans="2:12" ht="15" customHeight="1">
      <c r="B42" s="113"/>
      <c r="C42" s="2066"/>
      <c r="D42" s="2066"/>
      <c r="E42" s="4"/>
      <c r="F42" s="108"/>
      <c r="H42" s="115"/>
      <c r="I42" s="119" t="str">
        <f>CO2データ!D141</f>
        <v>丸紅株式会社</v>
      </c>
      <c r="J42" s="120">
        <f>CO2データ!I141</f>
        <v>3.7800000000000003E-4</v>
      </c>
      <c r="K42" s="115"/>
      <c r="L42" s="121"/>
    </row>
    <row r="43" spans="2:12" ht="15" customHeight="1">
      <c r="B43" s="113"/>
      <c r="C43" s="2066"/>
      <c r="D43" s="2066"/>
      <c r="E43" s="4"/>
      <c r="F43" s="108"/>
      <c r="H43" s="115"/>
      <c r="I43" s="119" t="str">
        <f>CO2データ!D142</f>
        <v>ミツウロコグリーンエネルギー株式会社</v>
      </c>
      <c r="J43" s="120">
        <f>CO2データ!I142</f>
        <v>3.6600000000000001E-4</v>
      </c>
      <c r="K43" s="115"/>
      <c r="L43" s="121"/>
    </row>
    <row r="44" spans="2:12">
      <c r="B44" s="128"/>
      <c r="C44" s="4"/>
      <c r="D44" s="4"/>
      <c r="E44" s="4"/>
      <c r="F44" s="108"/>
      <c r="H44" s="115"/>
      <c r="I44" s="119" t="str">
        <f>CO2データ!D143</f>
        <v>リエスパワー株式会社</v>
      </c>
      <c r="J44" s="120">
        <f>CO2データ!I143</f>
        <v>4.2000000000000002E-4</v>
      </c>
      <c r="K44" s="115" t="s">
        <v>2422</v>
      </c>
      <c r="L44" s="121"/>
    </row>
    <row r="45" spans="2:12">
      <c r="B45" s="128"/>
      <c r="C45" s="4"/>
      <c r="D45" s="4"/>
      <c r="E45" s="4"/>
      <c r="F45" s="108"/>
      <c r="H45" s="115" t="s">
        <v>215</v>
      </c>
      <c r="I45" s="4"/>
      <c r="J45" s="4"/>
      <c r="K45" s="4"/>
      <c r="L45" s="121"/>
    </row>
    <row r="46" spans="2:12">
      <c r="B46" s="128"/>
      <c r="C46" s="4"/>
      <c r="D46" s="4"/>
      <c r="E46" s="4"/>
      <c r="F46" s="108"/>
      <c r="H46" s="115"/>
      <c r="I46" s="129" t="str">
        <f>CO2データ!D145</f>
        <v>代替値</v>
      </c>
      <c r="J46" s="120">
        <f>CO2データ!I145</f>
        <v>5.5000000000000003E-4</v>
      </c>
      <c r="K46" s="115" t="s">
        <v>354</v>
      </c>
      <c r="L46" s="121"/>
    </row>
    <row r="47" spans="2:12" ht="14.25" thickBot="1">
      <c r="B47" s="130"/>
      <c r="C47" s="131"/>
      <c r="D47" s="131"/>
      <c r="E47" s="131"/>
      <c r="F47" s="132"/>
      <c r="H47" s="133"/>
      <c r="I47" s="134"/>
      <c r="J47" s="134"/>
      <c r="K47" s="134"/>
      <c r="L47" s="135"/>
    </row>
    <row r="48" spans="2:12">
      <c r="H48" s="136"/>
      <c r="I48" s="136"/>
      <c r="J48" s="136"/>
      <c r="K48" s="136"/>
    </row>
    <row r="49" spans="2:10" hidden="1">
      <c r="B49" s="136" t="s">
        <v>216</v>
      </c>
      <c r="D49" s="136" t="str">
        <f>CO2データ!I104</f>
        <v>実排出係数及び代替値</v>
      </c>
      <c r="F49" s="136" t="str">
        <f>CO2データ!K104</f>
        <v>調整後排出係数</v>
      </c>
      <c r="G49" s="136"/>
      <c r="H49" s="136"/>
    </row>
    <row r="50" spans="2:10" hidden="1">
      <c r="C50" s="1608" t="s">
        <v>1870</v>
      </c>
      <c r="D50" s="136">
        <f>CO2データ!I129</f>
        <v>4.9399999999999997E-4</v>
      </c>
      <c r="F50" s="136">
        <f>CO2データ!K129</f>
        <v>4.8999999999999998E-4</v>
      </c>
      <c r="I50" s="137" t="s">
        <v>1080</v>
      </c>
      <c r="J50" t="str">
        <f>IF(C5=C16,VLOOKUP(C5,C50:F88,4),"N.A.")</f>
        <v>N.A.</v>
      </c>
    </row>
    <row r="51" spans="2:10" hidden="1">
      <c r="C51" s="1608" t="s">
        <v>1869</v>
      </c>
      <c r="D51" s="136">
        <f>CO2データ!I128</f>
        <v>3.6699999999999998E-4</v>
      </c>
      <c r="F51" s="136">
        <f>CO2データ!K128</f>
        <v>3.6400000000000001E-4</v>
      </c>
      <c r="I51" s="137" t="s">
        <v>1082</v>
      </c>
      <c r="J51" t="e">
        <f>D16-J50</f>
        <v>#N/A</v>
      </c>
    </row>
    <row r="52" spans="2:10" hidden="1">
      <c r="C52" s="1608" t="s">
        <v>1081</v>
      </c>
      <c r="D52" s="136">
        <f>CO2データ!I115</f>
        <v>6.0300000000000002E-4</v>
      </c>
      <c r="F52" s="136">
        <f>CO2データ!K115</f>
        <v>4.28E-4</v>
      </c>
    </row>
    <row r="53" spans="2:10" hidden="1">
      <c r="C53" s="1608" t="s">
        <v>1083</v>
      </c>
      <c r="D53" s="136">
        <f>CO2データ!I118</f>
        <v>6.1600000000000001E-4</v>
      </c>
      <c r="F53" s="136">
        <f>CO2データ!K118</f>
        <v>4.8200000000000001E-4</v>
      </c>
    </row>
    <row r="54" spans="2:10" hidden="1">
      <c r="C54" s="1608" t="s">
        <v>1865</v>
      </c>
      <c r="D54" s="136">
        <f>CO2データ!I121</f>
        <v>7.6199999999999998E-4</v>
      </c>
      <c r="F54" s="136">
        <f>CO2データ!K121</f>
        <v>7.5699999999999997E-4</v>
      </c>
    </row>
    <row r="55" spans="2:10" hidden="1">
      <c r="C55" s="1608" t="s">
        <v>1084</v>
      </c>
      <c r="D55" s="136">
        <f>CO2データ!I127</f>
        <v>4.3800000000000002E-4</v>
      </c>
      <c r="F55" s="136">
        <f>CO2データ!K127</f>
        <v>2.5900000000000001E-4</v>
      </c>
    </row>
    <row r="56" spans="2:10" hidden="1">
      <c r="C56" s="1608" t="s">
        <v>1085</v>
      </c>
      <c r="D56" s="136">
        <f>CO2データ!I134</f>
        <v>4.3100000000000001E-4</v>
      </c>
      <c r="F56" s="136">
        <f>CO2データ!K134</f>
        <v>4.2700000000000002E-4</v>
      </c>
    </row>
    <row r="57" spans="2:10" hidden="1">
      <c r="C57" s="1608" t="s">
        <v>1874</v>
      </c>
      <c r="D57" s="136">
        <f>CO2データ!I135</f>
        <v>4.9399999999999997E-4</v>
      </c>
      <c r="F57" s="136">
        <f>CO2データ!K135</f>
        <v>4.8999999999999998E-4</v>
      </c>
    </row>
    <row r="58" spans="2:10" hidden="1">
      <c r="C58" s="1608" t="s">
        <v>1086</v>
      </c>
      <c r="D58" s="136">
        <f>CO2データ!I139</f>
        <v>4.9799999999999996E-4</v>
      </c>
      <c r="F58" s="136">
        <f>CO2データ!K139</f>
        <v>4.9200000000000003E-4</v>
      </c>
    </row>
    <row r="59" spans="2:10" hidden="1">
      <c r="C59" s="1608" t="s">
        <v>1878</v>
      </c>
      <c r="D59" s="136">
        <f>CO2データ!I140</f>
        <v>1.8E-5</v>
      </c>
      <c r="F59" s="136">
        <f>CO2データ!K140</f>
        <v>2.1999999999999999E-5</v>
      </c>
    </row>
    <row r="60" spans="2:10" hidden="1">
      <c r="C60" s="1608" t="s">
        <v>1879</v>
      </c>
      <c r="D60" s="136">
        <f>CO2データ!I142</f>
        <v>3.6600000000000001E-4</v>
      </c>
      <c r="F60" s="136">
        <f>CO2データ!K142</f>
        <v>4.4499999999999997E-4</v>
      </c>
    </row>
    <row r="61" spans="2:10" hidden="1">
      <c r="C61" s="1608" t="s">
        <v>1880</v>
      </c>
      <c r="D61" s="136">
        <f>CO2データ!I143</f>
        <v>4.2000000000000002E-4</v>
      </c>
      <c r="F61" s="136">
        <f>CO2データ!K143</f>
        <v>0</v>
      </c>
    </row>
    <row r="62" spans="2:10" hidden="1">
      <c r="C62" s="1608" t="s">
        <v>1863</v>
      </c>
      <c r="D62" s="136">
        <f>CO2データ!I117</f>
        <v>6.7599999999999995E-4</v>
      </c>
      <c r="F62" s="136">
        <f>CO2データ!K117</f>
        <v>2.9300000000000002E-4</v>
      </c>
    </row>
    <row r="63" spans="2:10" hidden="1">
      <c r="C63" s="1608" t="s">
        <v>1864</v>
      </c>
      <c r="D63" s="136">
        <f>CO2データ!I119</f>
        <v>4.5600000000000003E-4</v>
      </c>
      <c r="F63" s="136">
        <f>CO2データ!K119</f>
        <v>4.5600000000000003E-4</v>
      </c>
    </row>
    <row r="64" spans="2:10" hidden="1">
      <c r="C64" s="1608" t="s">
        <v>2244</v>
      </c>
      <c r="D64" s="136">
        <f>CO2データ!I120</f>
        <v>4.75E-4</v>
      </c>
      <c r="F64" s="136">
        <f>CO2データ!K120</f>
        <v>4.7100000000000001E-4</v>
      </c>
    </row>
    <row r="65" spans="3:6" hidden="1">
      <c r="C65" s="1608" t="s">
        <v>2245</v>
      </c>
      <c r="D65" s="136">
        <f>CO2データ!I114</f>
        <v>9.0300000000000005E-4</v>
      </c>
      <c r="F65" s="136">
        <f>CO2データ!K114</f>
        <v>6.9200000000000002E-4</v>
      </c>
    </row>
    <row r="66" spans="3:6" hidden="1">
      <c r="C66" s="1608" t="s">
        <v>2246</v>
      </c>
      <c r="D66" s="136">
        <f>CO2データ!I124</f>
        <v>5.2499999999999997E-4</v>
      </c>
      <c r="F66" s="136">
        <f>CO2データ!K124</f>
        <v>4.4499999999999997E-4</v>
      </c>
    </row>
    <row r="67" spans="3:6" hidden="1">
      <c r="C67" s="1608" t="s">
        <v>1867</v>
      </c>
      <c r="D67" s="136">
        <f>CO2データ!I125</f>
        <v>4.4099999999999999E-4</v>
      </c>
      <c r="F67" s="136">
        <f>CO2データ!K125</f>
        <v>0</v>
      </c>
    </row>
    <row r="68" spans="3:6" hidden="1">
      <c r="C68" s="1608" t="s">
        <v>1866</v>
      </c>
      <c r="D68" s="136">
        <f>CO2データ!I122</f>
        <v>0</v>
      </c>
      <c r="F68" s="136">
        <f>CO2データ!K122</f>
        <v>0</v>
      </c>
    </row>
    <row r="69" spans="3:6" hidden="1">
      <c r="C69" s="1608" t="s">
        <v>2247</v>
      </c>
      <c r="D69" s="136">
        <f>CO2データ!I123</f>
        <v>4.2900000000000002E-4</v>
      </c>
      <c r="F69" s="136">
        <f>CO2データ!K123</f>
        <v>4.2700000000000002E-4</v>
      </c>
    </row>
    <row r="70" spans="3:6" hidden="1">
      <c r="C70" s="1608" t="s">
        <v>1868</v>
      </c>
      <c r="D70" s="136">
        <f>CO2データ!I126</f>
        <v>7.9699999999999997E-4</v>
      </c>
      <c r="F70" s="136">
        <f>CO2データ!K126</f>
        <v>7.8899999999999999E-4</v>
      </c>
    </row>
    <row r="71" spans="3:6" hidden="1">
      <c r="C71" s="1608" t="s">
        <v>2248</v>
      </c>
      <c r="D71" s="136">
        <f>CO2データ!I110</f>
        <v>5.1400000000000003E-4</v>
      </c>
      <c r="F71" s="136">
        <f>CO2データ!K110</f>
        <v>4.75E-4</v>
      </c>
    </row>
    <row r="72" spans="3:6" hidden="1">
      <c r="C72" s="1608" t="s">
        <v>2249</v>
      </c>
      <c r="D72" s="136">
        <f>CO2データ!I141</f>
        <v>3.7800000000000003E-4</v>
      </c>
      <c r="F72" s="136">
        <f>CO2データ!K141</f>
        <v>3.2400000000000001E-4</v>
      </c>
    </row>
    <row r="73" spans="3:6" hidden="1">
      <c r="C73" s="1608" t="s">
        <v>2250</v>
      </c>
      <c r="D73" s="136">
        <f>CO2データ!I113</f>
        <v>6.1200000000000002E-4</v>
      </c>
      <c r="F73" s="136">
        <f>CO2データ!K113</f>
        <v>5.9900000000000003E-4</v>
      </c>
    </row>
    <row r="74" spans="3:6" hidden="1">
      <c r="C74" s="1608" t="s">
        <v>2251</v>
      </c>
      <c r="D74" s="136">
        <f>CO2データ!I112</f>
        <v>6.9999999999999999E-4</v>
      </c>
      <c r="F74" s="136">
        <f>CO2データ!K112</f>
        <v>6.5600000000000001E-4</v>
      </c>
    </row>
    <row r="75" spans="3:6" hidden="1">
      <c r="C75" s="1608" t="s">
        <v>1871</v>
      </c>
      <c r="D75" s="136">
        <f>CO2データ!I130</f>
        <v>3.1199999999999999E-4</v>
      </c>
      <c r="F75" s="136">
        <f>CO2データ!K130</f>
        <v>3.0899999999999998E-4</v>
      </c>
    </row>
    <row r="76" spans="3:6" hidden="1">
      <c r="C76" s="1608" t="s">
        <v>1862</v>
      </c>
      <c r="D76" s="136">
        <f>CO2データ!I116</f>
        <v>8.6000000000000003E-5</v>
      </c>
      <c r="F76" s="136">
        <f>CO2データ!K116</f>
        <v>1.06E-4</v>
      </c>
    </row>
    <row r="77" spans="3:6" hidden="1">
      <c r="C77" s="1608" t="s">
        <v>2252</v>
      </c>
      <c r="D77" s="136">
        <f>CO2データ!I131</f>
        <v>3.6699999999999998E-4</v>
      </c>
      <c r="F77" s="136">
        <f>CO2データ!K131</f>
        <v>3.6400000000000001E-4</v>
      </c>
    </row>
    <row r="78" spans="3:6" hidden="1">
      <c r="C78" s="1608" t="s">
        <v>1872</v>
      </c>
      <c r="D78" s="136">
        <f>CO2データ!I132</f>
        <v>6.5499999999999998E-4</v>
      </c>
      <c r="F78" s="136">
        <f>CO2データ!K132</f>
        <v>6.5399999999999996E-4</v>
      </c>
    </row>
    <row r="79" spans="3:6" hidden="1">
      <c r="C79" s="1608" t="s">
        <v>1873</v>
      </c>
      <c r="D79" s="136">
        <f>CO2データ!I133</f>
        <v>3.88E-4</v>
      </c>
      <c r="F79" s="136">
        <f>CO2データ!K133</f>
        <v>3.8499999999999998E-4</v>
      </c>
    </row>
    <row r="80" spans="3:6" hidden="1">
      <c r="C80" s="1608" t="s">
        <v>2253</v>
      </c>
      <c r="D80" s="136">
        <f>CO2データ!I111</f>
        <v>7.3800000000000005E-4</v>
      </c>
      <c r="F80" s="136">
        <f>CO2データ!K111</f>
        <v>6.7199999999999996E-4</v>
      </c>
    </row>
    <row r="81" spans="3:6" hidden="1">
      <c r="C81" s="1608" t="s">
        <v>2254</v>
      </c>
      <c r="D81" s="136">
        <f>CO2データ!I108</f>
        <v>5.1599999999999997E-4</v>
      </c>
      <c r="F81" s="136">
        <f>CO2データ!K108</f>
        <v>3.7300000000000001E-4</v>
      </c>
    </row>
    <row r="82" spans="3:6" hidden="1">
      <c r="C82" s="1608" t="s">
        <v>1875</v>
      </c>
      <c r="D82" s="136">
        <f>CO2データ!I136</f>
        <v>9.2E-5</v>
      </c>
      <c r="F82" s="136">
        <f>CO2データ!K136</f>
        <v>9.1000000000000003E-5</v>
      </c>
    </row>
    <row r="83" spans="3:6" hidden="1">
      <c r="C83" s="1608" t="s">
        <v>2255</v>
      </c>
      <c r="D83" s="136">
        <f>CO2データ!I107</f>
        <v>5.2499999999999997E-4</v>
      </c>
      <c r="F83" s="136">
        <f>CO2データ!K107</f>
        <v>4.06E-4</v>
      </c>
    </row>
    <row r="84" spans="3:6" hidden="1">
      <c r="C84" s="1608" t="s">
        <v>2256</v>
      </c>
      <c r="D84" s="136">
        <f>CO2データ!I106</f>
        <v>5.9999999999999995E-4</v>
      </c>
      <c r="F84" s="136">
        <f>CO2データ!K106</f>
        <v>5.5999999999999995E-4</v>
      </c>
    </row>
    <row r="85" spans="3:6" hidden="1">
      <c r="C85" s="1608" t="s">
        <v>1876</v>
      </c>
      <c r="D85" s="136">
        <f>CO2データ!I137</f>
        <v>5.0799999999999999E-4</v>
      </c>
      <c r="F85" s="136">
        <f>CO2データ!K137</f>
        <v>5.0900000000000001E-4</v>
      </c>
    </row>
    <row r="86" spans="3:6" hidden="1">
      <c r="C86" s="1608" t="s">
        <v>1877</v>
      </c>
      <c r="D86" s="136">
        <f>CO2データ!I138</f>
        <v>4.86E-4</v>
      </c>
      <c r="F86" s="136">
        <f>CO2データ!K138</f>
        <v>2.5599999999999999E-4</v>
      </c>
    </row>
    <row r="87" spans="3:6" hidden="1">
      <c r="C87" s="1608" t="s">
        <v>2257</v>
      </c>
      <c r="D87" s="136">
        <f>CO2データ!I105</f>
        <v>6.8800000000000003E-4</v>
      </c>
      <c r="F87" s="136">
        <f>CO2データ!K105</f>
        <v>6.8000000000000005E-4</v>
      </c>
    </row>
    <row r="88" spans="3:6" hidden="1">
      <c r="C88" s="1608" t="s">
        <v>2258</v>
      </c>
      <c r="D88" s="136">
        <f>CO2データ!I109</f>
        <v>6.6299999999999996E-4</v>
      </c>
      <c r="F88" s="136">
        <f>CO2データ!K109</f>
        <v>4.9399999999999997E-4</v>
      </c>
    </row>
  </sheetData>
  <sheetProtection algorithmName="SHA-512" hashValue="AfBMW4RJHOFXEz4RmGQQJsRnU4w1uLxGxk5Iquw0EeMlV47TmQV8goOm5t1rmPi+j0B+HOGZ938SnGvduFjv2w==" saltValue="uIp/fJlUD35ABjY9YHHZ4g==" spinCount="100000" sheet="1" objects="1" scenarios="1"/>
  <mergeCells count="1">
    <mergeCell ref="C13:E14"/>
  </mergeCells>
  <phoneticPr fontId="21"/>
  <conditionalFormatting sqref="C16">
    <cfRule type="expression" dxfId="139" priority="1" stopIfTrue="1">
      <formula>$O$3=2</formula>
    </cfRule>
  </conditionalFormatting>
  <conditionalFormatting sqref="C10:D10">
    <cfRule type="expression" dxfId="138" priority="2" stopIfTrue="1">
      <formula>$O$3=1</formula>
    </cfRule>
  </conditionalFormatting>
  <conditionalFormatting sqref="C20:D20">
    <cfRule type="expression" dxfId="137" priority="3" stopIfTrue="1">
      <formula>$O$3=3</formula>
    </cfRule>
  </conditionalFormatting>
  <conditionalFormatting sqref="C28:D43">
    <cfRule type="expression" dxfId="136" priority="4" stopIfTrue="1">
      <formula>$O$3=5</formula>
    </cfRule>
  </conditionalFormatting>
  <dataValidations count="1">
    <dataValidation type="list" allowBlank="1" showInputMessage="1" showErrorMessage="1" sqref="C16" xr:uid="{00000000-0002-0000-0500-000000000000}">
      <formula1>$I$6:$I$44</formula1>
    </dataValidation>
  </dataValidations>
  <pageMargins left="0.75" right="0.75" top="1" bottom="1" header="0.51200000000000001" footer="0.51200000000000001"/>
  <pageSetup paperSize="9" scale="64" orientation="portrait" verticalDpi="360" r:id="rId1"/>
  <headerFooter alignWithMargins="0">
    <oddHeader>&amp;L&amp;F&amp;R&amp;A</oddHeader>
    <oddFooter>&amp;C&amp;P/&amp;N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Option Button 1">
              <controlPr defaultSize="0" autoFill="0" autoLine="0" autoPict="0">
                <anchor moveWithCells="1" sizeWithCells="1">
                  <from>
                    <xdr:col>1</xdr:col>
                    <xdr:colOff>190500</xdr:colOff>
                    <xdr:row>8</xdr:row>
                    <xdr:rowOff>152400</xdr:rowOff>
                  </from>
                  <to>
                    <xdr:col>2</xdr:col>
                    <xdr:colOff>0</xdr:colOff>
                    <xdr:row>9</xdr:row>
                    <xdr:rowOff>152400</xdr:rowOff>
                  </to>
                </anchor>
              </controlPr>
            </control>
          </mc:Choice>
        </mc:AlternateContent>
        <mc:AlternateContent xmlns:mc="http://schemas.openxmlformats.org/markup-compatibility/2006">
          <mc:Choice Requires="x14">
            <control shapeId="3074" r:id="rId5" name="Option Button 2">
              <controlPr defaultSize="0" autoFill="0" autoLine="0" autoPict="0">
                <anchor moveWithCells="1" sizeWithCells="1">
                  <from>
                    <xdr:col>1</xdr:col>
                    <xdr:colOff>190500</xdr:colOff>
                    <xdr:row>14</xdr:row>
                    <xdr:rowOff>133350</xdr:rowOff>
                  </from>
                  <to>
                    <xdr:col>2</xdr:col>
                    <xdr:colOff>0</xdr:colOff>
                    <xdr:row>16</xdr:row>
                    <xdr:rowOff>19050</xdr:rowOff>
                  </to>
                </anchor>
              </controlPr>
            </control>
          </mc:Choice>
        </mc:AlternateContent>
        <mc:AlternateContent xmlns:mc="http://schemas.openxmlformats.org/markup-compatibility/2006">
          <mc:Choice Requires="x14">
            <control shapeId="3075" r:id="rId6" name="Option Button 3">
              <controlPr defaultSize="0" autoFill="0" autoLine="0" autoPict="0">
                <anchor moveWithCells="1" sizeWithCells="1">
                  <from>
                    <xdr:col>1</xdr:col>
                    <xdr:colOff>190500</xdr:colOff>
                    <xdr:row>18</xdr:row>
                    <xdr:rowOff>66675</xdr:rowOff>
                  </from>
                  <to>
                    <xdr:col>2</xdr:col>
                    <xdr:colOff>0</xdr:colOff>
                    <xdr:row>20</xdr:row>
                    <xdr:rowOff>114300</xdr:rowOff>
                  </to>
                </anchor>
              </controlPr>
            </control>
          </mc:Choice>
        </mc:AlternateContent>
        <mc:AlternateContent xmlns:mc="http://schemas.openxmlformats.org/markup-compatibility/2006">
          <mc:Choice Requires="x14">
            <control shapeId="3076" r:id="rId7" name="Option Button 4">
              <controlPr defaultSize="0" autoFill="0" autoLine="0" autoPict="0">
                <anchor moveWithCells="1" sizeWithCells="1">
                  <from>
                    <xdr:col>1</xdr:col>
                    <xdr:colOff>190500</xdr:colOff>
                    <xdr:row>22</xdr:row>
                    <xdr:rowOff>180975</xdr:rowOff>
                  </from>
                  <to>
                    <xdr:col>2</xdr:col>
                    <xdr:colOff>0</xdr:colOff>
                    <xdr:row>24</xdr:row>
                    <xdr:rowOff>0</xdr:rowOff>
                  </to>
                </anchor>
              </controlPr>
            </control>
          </mc:Choice>
        </mc:AlternateContent>
        <mc:AlternateContent xmlns:mc="http://schemas.openxmlformats.org/markup-compatibility/2006">
          <mc:Choice Requires="x14">
            <control shapeId="3077" r:id="rId8" name="Option Button 5">
              <controlPr defaultSize="0" autoFill="0" autoLine="0" autoPict="0">
                <anchor moveWithCells="1" sizeWithCells="1">
                  <from>
                    <xdr:col>1</xdr:col>
                    <xdr:colOff>190500</xdr:colOff>
                    <xdr:row>26</xdr:row>
                    <xdr:rowOff>142875</xdr:rowOff>
                  </from>
                  <to>
                    <xdr:col>2</xdr:col>
                    <xdr:colOff>0</xdr:colOff>
                    <xdr:row>28</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autoPageBreaks="0"/>
  </sheetPr>
  <dimension ref="B1:AA442"/>
  <sheetViews>
    <sheetView showGridLines="0" zoomScaleNormal="100" zoomScaleSheetLayoutView="100" zoomScalePageLayoutView="50" workbookViewId="0">
      <selection activeCell="D5" sqref="D5"/>
    </sheetView>
  </sheetViews>
  <sheetFormatPr defaultColWidth="0" defaultRowHeight="13.5" zeroHeight="1"/>
  <cols>
    <col min="1" max="1" width="1.375" customWidth="1"/>
    <col min="2" max="2" width="8.875" hidden="1" customWidth="1"/>
    <col min="3" max="3" width="6" hidden="1" customWidth="1"/>
    <col min="4" max="4" width="5" style="2283" customWidth="1"/>
    <col min="5" max="5" width="1.375" style="136" customWidth="1"/>
    <col min="6" max="15" width="12.5" style="136" customWidth="1"/>
    <col min="16" max="16" width="2.5" customWidth="1"/>
    <col min="17" max="17" width="9.75" hidden="1" customWidth="1"/>
    <col min="18" max="18" width="20.75" hidden="1" customWidth="1"/>
    <col min="19" max="19" width="6.375" hidden="1" customWidth="1"/>
    <col min="20" max="20" width="9.125" hidden="1" customWidth="1"/>
    <col min="21" max="21" width="13.625" hidden="1" customWidth="1"/>
    <col min="22" max="22" width="9.75" hidden="1" customWidth="1"/>
    <col min="23" max="23" width="13.75" hidden="1" customWidth="1"/>
    <col min="24" max="26" width="9" hidden="1" customWidth="1"/>
    <col min="27" max="27" width="10.125" hidden="1" customWidth="1"/>
  </cols>
  <sheetData>
    <row r="1" spans="2:21" ht="15.75">
      <c r="D1" s="949"/>
      <c r="E1" s="950"/>
      <c r="F1" s="950"/>
      <c r="G1" s="950"/>
      <c r="H1" s="950"/>
      <c r="I1" s="950"/>
      <c r="J1" s="950"/>
      <c r="K1" s="950"/>
      <c r="L1" s="950"/>
      <c r="M1" s="951" t="s">
        <v>2697</v>
      </c>
      <c r="N1" s="952" t="str">
        <f>メイン!C11</f>
        <v>○○ビル</v>
      </c>
      <c r="O1" s="952"/>
      <c r="R1" t="s">
        <v>1326</v>
      </c>
    </row>
    <row r="2" spans="2:21" ht="8.25" customHeight="1" thickBot="1">
      <c r="D2" s="953"/>
      <c r="E2" s="537"/>
      <c r="F2" s="537"/>
      <c r="G2" s="537"/>
      <c r="H2" s="537"/>
      <c r="I2" s="537"/>
      <c r="J2" s="537"/>
      <c r="K2" s="537"/>
      <c r="L2" s="537"/>
      <c r="M2" s="537"/>
      <c r="N2" s="537"/>
      <c r="O2" s="537"/>
    </row>
    <row r="3" spans="2:21" ht="18.75" thickBot="1">
      <c r="D3" s="1396" t="s">
        <v>1955</v>
      </c>
      <c r="E3" s="954"/>
      <c r="F3" s="537"/>
      <c r="G3" s="537"/>
      <c r="H3" s="537"/>
      <c r="I3" s="955"/>
      <c r="J3" s="956" t="s">
        <v>2589</v>
      </c>
      <c r="K3" s="155"/>
      <c r="L3" s="155"/>
      <c r="M3" s="537"/>
      <c r="N3" s="537"/>
      <c r="O3" s="957" t="str">
        <f>IF(メイン!E39=0,"",メイン!E39)</f>
        <v/>
      </c>
      <c r="R3" t="s">
        <v>1354</v>
      </c>
      <c r="U3" t="str">
        <f>メイン!I39</f>
        <v>基本設計段階</v>
      </c>
    </row>
    <row r="4" spans="2:21" ht="10.5" customHeight="1">
      <c r="D4" s="953"/>
      <c r="E4" s="954"/>
      <c r="F4" s="537"/>
      <c r="G4" s="537"/>
      <c r="H4" s="537"/>
      <c r="I4" s="537"/>
      <c r="J4" s="537"/>
      <c r="K4" s="537"/>
      <c r="L4" s="537"/>
      <c r="M4" s="537"/>
      <c r="N4" s="537"/>
      <c r="O4" s="537"/>
      <c r="S4" t="s">
        <v>1956</v>
      </c>
      <c r="T4" t="s">
        <v>1957</v>
      </c>
      <c r="U4" t="str">
        <f>メイン!I40</f>
        <v>実施設計段階</v>
      </c>
    </row>
    <row r="5" spans="2:21" ht="15.75">
      <c r="D5" s="949">
        <v>1</v>
      </c>
      <c r="E5" s="958" t="s">
        <v>1355</v>
      </c>
      <c r="F5" s="958"/>
      <c r="G5" s="958"/>
      <c r="H5" s="959"/>
      <c r="I5" s="959"/>
      <c r="J5" s="959"/>
      <c r="K5" s="959"/>
      <c r="L5" s="959"/>
      <c r="M5" s="959"/>
      <c r="N5" s="959"/>
      <c r="O5" s="959"/>
      <c r="U5" t="str">
        <f>メイン!I41</f>
        <v>竣工段階</v>
      </c>
    </row>
    <row r="6" spans="2:21" ht="15.75">
      <c r="D6" s="949">
        <v>1.1000000000000001</v>
      </c>
      <c r="E6" s="960" t="s">
        <v>1356</v>
      </c>
      <c r="F6" s="958"/>
      <c r="G6" s="958"/>
      <c r="H6" s="959"/>
      <c r="I6" s="959"/>
      <c r="J6" s="959"/>
      <c r="K6" s="959"/>
      <c r="L6" s="959"/>
      <c r="M6" s="959"/>
      <c r="N6" s="959"/>
      <c r="O6" s="964" t="s">
        <v>1959</v>
      </c>
      <c r="U6">
        <f>メイン!Q42</f>
        <v>0</v>
      </c>
    </row>
    <row r="7" spans="2:21" ht="15.75" hidden="1">
      <c r="D7" s="953"/>
      <c r="E7" s="959"/>
      <c r="F7" s="961" t="s">
        <v>1958</v>
      </c>
      <c r="G7" s="962"/>
      <c r="H7" s="959"/>
      <c r="I7" s="959"/>
      <c r="J7" s="1041" t="str">
        <f>IF(OR(F9=0,AND(J8=0,O8=0)),$R$3,"")</f>
        <v/>
      </c>
      <c r="K7" s="551"/>
      <c r="L7" s="962"/>
      <c r="M7" s="959"/>
      <c r="N7" s="959"/>
      <c r="O7" s="964" t="s">
        <v>1959</v>
      </c>
    </row>
    <row r="8" spans="2:21" ht="14.25" thickBot="1">
      <c r="E8" s="155"/>
      <c r="F8" s="965" t="s">
        <v>1960</v>
      </c>
      <c r="G8" s="966"/>
      <c r="H8" s="967"/>
      <c r="I8" s="968" t="s">
        <v>1358</v>
      </c>
      <c r="J8" s="969">
        <f>重み!M12</f>
        <v>0.7931034482758621</v>
      </c>
      <c r="K8" s="970"/>
      <c r="L8" s="965" t="s">
        <v>1961</v>
      </c>
      <c r="M8" s="966"/>
      <c r="N8" s="968" t="s">
        <v>1358</v>
      </c>
      <c r="O8" s="971">
        <f>重み!N12</f>
        <v>0.17241379310344829</v>
      </c>
    </row>
    <row r="9" spans="2:21" ht="23.25" thickBot="1">
      <c r="E9" s="155"/>
      <c r="F9" s="972">
        <v>3</v>
      </c>
      <c r="G9" s="973" t="s">
        <v>1359</v>
      </c>
      <c r="H9" s="2532" t="s">
        <v>3379</v>
      </c>
      <c r="I9" s="975" t="s">
        <v>3380</v>
      </c>
      <c r="J9" s="974" t="s">
        <v>3381</v>
      </c>
      <c r="K9" s="973" t="s">
        <v>1360</v>
      </c>
      <c r="L9" s="972">
        <v>3</v>
      </c>
      <c r="M9" s="976" t="s">
        <v>1361</v>
      </c>
      <c r="N9" s="977"/>
      <c r="O9" s="978"/>
    </row>
    <row r="10" spans="2:21" ht="42" customHeight="1">
      <c r="B10" s="1">
        <v>1</v>
      </c>
      <c r="C10" s="1">
        <v>1</v>
      </c>
      <c r="E10" s="155"/>
      <c r="F10" s="979" t="str">
        <f>IF(F9=$S$15,$T$10,IF(ROUNDDOWN(F9,0)=$S$10,$U$10,$T$10))</f>
        <v>　レベル　1</v>
      </c>
      <c r="G10" s="980" t="s">
        <v>3044</v>
      </c>
      <c r="H10" s="980" t="s">
        <v>3043</v>
      </c>
      <c r="I10" s="980" t="s">
        <v>3047</v>
      </c>
      <c r="J10" s="980" t="s">
        <v>3048</v>
      </c>
      <c r="K10" s="980" t="s">
        <v>2164</v>
      </c>
      <c r="L10" s="979" t="str">
        <f>IF(L9=$S$15,$T$10,IF(ROUNDDOWN(L9,0)=$S$10,$U$10,$T$10))</f>
        <v>　レベル　1</v>
      </c>
      <c r="M10" s="981" t="s">
        <v>3051</v>
      </c>
      <c r="N10" s="982"/>
      <c r="O10" s="983"/>
      <c r="S10">
        <v>1</v>
      </c>
      <c r="T10" t="s">
        <v>2165</v>
      </c>
      <c r="U10" t="s">
        <v>2166</v>
      </c>
    </row>
    <row r="11" spans="2:21" ht="22.5">
      <c r="B11" s="1">
        <v>2</v>
      </c>
      <c r="C11" s="1" t="s">
        <v>2167</v>
      </c>
      <c r="E11" s="155"/>
      <c r="F11" s="984" t="str">
        <f>IF(F9=$S$15,$T$11,IF(ROUNDDOWN(F9,0)=$S$11,$U$11,$T$11))</f>
        <v>　レベル　2</v>
      </c>
      <c r="G11" s="985" t="s">
        <v>2168</v>
      </c>
      <c r="H11" s="985" t="s">
        <v>2168</v>
      </c>
      <c r="I11" s="986" t="s">
        <v>2168</v>
      </c>
      <c r="J11" s="986" t="s">
        <v>2168</v>
      </c>
      <c r="K11" s="987" t="s">
        <v>2169</v>
      </c>
      <c r="L11" s="984" t="str">
        <f>IF(L9=$S$15,$T$11,IF(ROUNDDOWN(L9,0)=$S$11,$U$11,$T$11))</f>
        <v>　レベル　2</v>
      </c>
      <c r="M11" s="988" t="s">
        <v>2168</v>
      </c>
      <c r="N11" s="989"/>
      <c r="O11" s="990"/>
      <c r="S11">
        <v>2</v>
      </c>
      <c r="T11" t="s">
        <v>1327</v>
      </c>
      <c r="U11" t="s">
        <v>1328</v>
      </c>
    </row>
    <row r="12" spans="2:21" ht="49.5" customHeight="1">
      <c r="B12" s="1">
        <v>3</v>
      </c>
      <c r="C12" s="1">
        <v>3</v>
      </c>
      <c r="E12" s="155"/>
      <c r="F12" s="984" t="str">
        <f>IF(F9=$S$15,$T$12,IF(ROUNDDOWN(F9,0)=$S$12,$U$12,$T$12))</f>
        <v>■レベル　3</v>
      </c>
      <c r="G12" s="987" t="s">
        <v>3045</v>
      </c>
      <c r="H12" s="987" t="s">
        <v>3046</v>
      </c>
      <c r="I12" s="987" t="s">
        <v>3049</v>
      </c>
      <c r="J12" s="991" t="s">
        <v>3050</v>
      </c>
      <c r="K12" s="987" t="s">
        <v>1329</v>
      </c>
      <c r="L12" s="984" t="str">
        <f>IF(L9=$S$15,$T$12,IF(ROUNDDOWN(L9,0)=$S$12,$U$12,$T$12))</f>
        <v>■レベル　3</v>
      </c>
      <c r="M12" s="988" t="s">
        <v>3052</v>
      </c>
      <c r="N12" s="989"/>
      <c r="O12" s="990"/>
      <c r="S12">
        <v>3</v>
      </c>
      <c r="T12" t="s">
        <v>1332</v>
      </c>
      <c r="U12" t="s">
        <v>1333</v>
      </c>
    </row>
    <row r="13" spans="2:21" ht="22.5">
      <c r="B13" s="1">
        <v>4</v>
      </c>
      <c r="C13" s="1">
        <v>4</v>
      </c>
      <c r="E13" s="155"/>
      <c r="F13" s="984" t="str">
        <f>IF(F9=$S$15,$T$13,IF(ROUNDDOWN(F9,0)=$S$13,$U$13,$T$13))</f>
        <v>　レベル　4</v>
      </c>
      <c r="G13" s="992" t="s">
        <v>1330</v>
      </c>
      <c r="H13" s="993" t="s">
        <v>1331</v>
      </c>
      <c r="I13" s="994" t="s">
        <v>1329</v>
      </c>
      <c r="J13" s="994" t="s">
        <v>1334</v>
      </c>
      <c r="K13" s="992" t="s">
        <v>1335</v>
      </c>
      <c r="L13" s="984" t="str">
        <f>IF(L9=$S$15,$T$13,IF(ROUNDDOWN(L9,0)=$S$13,$U$13,$T$13))</f>
        <v>　レベル　4</v>
      </c>
      <c r="M13" s="988" t="s">
        <v>1215</v>
      </c>
      <c r="N13" s="989"/>
      <c r="O13" s="990"/>
      <c r="S13">
        <v>4</v>
      </c>
      <c r="T13" t="s">
        <v>1216</v>
      </c>
      <c r="U13" t="s">
        <v>1217</v>
      </c>
    </row>
    <row r="14" spans="2:21" ht="25.5" customHeight="1">
      <c r="B14" s="1">
        <v>5</v>
      </c>
      <c r="C14" s="1">
        <v>5</v>
      </c>
      <c r="E14" s="155"/>
      <c r="F14" s="995" t="str">
        <f>IF(F9=$S$15,$T$14,IF(ROUNDDOWN(F9,0)=$S$14,$U$14,$T$14))</f>
        <v>　レベル　5</v>
      </c>
      <c r="G14" s="996" t="s">
        <v>1218</v>
      </c>
      <c r="H14" s="997" t="s">
        <v>1219</v>
      </c>
      <c r="I14" s="998" t="s">
        <v>1220</v>
      </c>
      <c r="J14" s="998" t="s">
        <v>1221</v>
      </c>
      <c r="K14" s="996" t="s">
        <v>1222</v>
      </c>
      <c r="L14" s="995" t="str">
        <f>IF(L9=$S$15,$T$14,IF(ROUNDDOWN(L9,0)=$S$14,$U$14,$T$14))</f>
        <v>　レベル　5</v>
      </c>
      <c r="M14" s="999" t="s">
        <v>1222</v>
      </c>
      <c r="N14" s="1000"/>
      <c r="O14" s="1001"/>
      <c r="S14">
        <v>5</v>
      </c>
      <c r="T14" t="s">
        <v>1223</v>
      </c>
      <c r="U14" t="s">
        <v>1224</v>
      </c>
    </row>
    <row r="15" spans="2:21">
      <c r="B15" s="1002">
        <v>0</v>
      </c>
      <c r="C15" s="1002">
        <v>0</v>
      </c>
      <c r="E15" s="155"/>
      <c r="F15" s="1003" t="s">
        <v>1225</v>
      </c>
      <c r="G15" s="1004"/>
      <c r="H15" s="1004"/>
      <c r="I15" s="1004"/>
      <c r="J15" s="1004"/>
      <c r="K15" s="1004"/>
      <c r="L15" s="1004"/>
      <c r="M15" s="1004"/>
      <c r="N15" s="1004"/>
      <c r="O15" s="1004"/>
      <c r="S15">
        <v>0</v>
      </c>
      <c r="T15" t="s">
        <v>1714</v>
      </c>
      <c r="U15" t="s">
        <v>1714</v>
      </c>
    </row>
    <row r="16" spans="2:21">
      <c r="E16" s="155"/>
      <c r="F16" s="1005" t="s">
        <v>3375</v>
      </c>
      <c r="G16" s="1006" t="s">
        <v>1715</v>
      </c>
      <c r="H16" s="1006" t="s">
        <v>1716</v>
      </c>
      <c r="I16" s="1006" t="s">
        <v>1717</v>
      </c>
      <c r="J16" s="1006" t="s">
        <v>1718</v>
      </c>
      <c r="K16" s="1006" t="s">
        <v>1719</v>
      </c>
      <c r="L16" s="1006" t="s">
        <v>1720</v>
      </c>
      <c r="M16" s="1006" t="s">
        <v>1721</v>
      </c>
      <c r="N16" s="1006" t="s">
        <v>1722</v>
      </c>
      <c r="O16" s="1006" t="s">
        <v>1723</v>
      </c>
    </row>
    <row r="17" spans="5:15">
      <c r="E17" s="155"/>
      <c r="F17" s="1005" t="s">
        <v>1724</v>
      </c>
      <c r="G17" s="1007" t="s">
        <v>1725</v>
      </c>
      <c r="H17" s="1007" t="s">
        <v>1726</v>
      </c>
      <c r="I17" s="1007" t="s">
        <v>1727</v>
      </c>
      <c r="J17" s="1007" t="s">
        <v>1087</v>
      </c>
      <c r="K17" s="1007" t="s">
        <v>1088</v>
      </c>
      <c r="L17" s="1007" t="s">
        <v>1089</v>
      </c>
      <c r="M17" s="1007" t="s">
        <v>1090</v>
      </c>
      <c r="N17" s="1007" t="s">
        <v>1091</v>
      </c>
      <c r="O17" s="1007" t="s">
        <v>1092</v>
      </c>
    </row>
    <row r="18" spans="5:15">
      <c r="E18" s="155"/>
      <c r="F18" s="1008" t="s">
        <v>1093</v>
      </c>
      <c r="G18" s="1009" t="s">
        <v>1226</v>
      </c>
      <c r="H18" s="1010" t="s">
        <v>1227</v>
      </c>
      <c r="I18" s="1010"/>
      <c r="J18" s="1010"/>
      <c r="K18" s="1010" t="s">
        <v>1228</v>
      </c>
      <c r="L18" s="1010"/>
      <c r="M18" s="1011" t="s">
        <v>1229</v>
      </c>
      <c r="N18" s="1010" t="s">
        <v>1230</v>
      </c>
      <c r="O18" s="1012"/>
    </row>
    <row r="19" spans="5:15">
      <c r="E19" s="155"/>
      <c r="F19" s="2813" t="s">
        <v>1231</v>
      </c>
      <c r="G19" s="1013"/>
      <c r="H19" s="1014"/>
      <c r="I19" s="1015" t="s">
        <v>1232</v>
      </c>
      <c r="J19" s="1015"/>
      <c r="K19" s="1016" t="s">
        <v>1233</v>
      </c>
      <c r="L19" s="1014"/>
      <c r="M19" s="1016" t="s">
        <v>1234</v>
      </c>
      <c r="N19" s="1014"/>
      <c r="O19" s="1017" t="s">
        <v>1235</v>
      </c>
    </row>
    <row r="20" spans="5:15">
      <c r="E20" s="155"/>
      <c r="F20" s="2814"/>
      <c r="G20" s="1018"/>
      <c r="H20" s="1019"/>
      <c r="I20" s="1020" t="s">
        <v>1094</v>
      </c>
      <c r="J20" s="1019"/>
      <c r="K20" s="1021" t="s">
        <v>1095</v>
      </c>
      <c r="L20" s="1022" t="s">
        <v>1096</v>
      </c>
      <c r="M20" s="1021" t="s">
        <v>1097</v>
      </c>
      <c r="N20" s="1022" t="s">
        <v>1096</v>
      </c>
      <c r="O20" s="1023" t="s">
        <v>1098</v>
      </c>
    </row>
    <row r="21" spans="5:15">
      <c r="E21" s="155"/>
      <c r="F21" s="1024" t="s">
        <v>1099</v>
      </c>
      <c r="G21" s="1014" t="s">
        <v>190</v>
      </c>
      <c r="H21" s="1014" t="s">
        <v>1100</v>
      </c>
      <c r="I21" s="1014" t="s">
        <v>1101</v>
      </c>
      <c r="J21" s="1014" t="s">
        <v>1102</v>
      </c>
      <c r="K21" s="1014" t="s">
        <v>191</v>
      </c>
      <c r="L21" s="1014" t="s">
        <v>192</v>
      </c>
      <c r="M21" s="1014"/>
      <c r="N21" s="1014"/>
      <c r="O21" s="1025"/>
    </row>
    <row r="22" spans="5:15">
      <c r="E22" s="155"/>
      <c r="F22" s="1026" t="s">
        <v>193</v>
      </c>
      <c r="G22" s="1027"/>
      <c r="H22" s="1027" t="s">
        <v>194</v>
      </c>
      <c r="I22" s="1027" t="s">
        <v>195</v>
      </c>
      <c r="J22" s="1027" t="s">
        <v>196</v>
      </c>
      <c r="K22" s="1028" t="s">
        <v>197</v>
      </c>
      <c r="L22" s="1029"/>
      <c r="M22" s="1027" t="s">
        <v>1103</v>
      </c>
      <c r="N22" s="1027"/>
      <c r="O22" s="1030"/>
    </row>
    <row r="23" spans="5:15">
      <c r="E23" s="155"/>
      <c r="F23" s="1026" t="s">
        <v>1967</v>
      </c>
      <c r="G23" s="1027"/>
      <c r="H23" s="1027" t="s">
        <v>198</v>
      </c>
      <c r="I23" s="1027" t="s">
        <v>199</v>
      </c>
      <c r="J23" s="1027" t="s">
        <v>1038</v>
      </c>
      <c r="K23" s="1027" t="s">
        <v>1860</v>
      </c>
      <c r="L23" s="1027" t="s">
        <v>1861</v>
      </c>
      <c r="M23" s="1027" t="s">
        <v>1197</v>
      </c>
      <c r="N23" s="1027"/>
      <c r="O23" s="1030"/>
    </row>
    <row r="24" spans="5:15">
      <c r="E24" s="155"/>
      <c r="F24" s="1026" t="s">
        <v>1198</v>
      </c>
      <c r="G24" s="1027"/>
      <c r="H24" s="1027"/>
      <c r="I24" s="1027"/>
      <c r="J24" s="1027" t="s">
        <v>1199</v>
      </c>
      <c r="K24" s="1027" t="s">
        <v>1200</v>
      </c>
      <c r="L24" s="1027" t="s">
        <v>2155</v>
      </c>
      <c r="M24" s="1027" t="s">
        <v>1104</v>
      </c>
      <c r="N24" s="1027"/>
      <c r="O24" s="1030"/>
    </row>
    <row r="25" spans="5:15">
      <c r="E25" s="155"/>
      <c r="F25" s="1026" t="s">
        <v>192</v>
      </c>
      <c r="G25" s="1027"/>
      <c r="H25" s="1027"/>
      <c r="I25" s="1027"/>
      <c r="J25" s="1028" t="s">
        <v>2156</v>
      </c>
      <c r="K25" s="1027" t="s">
        <v>2157</v>
      </c>
      <c r="L25" s="1027" t="s">
        <v>2183</v>
      </c>
      <c r="M25" s="1029" t="s">
        <v>192</v>
      </c>
      <c r="N25" s="1029"/>
      <c r="O25" s="1030" t="s">
        <v>2184</v>
      </c>
    </row>
    <row r="26" spans="5:15">
      <c r="E26" s="155"/>
      <c r="F26" s="1026" t="s">
        <v>2185</v>
      </c>
      <c r="G26" s="1027"/>
      <c r="H26" s="1027"/>
      <c r="I26" s="1027"/>
      <c r="J26" s="1027" t="s">
        <v>2186</v>
      </c>
      <c r="K26" s="1027" t="s">
        <v>2187</v>
      </c>
      <c r="L26" s="1027" t="s">
        <v>2188</v>
      </c>
      <c r="M26" s="1027" t="s">
        <v>2189</v>
      </c>
      <c r="N26" s="1028" t="s">
        <v>2190</v>
      </c>
      <c r="O26" s="1031"/>
    </row>
    <row r="27" spans="5:15">
      <c r="E27" s="155"/>
      <c r="F27" s="1026" t="s">
        <v>2191</v>
      </c>
      <c r="G27" s="1027"/>
      <c r="H27" s="1027"/>
      <c r="I27" s="1027"/>
      <c r="J27" s="1027" t="s">
        <v>2192</v>
      </c>
      <c r="K27" s="1027" t="s">
        <v>825</v>
      </c>
      <c r="L27" s="1027" t="s">
        <v>826</v>
      </c>
      <c r="M27" s="1027"/>
      <c r="N27" s="1027" t="s">
        <v>827</v>
      </c>
      <c r="O27" s="1030"/>
    </row>
    <row r="28" spans="5:15">
      <c r="E28" s="155"/>
      <c r="F28" s="2815" t="s">
        <v>2179</v>
      </c>
      <c r="G28" s="1027"/>
      <c r="H28" s="1027"/>
      <c r="I28" s="1027"/>
      <c r="J28" s="1027"/>
      <c r="K28" s="1032" t="s">
        <v>2180</v>
      </c>
      <c r="L28" s="1027" t="s">
        <v>2181</v>
      </c>
      <c r="M28" s="1029" t="s">
        <v>2182</v>
      </c>
      <c r="N28" s="1029"/>
      <c r="O28" s="1030"/>
    </row>
    <row r="29" spans="5:15">
      <c r="E29" s="155"/>
      <c r="F29" s="2816"/>
      <c r="G29" s="1019"/>
      <c r="H29" s="1019"/>
      <c r="I29" s="1019"/>
      <c r="J29" s="1019"/>
      <c r="K29" s="1033" t="s">
        <v>1105</v>
      </c>
      <c r="L29" s="1033"/>
      <c r="M29" s="1019" t="s">
        <v>1106</v>
      </c>
      <c r="N29" s="1019" t="s">
        <v>2478</v>
      </c>
      <c r="O29" s="1034"/>
    </row>
    <row r="30" spans="5:15">
      <c r="E30" s="155"/>
      <c r="F30" s="537"/>
      <c r="G30" s="1035"/>
      <c r="H30" s="1035"/>
      <c r="I30" s="1035"/>
      <c r="J30" s="1035"/>
      <c r="K30" s="1035"/>
      <c r="L30" s="1035"/>
      <c r="M30" s="1035"/>
      <c r="N30" s="1035"/>
      <c r="O30" s="1036" t="s">
        <v>2479</v>
      </c>
    </row>
    <row r="31" spans="5:15" ht="0.75" customHeight="1">
      <c r="E31" s="155"/>
      <c r="F31" s="537"/>
      <c r="G31" s="1037"/>
      <c r="H31" s="1037"/>
      <c r="I31" s="1037"/>
      <c r="J31" s="1037"/>
      <c r="K31" s="1037"/>
      <c r="L31" s="1037"/>
      <c r="M31" s="1037"/>
      <c r="N31" s="1037"/>
      <c r="O31" s="1037"/>
    </row>
    <row r="32" spans="5:15" ht="14.25" hidden="1">
      <c r="E32" s="155"/>
      <c r="F32" s="2241" t="s">
        <v>2480</v>
      </c>
      <c r="G32" s="1038"/>
      <c r="H32" s="1039"/>
      <c r="I32" s="1040"/>
      <c r="J32" s="1041" t="str">
        <f>IF(OR(F34=0,AND(J33=0,O33=0)),$R$3,"")</f>
        <v>&lt;評価しない&gt;</v>
      </c>
      <c r="K32" s="1040"/>
      <c r="L32" s="1038"/>
      <c r="M32" s="1039"/>
      <c r="N32" s="1040"/>
      <c r="O32" s="1041"/>
    </row>
    <row r="33" spans="2:15" hidden="1">
      <c r="E33" s="155"/>
      <c r="F33" s="965" t="s">
        <v>1107</v>
      </c>
      <c r="G33" s="966"/>
      <c r="H33" s="967"/>
      <c r="I33" s="968" t="s">
        <v>1358</v>
      </c>
      <c r="J33" s="971">
        <f>重み!M13</f>
        <v>0.20689655172413793</v>
      </c>
      <c r="K33" s="965" t="s">
        <v>1961</v>
      </c>
      <c r="L33" s="966"/>
      <c r="M33" s="967"/>
      <c r="N33" s="968" t="s">
        <v>1358</v>
      </c>
      <c r="O33" s="971">
        <f>重み!N13</f>
        <v>0</v>
      </c>
    </row>
    <row r="34" spans="2:15" ht="14.25" hidden="1" thickBot="1">
      <c r="E34" s="155"/>
      <c r="F34" s="1042">
        <f>IF(J33=0,0,F45)</f>
        <v>0</v>
      </c>
      <c r="G34" s="977" t="s">
        <v>1108</v>
      </c>
      <c r="H34" s="977"/>
      <c r="I34" s="2819" t="s">
        <v>1109</v>
      </c>
      <c r="J34" s="2820"/>
      <c r="K34" s="1042">
        <f>IF(O33=0,0,IF(O45+K57=0,0,ROUND(G45*O45/(O45+K57)+G57*K57/(O45+K57),0)))</f>
        <v>0</v>
      </c>
      <c r="L34" s="1043" t="s">
        <v>1110</v>
      </c>
      <c r="M34" s="1044" t="s">
        <v>1111</v>
      </c>
      <c r="N34" s="2817" t="s">
        <v>2482</v>
      </c>
      <c r="O34" s="2818"/>
    </row>
    <row r="35" spans="2:15" ht="56.25" hidden="1" customHeight="1">
      <c r="E35" s="155"/>
      <c r="F35" s="984" t="str">
        <f>IF(F34=$S$15,$T$10,IF(ROUNDDOWN(F34,0)=$S$10,$U$10,$T$10))</f>
        <v>　レベル　1</v>
      </c>
      <c r="G35" s="2731" t="s">
        <v>2483</v>
      </c>
      <c r="H35" s="2789"/>
      <c r="I35" s="2731" t="s">
        <v>2483</v>
      </c>
      <c r="J35" s="2789"/>
      <c r="K35" s="984" t="str">
        <f>IF(K34=$S$15,$T$10,IF(ROUNDDOWN(K34,0)=$S$10,$U$10,$T$10))</f>
        <v>　レベル　1</v>
      </c>
      <c r="L35" s="1045" t="s">
        <v>2483</v>
      </c>
      <c r="M35" s="1045" t="s">
        <v>2483</v>
      </c>
      <c r="N35" s="2731" t="s">
        <v>2483</v>
      </c>
      <c r="O35" s="2732"/>
    </row>
    <row r="36" spans="2:15" ht="45" hidden="1" customHeight="1">
      <c r="E36" s="155"/>
      <c r="F36" s="984" t="str">
        <f>IF(F34=$S$15,$T$11,IF(ROUNDDOWN(F34,0)=$S$11,$U$11,$T$11))</f>
        <v>　レベル　2</v>
      </c>
      <c r="G36" s="2727" t="s">
        <v>1663</v>
      </c>
      <c r="H36" s="2752"/>
      <c r="I36" s="2727" t="s">
        <v>1112</v>
      </c>
      <c r="J36" s="2752"/>
      <c r="K36" s="984" t="str">
        <f>IF(K34=$S$15,$T$11,IF(ROUNDDOWN(K34,0)=$S$11,$U$11,$T$11))</f>
        <v>　レベル　2</v>
      </c>
      <c r="L36" s="992" t="s">
        <v>1663</v>
      </c>
      <c r="M36" s="992" t="s">
        <v>1112</v>
      </c>
      <c r="N36" s="2727"/>
      <c r="O36" s="2734"/>
    </row>
    <row r="37" spans="2:15" ht="45" hidden="1" customHeight="1">
      <c r="E37" s="155"/>
      <c r="F37" s="984" t="str">
        <f>IF(F34=$S$15,$T$12,IF(ROUNDDOWN(F34,0)=$S$12,$U$12,$T$12))</f>
        <v>　レベル　3</v>
      </c>
      <c r="G37" s="2727" t="s">
        <v>1664</v>
      </c>
      <c r="H37" s="2752"/>
      <c r="I37" s="2727" t="s">
        <v>201</v>
      </c>
      <c r="J37" s="2752"/>
      <c r="K37" s="984" t="str">
        <f>IF(K34=$S$15,$T$12,IF(ROUNDDOWN(K34,0)=$S$12,$U$12,$T$12))</f>
        <v>　レベル　3</v>
      </c>
      <c r="L37" s="992" t="s">
        <v>1664</v>
      </c>
      <c r="M37" s="992" t="s">
        <v>201</v>
      </c>
      <c r="N37" s="2727" t="s">
        <v>1665</v>
      </c>
      <c r="O37" s="2734"/>
    </row>
    <row r="38" spans="2:15" ht="56.25" hidden="1" customHeight="1">
      <c r="E38" s="155"/>
      <c r="F38" s="984" t="str">
        <f>IF(F34=$S$15,$T$13,IF(ROUNDDOWN(F34,0)=$S$13,$U$13,$T$13))</f>
        <v>　レベル　4</v>
      </c>
      <c r="G38" s="2727" t="s">
        <v>1666</v>
      </c>
      <c r="H38" s="2752"/>
      <c r="I38" s="2727" t="s">
        <v>695</v>
      </c>
      <c r="J38" s="2752"/>
      <c r="K38" s="984" t="str">
        <f>IF(K34=$S$15,$T$13,IF(ROUNDDOWN(K34,0)=$S$13,$U$13,$T$13))</f>
        <v>　レベル　4</v>
      </c>
      <c r="L38" s="992" t="s">
        <v>1666</v>
      </c>
      <c r="M38" s="992" t="s">
        <v>695</v>
      </c>
      <c r="N38" s="2727"/>
      <c r="O38" s="2734"/>
    </row>
    <row r="39" spans="2:15" ht="45" hidden="1" customHeight="1">
      <c r="E39" s="950"/>
      <c r="F39" s="995" t="str">
        <f>IF(F34=$S$15,$T$14,IF(ROUNDDOWN(F34,0)=$S$14,$U$14,$T$14))</f>
        <v>　レベル　5</v>
      </c>
      <c r="G39" s="2724" t="s">
        <v>1667</v>
      </c>
      <c r="H39" s="2753"/>
      <c r="I39" s="2724" t="s">
        <v>1667</v>
      </c>
      <c r="J39" s="2753"/>
      <c r="K39" s="995" t="str">
        <f>IF(K34=$S$15,$T$14,IF(ROUNDDOWN(K34,0)=$S$14,$U$14,$T$14))</f>
        <v>　レベル　5</v>
      </c>
      <c r="L39" s="996" t="s">
        <v>1667</v>
      </c>
      <c r="M39" s="996" t="s">
        <v>1667</v>
      </c>
      <c r="N39" s="2724" t="s">
        <v>1667</v>
      </c>
      <c r="O39" s="2743"/>
    </row>
    <row r="40" spans="2:15" hidden="1">
      <c r="E40" s="1046"/>
      <c r="F40" s="148" t="s">
        <v>1668</v>
      </c>
      <c r="G40" s="1047"/>
      <c r="H40" s="1047"/>
      <c r="I40" s="1047"/>
      <c r="J40" s="1047"/>
      <c r="K40" s="1048"/>
      <c r="L40" s="1048"/>
      <c r="M40" s="1047"/>
      <c r="N40" s="1047"/>
      <c r="O40" s="1047"/>
    </row>
    <row r="41" spans="2:15" ht="14.25" hidden="1" thickBot="1">
      <c r="E41" s="1046"/>
      <c r="F41" s="1049"/>
      <c r="G41" s="1048" t="s">
        <v>1669</v>
      </c>
      <c r="H41" s="1048"/>
      <c r="I41" s="1050"/>
      <c r="J41" s="1048"/>
      <c r="K41" s="1048"/>
      <c r="L41" s="1048"/>
      <c r="M41" s="1048"/>
      <c r="N41" s="1048"/>
      <c r="O41" s="1048"/>
    </row>
    <row r="42" spans="2:15" ht="15.75" hidden="1">
      <c r="E42" s="1051"/>
      <c r="F42" s="1051"/>
      <c r="G42" s="1052"/>
      <c r="H42" s="1052"/>
      <c r="I42" s="1052"/>
      <c r="J42" s="1047"/>
      <c r="K42" s="1048"/>
      <c r="L42" s="1048"/>
      <c r="M42" s="1048"/>
      <c r="N42" s="1048"/>
      <c r="O42" s="1048"/>
    </row>
    <row r="43" spans="2:15" hidden="1">
      <c r="E43" s="1046"/>
      <c r="F43" s="1053" t="s">
        <v>696</v>
      </c>
      <c r="G43" s="1054" t="s">
        <v>697</v>
      </c>
      <c r="H43" s="1048"/>
      <c r="I43" s="1048"/>
      <c r="J43" s="1047"/>
      <c r="K43" s="1048"/>
      <c r="L43" s="1048"/>
      <c r="M43" s="1048"/>
      <c r="N43" s="1048"/>
      <c r="O43" s="1048"/>
    </row>
    <row r="44" spans="2:15" ht="14.25" hidden="1" customHeight="1" thickBot="1">
      <c r="E44" s="1046"/>
      <c r="F44" s="972">
        <v>0</v>
      </c>
      <c r="G44" s="972">
        <v>0</v>
      </c>
      <c r="H44" s="1055" t="s">
        <v>2670</v>
      </c>
      <c r="I44" s="1056" t="s">
        <v>2896</v>
      </c>
      <c r="J44" s="1048"/>
      <c r="K44" s="1047"/>
      <c r="L44" s="1048"/>
      <c r="M44" s="1048"/>
      <c r="N44" s="1048"/>
      <c r="O44" s="1048"/>
    </row>
    <row r="45" spans="2:15" hidden="1">
      <c r="B45" s="1">
        <v>1</v>
      </c>
      <c r="C45" s="1">
        <v>1</v>
      </c>
      <c r="E45" s="1046"/>
      <c r="F45" s="1057">
        <f>IF(I44=T4,F44,IF(AND(M45&lt;2000,F41=S4),IF($F$54&lt;1,1,IF($F$54&lt;2,2,IF($F$54&lt;3,3,IF($F$54&lt;4,4,5)))),IF($F$54&lt;2,1,IF($F$54&lt;4,2,IF($F$54&lt;6,3,IF($F$54&lt;8,4,5))))))</f>
        <v>0</v>
      </c>
      <c r="G45" s="1057">
        <f>IF(I44=T4,G44,IF(AND(M45&lt;2000,F41=S4),IF($G$54&lt;1,1,IF($G$54&lt;2,2,IF($G$54&lt;3,3,IF($G$54&lt;4,4,5)))),IF($G$54&lt;2,1,IF($G$54&lt;4,2,IF($G$54&lt;6,3,IF($G$54&lt;8,4,5))))))</f>
        <v>0</v>
      </c>
      <c r="H45" s="1058" t="s">
        <v>698</v>
      </c>
      <c r="I45" s="967"/>
      <c r="J45" s="1059" t="s">
        <v>699</v>
      </c>
      <c r="K45" s="1060"/>
      <c r="L45" s="1061" t="s">
        <v>2671</v>
      </c>
      <c r="M45" s="1062">
        <f>メイン!C19</f>
        <v>14500</v>
      </c>
      <c r="N45" s="1063" t="s">
        <v>2595</v>
      </c>
      <c r="O45" s="1064">
        <f>メイン!L66-メイン!L64</f>
        <v>0</v>
      </c>
    </row>
    <row r="46" spans="2:15" ht="13.5" hidden="1" customHeight="1">
      <c r="B46" s="1">
        <v>2</v>
      </c>
      <c r="C46" s="1">
        <v>2</v>
      </c>
      <c r="E46" s="155"/>
      <c r="F46" s="1065" t="s">
        <v>2672</v>
      </c>
      <c r="G46" s="1065" t="s">
        <v>2672</v>
      </c>
      <c r="H46" s="2809" t="s">
        <v>2673</v>
      </c>
      <c r="I46" s="2810"/>
      <c r="J46" s="2806" t="s">
        <v>2674</v>
      </c>
      <c r="K46" s="2807"/>
      <c r="L46" s="1004"/>
      <c r="M46" s="1004"/>
      <c r="N46" s="1004"/>
      <c r="O46" s="1004"/>
    </row>
    <row r="47" spans="2:15" ht="13.5" hidden="1" customHeight="1">
      <c r="B47" s="1">
        <v>3</v>
      </c>
      <c r="C47" s="1">
        <v>3</v>
      </c>
      <c r="E47" s="155"/>
      <c r="F47" s="1066" t="s">
        <v>2675</v>
      </c>
      <c r="G47" s="1066" t="s">
        <v>2675</v>
      </c>
      <c r="H47" s="1067" t="s">
        <v>1650</v>
      </c>
      <c r="I47" s="1068"/>
      <c r="J47" s="1069" t="s">
        <v>1651</v>
      </c>
      <c r="K47" s="1068"/>
      <c r="L47" s="1004"/>
      <c r="M47" s="1004"/>
      <c r="N47" s="1004"/>
      <c r="O47" s="1004"/>
    </row>
    <row r="48" spans="2:15" ht="13.5" hidden="1" customHeight="1">
      <c r="B48" s="1">
        <v>4</v>
      </c>
      <c r="C48" s="1">
        <v>4</v>
      </c>
      <c r="E48" s="155"/>
      <c r="F48" s="1066" t="s">
        <v>2672</v>
      </c>
      <c r="G48" s="1066" t="s">
        <v>2675</v>
      </c>
      <c r="H48" s="1067" t="s">
        <v>1057</v>
      </c>
      <c r="I48" s="1068"/>
      <c r="J48" s="1069" t="s">
        <v>700</v>
      </c>
      <c r="K48" s="1068"/>
      <c r="L48" s="967" t="s">
        <v>1058</v>
      </c>
      <c r="M48" s="967"/>
      <c r="N48" s="967"/>
      <c r="O48" s="1070"/>
    </row>
    <row r="49" spans="2:15" ht="13.5" hidden="1" customHeight="1">
      <c r="B49" s="1">
        <v>5</v>
      </c>
      <c r="C49" s="1">
        <v>5</v>
      </c>
      <c r="E49" s="155"/>
      <c r="F49" s="1066" t="s">
        <v>2675</v>
      </c>
      <c r="G49" s="1066" t="s">
        <v>2672</v>
      </c>
      <c r="H49" s="1067" t="s">
        <v>1059</v>
      </c>
      <c r="I49" s="1068"/>
      <c r="J49" s="1069" t="s">
        <v>1060</v>
      </c>
      <c r="K49" s="1068"/>
      <c r="L49" s="1058" t="s">
        <v>701</v>
      </c>
      <c r="M49" s="1071"/>
      <c r="N49" s="1072" t="s">
        <v>702</v>
      </c>
      <c r="O49" s="1060"/>
    </row>
    <row r="50" spans="2:15" ht="13.5" hidden="1" customHeight="1">
      <c r="B50" s="1002">
        <v>0</v>
      </c>
      <c r="C50" s="1002">
        <v>0</v>
      </c>
      <c r="E50" s="155"/>
      <c r="F50" s="1066" t="s">
        <v>2675</v>
      </c>
      <c r="G50" s="1066" t="s">
        <v>2672</v>
      </c>
      <c r="H50" s="1067" t="s">
        <v>1061</v>
      </c>
      <c r="I50" s="1068"/>
      <c r="J50" s="2806" t="s">
        <v>1062</v>
      </c>
      <c r="K50" s="2810"/>
      <c r="L50" s="2811" t="s">
        <v>2473</v>
      </c>
      <c r="M50" s="2810"/>
      <c r="N50" s="2806" t="s">
        <v>2484</v>
      </c>
      <c r="O50" s="2807"/>
    </row>
    <row r="51" spans="2:15" ht="13.5" hidden="1" customHeight="1">
      <c r="E51" s="155"/>
      <c r="F51" s="1066" t="s">
        <v>2675</v>
      </c>
      <c r="G51" s="1066" t="s">
        <v>2672</v>
      </c>
      <c r="H51" s="1067" t="s">
        <v>1059</v>
      </c>
      <c r="I51" s="1068"/>
      <c r="J51" s="2806" t="s">
        <v>2485</v>
      </c>
      <c r="K51" s="2812"/>
      <c r="L51" s="2811" t="s">
        <v>2486</v>
      </c>
      <c r="M51" s="2807"/>
      <c r="N51" s="2806" t="s">
        <v>2487</v>
      </c>
      <c r="O51" s="2807"/>
    </row>
    <row r="52" spans="2:15" ht="13.5" hidden="1" customHeight="1">
      <c r="E52" s="155"/>
      <c r="F52" s="1066" t="s">
        <v>2672</v>
      </c>
      <c r="G52" s="1066" t="s">
        <v>2675</v>
      </c>
      <c r="H52" s="1067" t="s">
        <v>703</v>
      </c>
      <c r="I52" s="1068"/>
      <c r="J52" s="1069" t="s">
        <v>2488</v>
      </c>
      <c r="K52" s="1068"/>
      <c r="L52" s="2811" t="s">
        <v>2489</v>
      </c>
      <c r="M52" s="2807"/>
      <c r="N52" s="2806" t="s">
        <v>2490</v>
      </c>
      <c r="O52" s="2807"/>
    </row>
    <row r="53" spans="2:15" ht="14.25" hidden="1" customHeight="1" thickBot="1">
      <c r="E53" s="155"/>
      <c r="F53" s="1073" t="s">
        <v>2675</v>
      </c>
      <c r="G53" s="1073" t="s">
        <v>2675</v>
      </c>
      <c r="H53" s="1067" t="s">
        <v>1162</v>
      </c>
      <c r="I53" s="1068"/>
      <c r="J53" s="1069" t="s">
        <v>2491</v>
      </c>
      <c r="K53" s="1068"/>
      <c r="L53" s="2811" t="s">
        <v>2149</v>
      </c>
      <c r="M53" s="2807"/>
      <c r="N53" s="2806" t="s">
        <v>2150</v>
      </c>
      <c r="O53" s="2807"/>
    </row>
    <row r="54" spans="2:15" ht="13.5" hidden="1" customHeight="1">
      <c r="E54" s="155"/>
      <c r="F54" s="1074">
        <f>IF(F41=S4,COUNTIF(F50:F53,S4),COUNTIF(F46:F53,S4))</f>
        <v>5</v>
      </c>
      <c r="G54" s="1075">
        <f>IF(F41=S4,COUNTIF(G50:G53,S4),COUNTIF(G46:G53,S4))</f>
        <v>4</v>
      </c>
      <c r="H54" s="1004" t="s">
        <v>2151</v>
      </c>
      <c r="I54" s="1076"/>
      <c r="J54" s="1076"/>
      <c r="K54" s="1076"/>
      <c r="L54" s="1048"/>
      <c r="M54" s="1048"/>
      <c r="N54" s="1048"/>
      <c r="O54" s="1048"/>
    </row>
    <row r="55" spans="2:15" hidden="1">
      <c r="E55" s="155"/>
      <c r="F55" s="950"/>
      <c r="G55" s="1077" t="s">
        <v>2152</v>
      </c>
      <c r="H55" s="1004"/>
      <c r="I55" s="1076"/>
      <c r="J55" s="1076"/>
      <c r="K55" s="1048"/>
      <c r="L55" s="1048"/>
      <c r="M55" s="1048"/>
      <c r="N55" s="1048"/>
      <c r="O55" s="1048"/>
    </row>
    <row r="56" spans="2:15" ht="16.5" hidden="1" thickBot="1">
      <c r="E56" s="953"/>
      <c r="F56" s="950"/>
      <c r="G56" s="972">
        <v>0</v>
      </c>
      <c r="H56" s="1055" t="s">
        <v>2670</v>
      </c>
      <c r="I56" s="1056" t="s">
        <v>2896</v>
      </c>
      <c r="J56" s="1048"/>
      <c r="K56" s="1048"/>
      <c r="L56" s="1004"/>
      <c r="M56" s="1004"/>
      <c r="N56" s="1004"/>
      <c r="O56" s="1004"/>
    </row>
    <row r="57" spans="2:15" ht="15.75" hidden="1">
      <c r="B57" s="1">
        <v>1</v>
      </c>
      <c r="C57" s="1">
        <v>1</v>
      </c>
      <c r="E57" s="953"/>
      <c r="F57" s="1078"/>
      <c r="G57" s="2808">
        <f>IF(I56=T4,G56,IF($G$64&lt;2,1,IF($G$64&lt;2,2,IF($G$64&lt;4,3,IF($G$64&lt;5,4,5)))))</f>
        <v>0</v>
      </c>
      <c r="H57" s="1079" t="s">
        <v>2153</v>
      </c>
      <c r="I57" s="1079"/>
      <c r="J57" s="1079" t="s">
        <v>2595</v>
      </c>
      <c r="K57" s="1064">
        <f>メイン!L64</f>
        <v>2000</v>
      </c>
      <c r="L57" s="1048"/>
      <c r="M57" s="1048"/>
      <c r="N57" s="1048"/>
      <c r="O57" s="1048"/>
    </row>
    <row r="58" spans="2:15" ht="15.75" hidden="1">
      <c r="B58" s="1">
        <v>2</v>
      </c>
      <c r="C58" s="1">
        <v>2</v>
      </c>
      <c r="E58" s="953"/>
      <c r="F58" s="1078"/>
      <c r="G58" s="2808"/>
      <c r="H58" s="1058" t="s">
        <v>698</v>
      </c>
      <c r="I58" s="977"/>
      <c r="J58" s="1072" t="s">
        <v>699</v>
      </c>
      <c r="K58" s="1060"/>
      <c r="L58" s="1048"/>
      <c r="M58" s="1048"/>
      <c r="N58" s="1048"/>
      <c r="O58" s="1048"/>
    </row>
    <row r="59" spans="2:15" ht="15.75" hidden="1" customHeight="1">
      <c r="B59" s="1">
        <v>3</v>
      </c>
      <c r="C59" s="1">
        <v>3</v>
      </c>
      <c r="E59" s="953"/>
      <c r="F59" s="950"/>
      <c r="G59" s="1065" t="s">
        <v>2675</v>
      </c>
      <c r="H59" s="2809" t="s">
        <v>2154</v>
      </c>
      <c r="I59" s="2807"/>
      <c r="J59" s="2806" t="s">
        <v>2820</v>
      </c>
      <c r="K59" s="2807"/>
      <c r="L59" s="1004"/>
      <c r="M59" s="1004"/>
      <c r="N59" s="1004"/>
      <c r="O59" s="1004"/>
    </row>
    <row r="60" spans="2:15" ht="15.75" hidden="1" customHeight="1">
      <c r="B60" s="1">
        <v>4</v>
      </c>
      <c r="C60" s="1">
        <v>4</v>
      </c>
      <c r="E60" s="953"/>
      <c r="F60" s="950"/>
      <c r="G60" s="1066" t="s">
        <v>2675</v>
      </c>
      <c r="H60" s="1067" t="s">
        <v>2821</v>
      </c>
      <c r="I60" s="1068"/>
      <c r="J60" s="2806" t="s">
        <v>2822</v>
      </c>
      <c r="K60" s="2807"/>
      <c r="L60" s="1004"/>
      <c r="M60" s="1004"/>
      <c r="N60" s="1004"/>
      <c r="O60" s="1004"/>
    </row>
    <row r="61" spans="2:15" ht="15.75" hidden="1" customHeight="1">
      <c r="B61" s="1">
        <v>5</v>
      </c>
      <c r="C61" s="1">
        <v>5</v>
      </c>
      <c r="E61" s="953"/>
      <c r="F61" s="950"/>
      <c r="G61" s="1066"/>
      <c r="H61" s="1067" t="s">
        <v>2823</v>
      </c>
      <c r="I61" s="1068"/>
      <c r="J61" s="2806" t="s">
        <v>2824</v>
      </c>
      <c r="K61" s="2807"/>
      <c r="L61" s="1004"/>
      <c r="M61" s="1004"/>
      <c r="N61" s="1004"/>
      <c r="O61" s="1004"/>
    </row>
    <row r="62" spans="2:15" ht="15.75" hidden="1" customHeight="1">
      <c r="B62" s="1002">
        <v>0</v>
      </c>
      <c r="C62" s="1002">
        <v>0</v>
      </c>
      <c r="E62" s="953"/>
      <c r="F62" s="950"/>
      <c r="G62" s="1066" t="s">
        <v>2672</v>
      </c>
      <c r="H62" s="1067" t="s">
        <v>2825</v>
      </c>
      <c r="I62" s="1068"/>
      <c r="J62" s="2806" t="s">
        <v>2826</v>
      </c>
      <c r="K62" s="2807"/>
      <c r="L62" s="1004"/>
      <c r="M62" s="1004"/>
      <c r="N62" s="1004"/>
      <c r="O62" s="1004"/>
    </row>
    <row r="63" spans="2:15" ht="16.5" hidden="1" customHeight="1" thickBot="1">
      <c r="E63" s="953"/>
      <c r="F63" s="950"/>
      <c r="G63" s="1073" t="s">
        <v>2675</v>
      </c>
      <c r="H63" s="1067" t="s">
        <v>2827</v>
      </c>
      <c r="I63" s="1068"/>
      <c r="J63" s="2806" t="s">
        <v>2824</v>
      </c>
      <c r="K63" s="2807"/>
      <c r="L63" s="1004"/>
      <c r="M63" s="1004"/>
      <c r="N63" s="1004"/>
      <c r="O63" s="1004"/>
    </row>
    <row r="64" spans="2:15" ht="15.75" hidden="1" customHeight="1">
      <c r="E64" s="953"/>
      <c r="F64" s="950"/>
      <c r="G64" s="1075">
        <f>COUNTIF(G59:G63,S4)</f>
        <v>3</v>
      </c>
      <c r="H64" s="1004" t="s">
        <v>2151</v>
      </c>
      <c r="I64" s="1080"/>
      <c r="J64" s="1004"/>
      <c r="K64" s="1004"/>
      <c r="L64" s="1004"/>
      <c r="M64" s="1004"/>
      <c r="N64" s="1004"/>
      <c r="O64" s="1004"/>
    </row>
    <row r="65" spans="2:15" ht="9" customHeight="1">
      <c r="E65" s="953"/>
      <c r="F65" s="1081"/>
      <c r="G65" s="1004"/>
      <c r="H65" s="1004"/>
      <c r="I65" s="1004"/>
      <c r="J65" s="1004"/>
      <c r="K65" s="1004"/>
      <c r="L65" s="1004"/>
      <c r="M65" s="1004"/>
      <c r="N65" s="1004"/>
      <c r="O65" s="1004"/>
    </row>
    <row r="66" spans="2:15" ht="15.75">
      <c r="D66" s="949">
        <v>1.2</v>
      </c>
      <c r="E66" s="960" t="s">
        <v>2828</v>
      </c>
      <c r="F66" s="958"/>
      <c r="G66" s="1038"/>
      <c r="H66" s="1082"/>
      <c r="I66" s="1082"/>
      <c r="J66" s="1082"/>
      <c r="K66" s="1038"/>
      <c r="L66" s="1082"/>
      <c r="M66" s="1082"/>
      <c r="N66" s="1082"/>
      <c r="O66" s="1082"/>
    </row>
    <row r="67" spans="2:15" ht="15.75">
      <c r="D67" s="949"/>
      <c r="E67" s="950"/>
      <c r="F67" s="961" t="s">
        <v>2829</v>
      </c>
      <c r="G67" s="1038"/>
      <c r="H67" s="1083"/>
      <c r="I67" s="1004"/>
      <c r="J67" s="1041" t="str">
        <f>IF(OR(F69=0,AND(J68=0,O68=0)),$R$3,"")</f>
        <v>&lt;評価しない&gt;</v>
      </c>
      <c r="K67" s="1037"/>
      <c r="L67" s="1038"/>
      <c r="M67" s="1083"/>
      <c r="N67" s="1004"/>
      <c r="O67" s="1041"/>
    </row>
    <row r="68" spans="2:15" ht="16.5" hidden="1" customHeight="1" thickBot="1">
      <c r="D68" s="953"/>
      <c r="E68" s="537"/>
      <c r="F68" s="965" t="s">
        <v>1163</v>
      </c>
      <c r="G68" s="966"/>
      <c r="H68" s="967"/>
      <c r="I68" s="968" t="s">
        <v>1358</v>
      </c>
      <c r="J68" s="971">
        <f>重み!M15</f>
        <v>0</v>
      </c>
      <c r="K68" s="965" t="s">
        <v>1961</v>
      </c>
      <c r="L68" s="966"/>
      <c r="M68" s="967"/>
      <c r="N68" s="968" t="s">
        <v>1358</v>
      </c>
      <c r="O68" s="971">
        <f>重み!N15</f>
        <v>0</v>
      </c>
    </row>
    <row r="69" spans="2:15" ht="16.5" hidden="1" customHeight="1" thickBot="1">
      <c r="D69" s="953"/>
      <c r="E69" s="537"/>
      <c r="F69" s="972">
        <v>0</v>
      </c>
      <c r="G69" s="1084" t="s">
        <v>2831</v>
      </c>
      <c r="H69" s="977"/>
      <c r="I69" s="977"/>
      <c r="J69" s="978"/>
      <c r="K69" s="972">
        <v>0</v>
      </c>
      <c r="L69" s="1084" t="s">
        <v>1164</v>
      </c>
      <c r="M69" s="977"/>
      <c r="N69" s="977"/>
      <c r="O69" s="978"/>
    </row>
    <row r="70" spans="2:15" ht="15.75" hidden="1" customHeight="1">
      <c r="B70" s="1">
        <v>1</v>
      </c>
      <c r="C70" s="1">
        <v>1</v>
      </c>
      <c r="D70" s="953"/>
      <c r="E70" s="537"/>
      <c r="F70" s="1085"/>
      <c r="G70" s="1084" t="s">
        <v>1261</v>
      </c>
      <c r="H70" s="977"/>
      <c r="I70" s="977"/>
      <c r="J70" s="978"/>
      <c r="K70" s="1085"/>
      <c r="L70" s="1084" t="s">
        <v>1261</v>
      </c>
      <c r="M70" s="977"/>
      <c r="N70" s="977"/>
      <c r="O70" s="978"/>
    </row>
    <row r="71" spans="2:15" ht="15.75" hidden="1" customHeight="1">
      <c r="B71" s="1" t="s">
        <v>2897</v>
      </c>
      <c r="C71" s="1" t="s">
        <v>2897</v>
      </c>
      <c r="D71" s="953"/>
      <c r="E71" s="537"/>
      <c r="F71" s="984" t="str">
        <f>IF(F69=$S$15,$T$10,IF(AND($O$3=$U$3,ROUNDDOWN(F69,0)=$S$10),$U$10,$T$10))</f>
        <v>　レベル　1</v>
      </c>
      <c r="G71" s="981" t="s">
        <v>1165</v>
      </c>
      <c r="H71" s="982"/>
      <c r="I71" s="982"/>
      <c r="J71" s="983"/>
      <c r="K71" s="984" t="str">
        <f>IF(K69=$S$15,$T$10,IF(AND($O$3=$U$3,ROUNDDOWN(K69,0)=$S$10),$U$10,$T$10))</f>
        <v>　レベル　1</v>
      </c>
      <c r="L71" s="981" t="s">
        <v>2832</v>
      </c>
      <c r="M71" s="982"/>
      <c r="N71" s="982"/>
      <c r="O71" s="983"/>
    </row>
    <row r="72" spans="2:15" ht="15.75" hidden="1" customHeight="1">
      <c r="B72" s="1">
        <v>3</v>
      </c>
      <c r="C72" s="1">
        <v>3</v>
      </c>
      <c r="D72" s="953"/>
      <c r="E72" s="537"/>
      <c r="F72" s="984" t="str">
        <f>IF(F69=$S$15,$T$11,IF(AND($O$3=$U$3,ROUNDDOWN(F69,0)=$S$11),$U$11,$T$11))</f>
        <v>　レベル　2</v>
      </c>
      <c r="G72" s="988"/>
      <c r="H72" s="989"/>
      <c r="I72" s="989"/>
      <c r="J72" s="990"/>
      <c r="K72" s="984" t="str">
        <f>IF(K69=$S$15,$T$11,IF(AND($O$3=$U$3,ROUNDDOWN(K69,0)=$S$11),$U$11,$T$11))</f>
        <v>　レベル　2</v>
      </c>
      <c r="L72" s="988"/>
      <c r="M72" s="989"/>
      <c r="N72" s="989"/>
      <c r="O72" s="990"/>
    </row>
    <row r="73" spans="2:15" ht="15.75" hidden="1" customHeight="1">
      <c r="B73" s="1" t="s">
        <v>2897</v>
      </c>
      <c r="C73" s="1" t="s">
        <v>2897</v>
      </c>
      <c r="D73" s="953"/>
      <c r="E73" s="537"/>
      <c r="F73" s="984" t="str">
        <f>IF(F69=$S$15,$T$12,IF(AND($O$3=$U$3,ROUNDDOWN(F69,0)=$S$12),$U$12,$T$12))</f>
        <v>　レベル　3</v>
      </c>
      <c r="G73" s="988" t="s">
        <v>1166</v>
      </c>
      <c r="H73" s="989"/>
      <c r="I73" s="989"/>
      <c r="J73" s="990"/>
      <c r="K73" s="984" t="str">
        <f>IF(K69=$S$15,$T$12,IF(AND($O$3=$U$3,ROUNDDOWN(K69,0)=$S$12),$U$12,$T$12))</f>
        <v>　レベル　3</v>
      </c>
      <c r="L73" s="988" t="s">
        <v>2833</v>
      </c>
      <c r="M73" s="989"/>
      <c r="N73" s="989"/>
      <c r="O73" s="990"/>
    </row>
    <row r="74" spans="2:15" ht="15.75" hidden="1" customHeight="1">
      <c r="B74" s="1">
        <v>5</v>
      </c>
      <c r="C74" s="1">
        <v>5</v>
      </c>
      <c r="D74" s="953"/>
      <c r="E74" s="537"/>
      <c r="F74" s="984" t="str">
        <f>IF(F69=$S$15,$T$13,IF(AND($O$3=$U$3,ROUNDDOWN(F69,0)=$S$13),$U$13,$T$13))</f>
        <v>　レベル　4</v>
      </c>
      <c r="G74" s="988"/>
      <c r="H74" s="989"/>
      <c r="I74" s="989"/>
      <c r="J74" s="990"/>
      <c r="K74" s="984" t="str">
        <f>IF(K69=$S$15,$T$13,IF(AND($O$3=$U$3,ROUNDDOWN(K69,0)=$S$13),$U$13,$T$13))</f>
        <v>　レベル　4</v>
      </c>
      <c r="L74" s="988"/>
      <c r="M74" s="989"/>
      <c r="N74" s="989"/>
      <c r="O74" s="990"/>
    </row>
    <row r="75" spans="2:15" ht="15.75" hidden="1" customHeight="1">
      <c r="B75" s="1002">
        <v>0</v>
      </c>
      <c r="C75" s="1002">
        <v>0</v>
      </c>
      <c r="D75" s="953"/>
      <c r="E75" s="537"/>
      <c r="F75" s="995" t="str">
        <f>IF(F69=$S$15,$T$14,IF(AND($O$3=$U$3,ROUNDDOWN(F69,0)=$S$14),$U$14,$T$14))</f>
        <v>　レベル　5</v>
      </c>
      <c r="G75" s="999" t="s">
        <v>2834</v>
      </c>
      <c r="H75" s="1000"/>
      <c r="I75" s="1000"/>
      <c r="J75" s="1001"/>
      <c r="K75" s="995" t="str">
        <f>IF(K69=$S$15,$T$14,IF(AND($O$3=$U$3,ROUNDDOWN(K69,0)=$S$14),$U$14,$T$14))</f>
        <v>　レベル　5</v>
      </c>
      <c r="L75" s="999" t="s">
        <v>2835</v>
      </c>
      <c r="M75" s="1000"/>
      <c r="N75" s="1000"/>
      <c r="O75" s="1001"/>
    </row>
    <row r="76" spans="2:15" ht="15.75" hidden="1" customHeight="1">
      <c r="D76" s="953"/>
      <c r="E76" s="155"/>
      <c r="F76" s="1084"/>
      <c r="G76" s="1084" t="s">
        <v>1260</v>
      </c>
      <c r="H76" s="977"/>
      <c r="I76" s="977"/>
      <c r="J76" s="978"/>
      <c r="K76" s="1086"/>
      <c r="L76" s="1084" t="s">
        <v>1260</v>
      </c>
      <c r="M76" s="977"/>
      <c r="N76" s="977"/>
      <c r="O76" s="978"/>
    </row>
    <row r="77" spans="2:15" ht="15.75" hidden="1" customHeight="1">
      <c r="D77" s="953"/>
      <c r="E77" s="155"/>
      <c r="F77" s="1087" t="str">
        <f>IF(F69=$S$15,$T$10,IF(AND($O$3&lt;&gt;$U$3,ROUNDDOWN(F69,0)=$S$10),$U$10,$T$10))</f>
        <v>　レベル　1</v>
      </c>
      <c r="G77" s="981" t="s">
        <v>1167</v>
      </c>
      <c r="H77" s="982"/>
      <c r="I77" s="982"/>
      <c r="J77" s="983"/>
      <c r="K77" s="1087" t="str">
        <f>IF(K69=$S$15,$T$10,IF(AND($O$3&lt;&gt;$U$3,ROUNDDOWN(K69,0)=$S$10),$U$10,$T$10))</f>
        <v>　レベル　1</v>
      </c>
      <c r="L77" s="981" t="s">
        <v>1167</v>
      </c>
      <c r="M77" s="982"/>
      <c r="N77" s="982"/>
      <c r="O77" s="983"/>
    </row>
    <row r="78" spans="2:15" ht="15.75" hidden="1" customHeight="1">
      <c r="D78" s="953"/>
      <c r="E78" s="155"/>
      <c r="F78" s="984" t="str">
        <f>IF(F69=$S$15,$T$11,IF(AND($O$3&lt;&gt;$U$3,ROUNDDOWN(F69,0)=$S$11),$U$11,$T$11))</f>
        <v>　レベル　2</v>
      </c>
      <c r="G78" s="988" t="s">
        <v>2168</v>
      </c>
      <c r="H78" s="989"/>
      <c r="I78" s="989"/>
      <c r="J78" s="990"/>
      <c r="K78" s="984" t="str">
        <f>IF(K69=$S$15,$T$11,IF(AND($O$3&lt;&gt;$U$3,ROUNDDOWN(K69,0)=$S$11),$U$11,$T$11))</f>
        <v>　レベル　2</v>
      </c>
      <c r="L78" s="988" t="s">
        <v>2168</v>
      </c>
      <c r="M78" s="989"/>
      <c r="N78" s="989"/>
      <c r="O78" s="990"/>
    </row>
    <row r="79" spans="2:15" ht="15.75" hidden="1" customHeight="1">
      <c r="D79" s="953"/>
      <c r="E79" s="155"/>
      <c r="F79" s="984" t="str">
        <f>IF(F69=$S$15,$T$12,IF(AND($O$3&lt;&gt;$U$3,ROUNDDOWN(F69,0)=$S$12),$U$12,$T$12))</f>
        <v>　レベル　3</v>
      </c>
      <c r="G79" s="988" t="s">
        <v>1168</v>
      </c>
      <c r="H79" s="989"/>
      <c r="I79" s="989"/>
      <c r="J79" s="990"/>
      <c r="K79" s="984" t="str">
        <f>IF(K69=$S$15,$T$12,IF(AND($O$3&lt;&gt;$U$3,ROUNDDOWN(K69,0)=$S$12),$U$12,$T$12))</f>
        <v>　レベル　3</v>
      </c>
      <c r="L79" s="988" t="s">
        <v>1168</v>
      </c>
      <c r="M79" s="989"/>
      <c r="N79" s="989"/>
      <c r="O79" s="990"/>
    </row>
    <row r="80" spans="2:15" ht="15.75" hidden="1" customHeight="1">
      <c r="D80" s="953"/>
      <c r="E80" s="155"/>
      <c r="F80" s="984" t="str">
        <f>IF(F69=$S$15,$T$13,IF(AND($O$3&lt;&gt;$U$3,ROUNDDOWN(F69,0)=$S$13),$U$13,$T$13))</f>
        <v>　レベル　4</v>
      </c>
      <c r="G80" s="988" t="s">
        <v>2168</v>
      </c>
      <c r="H80" s="989"/>
      <c r="I80" s="989"/>
      <c r="J80" s="990"/>
      <c r="K80" s="984" t="str">
        <f>IF(K69=$S$15,$T$13,IF(AND($O$3&lt;&gt;$U$3,ROUNDDOWN(K69,0)=$S$13),$U$13,$T$13))</f>
        <v>　レベル　4</v>
      </c>
      <c r="L80" s="988" t="s">
        <v>2168</v>
      </c>
      <c r="M80" s="989"/>
      <c r="N80" s="989"/>
      <c r="O80" s="990"/>
    </row>
    <row r="81" spans="2:15" ht="15.75" hidden="1" customHeight="1">
      <c r="D81" s="953"/>
      <c r="E81" s="155"/>
      <c r="F81" s="995" t="str">
        <f>IF(F69=$S$15,$T$14,IF(AND($O$3&lt;&gt;$U$3,ROUNDDOWN(F69,0)=$S$14),$U$14,$T$14))</f>
        <v>　レベル　5</v>
      </c>
      <c r="G81" s="999" t="s">
        <v>1169</v>
      </c>
      <c r="H81" s="1000"/>
      <c r="I81" s="1000"/>
      <c r="J81" s="1001"/>
      <c r="K81" s="995" t="str">
        <f>IF(K69=$S$15,$T$14,IF(AND($O$3&lt;&gt;$U$3,ROUNDDOWN(K69,0)=$S$14),$U$14,$T$14))</f>
        <v>　レベル　5</v>
      </c>
      <c r="L81" s="999" t="s">
        <v>1169</v>
      </c>
      <c r="M81" s="1000"/>
      <c r="N81" s="1000"/>
      <c r="O81" s="1001"/>
    </row>
    <row r="82" spans="2:15" ht="15.75">
      <c r="D82" s="953"/>
      <c r="E82" s="155"/>
      <c r="F82" s="155"/>
      <c r="G82" s="1088"/>
      <c r="H82" s="1088"/>
      <c r="I82" s="1088"/>
      <c r="J82" s="1088"/>
      <c r="K82" s="1088"/>
      <c r="L82" s="1088"/>
      <c r="M82" s="1088"/>
      <c r="N82" s="1088"/>
      <c r="O82" s="1088"/>
    </row>
    <row r="83" spans="2:15" ht="15.75">
      <c r="D83" s="949"/>
      <c r="E83" s="950"/>
      <c r="F83" s="961" t="s">
        <v>1170</v>
      </c>
      <c r="G83" s="1038"/>
      <c r="H83" s="1083"/>
      <c r="I83" s="1004"/>
      <c r="J83" s="1041" t="str">
        <f>IF(OR(F85=0,AND(J84=0,O84=0)),$R$3,"")</f>
        <v/>
      </c>
      <c r="K83" s="1037"/>
      <c r="L83" s="1038"/>
      <c r="M83" s="1083"/>
      <c r="N83" s="1004"/>
      <c r="O83" s="1004"/>
    </row>
    <row r="84" spans="2:15" ht="16.5" thickBot="1">
      <c r="D84" s="953"/>
      <c r="E84" s="537"/>
      <c r="F84" s="965" t="s">
        <v>1834</v>
      </c>
      <c r="G84" s="966"/>
      <c r="H84" s="967"/>
      <c r="I84" s="968" t="s">
        <v>1358</v>
      </c>
      <c r="J84" s="971">
        <f>重み!M16</f>
        <v>0.45517241379310347</v>
      </c>
      <c r="K84" s="965" t="s">
        <v>1961</v>
      </c>
      <c r="L84" s="966"/>
      <c r="M84" s="967"/>
      <c r="N84" s="968" t="s">
        <v>1358</v>
      </c>
      <c r="O84" s="971">
        <f>重み!N16</f>
        <v>6.8965517241379323E-2</v>
      </c>
    </row>
    <row r="85" spans="2:15" ht="16.5" thickBot="1">
      <c r="D85" s="953"/>
      <c r="E85" s="537"/>
      <c r="F85" s="972">
        <v>3</v>
      </c>
      <c r="G85" s="977" t="s">
        <v>1066</v>
      </c>
      <c r="H85" s="977"/>
      <c r="I85" s="1084" t="s">
        <v>1067</v>
      </c>
      <c r="J85" s="978"/>
      <c r="K85" s="972">
        <v>3</v>
      </c>
      <c r="L85" s="1084" t="s">
        <v>2659</v>
      </c>
      <c r="M85" s="978"/>
      <c r="N85" s="1084" t="s">
        <v>3076</v>
      </c>
      <c r="O85" s="1089"/>
    </row>
    <row r="86" spans="2:15" ht="15.75" hidden="1" customHeight="1">
      <c r="B86" s="1">
        <v>1</v>
      </c>
      <c r="C86" s="1">
        <v>1</v>
      </c>
      <c r="D86" s="953"/>
      <c r="E86" s="537"/>
      <c r="F86" s="1085"/>
      <c r="G86" s="977" t="s">
        <v>1261</v>
      </c>
      <c r="H86" s="1090"/>
      <c r="I86" s="1090"/>
      <c r="J86" s="1091"/>
      <c r="K86" s="1085"/>
      <c r="L86" s="1090" t="s">
        <v>1261</v>
      </c>
      <c r="M86" s="1091"/>
      <c r="N86" s="1090"/>
      <c r="O86" s="1091"/>
    </row>
    <row r="87" spans="2:15" ht="15.75" hidden="1" customHeight="1">
      <c r="B87" s="1">
        <v>2</v>
      </c>
      <c r="C87" s="1">
        <v>2</v>
      </c>
      <c r="D87" s="953"/>
      <c r="E87" s="537"/>
      <c r="F87" s="984" t="str">
        <f>IF(F85=$S$15,$T$10,IF(AND($O$3=$U$3,ROUNDDOWN(F85,0)=$S$10),$U$10,$T$10))</f>
        <v>　レベル　1</v>
      </c>
      <c r="G87" s="1092" t="s">
        <v>1172</v>
      </c>
      <c r="H87" s="1093"/>
      <c r="I87" s="1092" t="s">
        <v>2660</v>
      </c>
      <c r="J87" s="1093"/>
      <c r="K87" s="984" t="str">
        <f>IF(K85=$S$15,$T$10,IF(AND($O$3=$U$3,ROUNDDOWN(K85,0)=$S$10),$U$10,$T$10))</f>
        <v>　レベル　1</v>
      </c>
      <c r="L87" s="1092" t="s">
        <v>3053</v>
      </c>
      <c r="M87" s="1093"/>
      <c r="N87" s="1092" t="s">
        <v>3056</v>
      </c>
      <c r="O87" s="1093"/>
    </row>
    <row r="88" spans="2:15" ht="15.75" hidden="1" customHeight="1">
      <c r="B88" s="1">
        <v>3</v>
      </c>
      <c r="C88" s="1">
        <v>3</v>
      </c>
      <c r="D88" s="953"/>
      <c r="E88" s="537"/>
      <c r="F88" s="984" t="str">
        <f>IF(F85=$S$15,$T$11,IF(AND($O$3=$U$3,ROUNDDOWN(F85,0)=$S$11),$U$11,$T$11))</f>
        <v>　レベル　2</v>
      </c>
      <c r="G88" s="988"/>
      <c r="H88" s="989"/>
      <c r="I88" s="988"/>
      <c r="J88" s="989"/>
      <c r="K88" s="984" t="str">
        <f>IF(K85=$S$15,$T$11,IF(AND($O$3=$U$3,ROUNDDOWN(K85,0)=$S$11),$U$11,$T$11))</f>
        <v>　レベル　2</v>
      </c>
      <c r="L88" s="988"/>
      <c r="M88" s="989"/>
      <c r="N88" s="988"/>
      <c r="O88" s="989"/>
    </row>
    <row r="89" spans="2:15" ht="15.75" hidden="1" customHeight="1">
      <c r="B89" s="1">
        <v>4</v>
      </c>
      <c r="C89" s="1">
        <v>4</v>
      </c>
      <c r="D89" s="953"/>
      <c r="E89" s="537"/>
      <c r="F89" s="984" t="str">
        <f>IF(F85=$S$15,$T$12,IF(AND($O$3=$U$3,ROUNDDOWN(F85,0)=$S$12),$U$12,$T$12))</f>
        <v>　レベル　3</v>
      </c>
      <c r="G89" s="988" t="s">
        <v>309</v>
      </c>
      <c r="H89" s="989"/>
      <c r="I89" s="988" t="s">
        <v>310</v>
      </c>
      <c r="J89" s="989"/>
      <c r="K89" s="984" t="str">
        <f>IF(K85=$S$15,$T$12,IF(AND($O$3=$U$3,ROUNDDOWN(K85,0)=$S$12),$U$12,$T$12))</f>
        <v>　レベル　3</v>
      </c>
      <c r="L89" s="988" t="s">
        <v>3054</v>
      </c>
      <c r="M89" s="989"/>
      <c r="N89" s="988" t="s">
        <v>3057</v>
      </c>
      <c r="O89" s="989"/>
    </row>
    <row r="90" spans="2:15" ht="15.75" hidden="1" customHeight="1">
      <c r="B90" s="1">
        <v>5</v>
      </c>
      <c r="C90" s="1">
        <v>5</v>
      </c>
      <c r="D90" s="953"/>
      <c r="E90" s="537"/>
      <c r="F90" s="984" t="str">
        <f>IF(F85=$S$15,$T$13,IF(AND($O$3=$U$3,ROUNDDOWN(F85,0)=$S$13),$U$13,$T$13))</f>
        <v>　レベル　4</v>
      </c>
      <c r="G90" s="988" t="s">
        <v>2661</v>
      </c>
      <c r="H90" s="989"/>
      <c r="I90" s="988" t="s">
        <v>2661</v>
      </c>
      <c r="J90" s="989"/>
      <c r="K90" s="984" t="str">
        <f>IF(K85=$S$15,$T$13,IF(AND($O$3=$U$3,ROUNDDOWN(K85,0)=$S$13),$U$13,$T$13))</f>
        <v>　レベル　4</v>
      </c>
      <c r="L90" s="988"/>
      <c r="M90" s="989"/>
      <c r="N90" s="988"/>
      <c r="O90" s="989"/>
    </row>
    <row r="91" spans="2:15" ht="15.75" hidden="1" customHeight="1">
      <c r="B91" s="1002">
        <v>0</v>
      </c>
      <c r="C91" s="1002">
        <v>0</v>
      </c>
      <c r="D91" s="953"/>
      <c r="E91" s="537"/>
      <c r="F91" s="995" t="str">
        <f>IF(F85=$S$15,$T$14,IF(AND($O$3=$U$3,ROUNDDOWN(F85,0)=$S$14),$U$14,$T$14))</f>
        <v>　レベル　5</v>
      </c>
      <c r="G91" s="999" t="s">
        <v>2662</v>
      </c>
      <c r="H91" s="1000"/>
      <c r="I91" s="999" t="s">
        <v>311</v>
      </c>
      <c r="J91" s="1000"/>
      <c r="K91" s="995" t="str">
        <f>IF(K85=$S$15,$T$14,IF(AND($O$3=$U$3,ROUNDDOWN(K85,0)=$S$14),$U$14,$T$14))</f>
        <v>　レベル　5</v>
      </c>
      <c r="L91" s="999" t="s">
        <v>3055</v>
      </c>
      <c r="M91" s="1000"/>
      <c r="N91" s="999" t="s">
        <v>3058</v>
      </c>
      <c r="O91" s="1000"/>
    </row>
    <row r="92" spans="2:15" ht="15.75" hidden="1" customHeight="1">
      <c r="D92" s="953"/>
      <c r="E92" s="537"/>
      <c r="F92" s="1086"/>
      <c r="G92" s="1084" t="s">
        <v>1260</v>
      </c>
      <c r="H92" s="977"/>
      <c r="I92" s="977"/>
      <c r="J92" s="978"/>
      <c r="K92" s="1086"/>
      <c r="L92" s="977" t="s">
        <v>1260</v>
      </c>
      <c r="M92" s="978"/>
      <c r="N92" s="977"/>
      <c r="O92" s="978"/>
    </row>
    <row r="93" spans="2:15" ht="27" customHeight="1">
      <c r="D93" s="953"/>
      <c r="E93" s="537"/>
      <c r="F93" s="1087" t="str">
        <f>IF(F85=$S$15,$T$10,IF(AND($O$3&lt;&gt;$U$3,ROUNDDOWN(F85,0)=$S$10),$U$10,$T$10))</f>
        <v>　レベル　1</v>
      </c>
      <c r="G93" s="1092" t="s">
        <v>3059</v>
      </c>
      <c r="H93" s="1093"/>
      <c r="I93" s="2731" t="s">
        <v>3060</v>
      </c>
      <c r="J93" s="2732"/>
      <c r="K93" s="1087" t="str">
        <f>IF(K85=$S$15,$T$10,IF(AND($O$3&lt;&gt;$U$3,ROUNDDOWN(K85,0)=$S$10),$U$10,$T$10))</f>
        <v>　レベル　1</v>
      </c>
      <c r="L93" s="2748" t="s">
        <v>3069</v>
      </c>
      <c r="M93" s="2749"/>
      <c r="N93" s="2731" t="s">
        <v>3070</v>
      </c>
      <c r="O93" s="2732"/>
    </row>
    <row r="94" spans="2:15" ht="18.75" customHeight="1">
      <c r="D94" s="953"/>
      <c r="E94" s="537"/>
      <c r="F94" s="984" t="str">
        <f>IF(F85=$S$15,$T$11,IF(AND($O$3&lt;&gt;$U$3,ROUNDDOWN(F85,0)=$S$11),$U$11,$T$11))</f>
        <v>　レベル　2</v>
      </c>
      <c r="G94" s="988" t="s">
        <v>3061</v>
      </c>
      <c r="H94" s="989"/>
      <c r="I94" s="988" t="s">
        <v>3062</v>
      </c>
      <c r="J94" s="989"/>
      <c r="K94" s="984" t="str">
        <f>IF(K85=$S$15,$T$11,IF(AND($O$3&lt;&gt;$U$3,ROUNDDOWN(K85,0)=$S$11),$U$11,$T$11))</f>
        <v>　レベル　2</v>
      </c>
      <c r="L94" s="988" t="s">
        <v>3065</v>
      </c>
      <c r="M94" s="989"/>
      <c r="N94" s="988" t="s">
        <v>3065</v>
      </c>
      <c r="O94" s="1094"/>
    </row>
    <row r="95" spans="2:15" ht="28.5" customHeight="1">
      <c r="D95" s="953"/>
      <c r="E95" s="537"/>
      <c r="F95" s="984" t="str">
        <f>IF(F85=$S$15,$T$12,IF(AND($O$3&lt;&gt;$U$3,ROUNDDOWN(F85,0)=$S$12),$U$12,$T$12))</f>
        <v>■レベル　3</v>
      </c>
      <c r="G95" s="988" t="s">
        <v>3063</v>
      </c>
      <c r="H95" s="989"/>
      <c r="I95" s="2727" t="s">
        <v>3064</v>
      </c>
      <c r="J95" s="2745"/>
      <c r="K95" s="984" t="str">
        <f>IF(K85=$S$15,$T$12,IF(AND($O$3&lt;&gt;$U$3,ROUNDDOWN(K85,0)=$S$12),$U$12,$T$12))</f>
        <v>■レベル　3</v>
      </c>
      <c r="L95" s="2750" t="s">
        <v>3071</v>
      </c>
      <c r="M95" s="2751"/>
      <c r="N95" s="2727" t="s">
        <v>3072</v>
      </c>
      <c r="O95" s="2734"/>
    </row>
    <row r="96" spans="2:15" ht="15.75" customHeight="1">
      <c r="D96" s="953"/>
      <c r="E96" s="537"/>
      <c r="F96" s="984" t="str">
        <f>IF(F85=$S$15,$T$13,IF(AND($O$3&lt;&gt;$U$3,ROUNDDOWN(F85,0)=$S$13),$U$13,$T$13))</f>
        <v>　レベル　4</v>
      </c>
      <c r="G96" s="988" t="s">
        <v>3065</v>
      </c>
      <c r="H96" s="989"/>
      <c r="I96" s="2727" t="s">
        <v>3066</v>
      </c>
      <c r="J96" s="2745"/>
      <c r="K96" s="984" t="str">
        <f>IF(K85=$S$15,$T$13,IF(AND($O$3&lt;&gt;$U$3,ROUNDDOWN(K85,0)=$S$13),$U$13,$T$13))</f>
        <v>　レベル　4</v>
      </c>
      <c r="L96" s="988" t="s">
        <v>3073</v>
      </c>
      <c r="M96" s="989"/>
      <c r="N96" s="988" t="s">
        <v>3073</v>
      </c>
      <c r="O96" s="1094"/>
    </row>
    <row r="97" spans="2:15" ht="36" customHeight="1">
      <c r="D97" s="953"/>
      <c r="E97" s="537"/>
      <c r="F97" s="995" t="str">
        <f>IF(F85=$S$15,$T$14,IF(AND($O$3&lt;&gt;$U$3,ROUNDDOWN(F85,0)=$S$14),$U$14,$T$14))</f>
        <v>　レベル　5</v>
      </c>
      <c r="G97" s="2724" t="s">
        <v>3067</v>
      </c>
      <c r="H97" s="2726"/>
      <c r="I97" s="2724" t="s">
        <v>3068</v>
      </c>
      <c r="J97" s="2726"/>
      <c r="K97" s="995" t="str">
        <f>IF(K85=$S$15,$T$14,IF(AND($O$3&lt;&gt;$U$3,ROUNDDOWN(K85,0)=$S$14),$U$14,$T$14))</f>
        <v>　レベル　5</v>
      </c>
      <c r="L97" s="2724" t="s">
        <v>3074</v>
      </c>
      <c r="M97" s="2726"/>
      <c r="N97" s="2724" t="s">
        <v>3075</v>
      </c>
      <c r="O97" s="2743"/>
    </row>
    <row r="98" spans="2:15" ht="15.75">
      <c r="D98" s="953"/>
      <c r="E98" s="537"/>
      <c r="F98" s="537"/>
      <c r="G98" s="1037"/>
      <c r="H98" s="1037"/>
      <c r="I98" s="1037"/>
      <c r="J98" s="1037"/>
      <c r="K98" s="1037"/>
      <c r="L98" s="1037"/>
      <c r="M98" s="1037"/>
      <c r="N98" s="1037"/>
      <c r="O98" s="1037"/>
    </row>
    <row r="99" spans="2:15" ht="15.75">
      <c r="D99" s="949"/>
      <c r="E99" s="950"/>
      <c r="F99" s="961" t="s">
        <v>312</v>
      </c>
      <c r="G99" s="1038"/>
      <c r="H99" s="1083"/>
      <c r="I99" s="1004"/>
      <c r="J99" s="1041" t="str">
        <f>IF(OR(F101=0,AND(J100=0,O100=0)),$R$3,"")</f>
        <v/>
      </c>
      <c r="K99" s="1037"/>
      <c r="L99" s="1038"/>
      <c r="M99" s="1083"/>
      <c r="N99" s="1004"/>
      <c r="O99" s="1004"/>
    </row>
    <row r="100" spans="2:15" ht="16.5" thickBot="1">
      <c r="D100" s="953"/>
      <c r="E100" s="1096"/>
      <c r="F100" s="965" t="s">
        <v>313</v>
      </c>
      <c r="G100" s="966"/>
      <c r="H100" s="967"/>
      <c r="I100" s="968" t="s">
        <v>1358</v>
      </c>
      <c r="J100" s="971">
        <f>重み!M17</f>
        <v>8.2758620689655171E-2</v>
      </c>
      <c r="K100" s="965" t="s">
        <v>1961</v>
      </c>
      <c r="L100" s="966"/>
      <c r="M100" s="967"/>
      <c r="N100" s="968" t="s">
        <v>1358</v>
      </c>
      <c r="O100" s="971">
        <f>重み!N17</f>
        <v>5.1724137931034482E-2</v>
      </c>
    </row>
    <row r="101" spans="2:15" ht="16.5" thickBot="1">
      <c r="D101" s="953"/>
      <c r="E101" s="1096"/>
      <c r="F101" s="972">
        <v>3</v>
      </c>
      <c r="G101" s="1084" t="s">
        <v>1998</v>
      </c>
      <c r="H101" s="977"/>
      <c r="I101" s="977"/>
      <c r="J101" s="978"/>
      <c r="K101" s="972">
        <v>3</v>
      </c>
      <c r="L101" s="1084" t="s">
        <v>314</v>
      </c>
      <c r="M101" s="977"/>
      <c r="N101" s="977"/>
      <c r="O101" s="978"/>
    </row>
    <row r="102" spans="2:15" ht="15.75" hidden="1">
      <c r="B102" s="1">
        <v>1</v>
      </c>
      <c r="C102" s="1">
        <v>1</v>
      </c>
      <c r="D102" s="953"/>
      <c r="E102" s="1096"/>
      <c r="F102" s="1085"/>
      <c r="G102" s="1084" t="s">
        <v>1261</v>
      </c>
      <c r="H102" s="977"/>
      <c r="I102" s="977"/>
      <c r="J102" s="978"/>
      <c r="K102" s="1085"/>
      <c r="L102" s="1084" t="s">
        <v>1261</v>
      </c>
      <c r="M102" s="977"/>
      <c r="N102" s="977"/>
      <c r="O102" s="978"/>
    </row>
    <row r="103" spans="2:15" ht="15.75" hidden="1">
      <c r="B103" s="1">
        <v>2</v>
      </c>
      <c r="C103" s="1">
        <v>2</v>
      </c>
      <c r="D103" s="953"/>
      <c r="E103" s="1097"/>
      <c r="F103" s="984" t="str">
        <f>IF(F101=$S$15,$T$10,IF(AND($O$3=$U$3,ROUNDDOWN(F101,0)=$S$10),$U$10,$T$10))</f>
        <v>　レベル　1</v>
      </c>
      <c r="G103" s="981" t="s">
        <v>315</v>
      </c>
      <c r="H103" s="982"/>
      <c r="I103" s="982"/>
      <c r="J103" s="983"/>
      <c r="K103" s="984" t="str">
        <f>IF(K101=$S$15,$T$10,IF(AND($O$3=$U$3,ROUNDDOWN(K101,0)=$S$10),$U$10,$T$10))</f>
        <v>　レベル　1</v>
      </c>
      <c r="L103" s="981" t="s">
        <v>640</v>
      </c>
      <c r="M103" s="982"/>
      <c r="N103" s="982"/>
      <c r="O103" s="983"/>
    </row>
    <row r="104" spans="2:15" ht="15.75" hidden="1">
      <c r="B104" s="1">
        <v>3</v>
      </c>
      <c r="C104" s="1">
        <v>3</v>
      </c>
      <c r="D104" s="953"/>
      <c r="E104" s="1097"/>
      <c r="F104" s="984" t="str">
        <f>IF(F101=$S$15,$T$11,IF(AND($O$3=$U$3,ROUNDDOWN(F101,0)=$S$11),$U$11,$T$11))</f>
        <v>　レベル　2</v>
      </c>
      <c r="G104" s="988"/>
      <c r="H104" s="989"/>
      <c r="I104" s="989"/>
      <c r="J104" s="990"/>
      <c r="K104" s="984" t="str">
        <f>IF(K101=$S$15,$T$11,IF(AND($O$3=$U$3,ROUNDDOWN(K101,0)=$S$11),$U$11,$T$11))</f>
        <v>　レベル　2</v>
      </c>
      <c r="L104" s="988"/>
      <c r="M104" s="989"/>
      <c r="N104" s="989"/>
      <c r="O104" s="990"/>
    </row>
    <row r="105" spans="2:15" ht="15.75" hidden="1">
      <c r="B105" s="1">
        <v>4</v>
      </c>
      <c r="C105" s="1">
        <v>4</v>
      </c>
      <c r="D105" s="953"/>
      <c r="E105" s="1097"/>
      <c r="F105" s="984" t="str">
        <f>IF(F101=$S$15,$T$12,IF(AND($O$3=$U$3,ROUNDDOWN(F101,0)=$S$12),$U$12,$T$12))</f>
        <v>　レベル　3</v>
      </c>
      <c r="G105" s="988" t="s">
        <v>640</v>
      </c>
      <c r="H105" s="989"/>
      <c r="I105" s="989"/>
      <c r="J105" s="990"/>
      <c r="K105" s="984" t="str">
        <f>IF(K101=$S$15,$T$12,IF(AND($O$3=$U$3,ROUNDDOWN(K101,0)=$S$12),$U$12,$T$12))</f>
        <v>　レベル　3</v>
      </c>
      <c r="L105" s="988" t="s">
        <v>641</v>
      </c>
      <c r="M105" s="989"/>
      <c r="N105" s="989"/>
      <c r="O105" s="990"/>
    </row>
    <row r="106" spans="2:15" ht="15.75" hidden="1">
      <c r="B106" s="1">
        <v>5</v>
      </c>
      <c r="C106" s="1">
        <v>5</v>
      </c>
      <c r="D106" s="953"/>
      <c r="E106" s="1097"/>
      <c r="F106" s="984" t="str">
        <f>IF(F101=$S$15,$T$13,IF(AND($O$3=$U$3,ROUNDDOWN(F101,0)=$S$13),$U$13,$T$13))</f>
        <v>　レベル　4</v>
      </c>
      <c r="G106" s="988"/>
      <c r="H106" s="989"/>
      <c r="I106" s="989"/>
      <c r="J106" s="990"/>
      <c r="K106" s="984" t="str">
        <f>IF(K101=$S$15,$T$13,IF(AND($O$3=$U$3,ROUNDDOWN(K101,0)=$S$13),$U$13,$T$13))</f>
        <v>　レベル　4</v>
      </c>
      <c r="L106" s="988"/>
      <c r="M106" s="989"/>
      <c r="N106" s="989"/>
      <c r="O106" s="990"/>
    </row>
    <row r="107" spans="2:15" ht="15.75" hidden="1">
      <c r="B107" s="1002">
        <v>0</v>
      </c>
      <c r="C107" s="1002">
        <v>0</v>
      </c>
      <c r="D107" s="953"/>
      <c r="E107" s="1097"/>
      <c r="F107" s="995" t="str">
        <f>IF(F101=$S$15,$T$14,IF(AND($O$3=$U$3,ROUNDDOWN(F101,0)=$S$14),$U$14,$T$14))</f>
        <v>　レベル　5</v>
      </c>
      <c r="G107" s="999" t="s">
        <v>642</v>
      </c>
      <c r="H107" s="1000"/>
      <c r="I107" s="1000"/>
      <c r="J107" s="1001"/>
      <c r="K107" s="995" t="str">
        <f>IF(K101=$S$15,$T$14,IF(AND($O$3=$U$3,ROUNDDOWN(K101,0)=$S$14),$U$14,$T$14))</f>
        <v>　レベル　5</v>
      </c>
      <c r="L107" s="999" t="s">
        <v>643</v>
      </c>
      <c r="M107" s="1000"/>
      <c r="N107" s="1000"/>
      <c r="O107" s="1001"/>
    </row>
    <row r="108" spans="2:15" ht="15.75" hidden="1">
      <c r="D108" s="953"/>
      <c r="E108" s="537"/>
      <c r="F108" s="1086"/>
      <c r="G108" s="1084" t="s">
        <v>1260</v>
      </c>
      <c r="H108" s="977"/>
      <c r="I108" s="977"/>
      <c r="J108" s="978"/>
      <c r="K108" s="1086"/>
      <c r="L108" s="1084" t="s">
        <v>1260</v>
      </c>
      <c r="M108" s="977"/>
      <c r="N108" s="977"/>
      <c r="O108" s="978"/>
    </row>
    <row r="109" spans="2:15" ht="15.75">
      <c r="D109" s="953"/>
      <c r="E109" s="537"/>
      <c r="F109" s="1087" t="str">
        <f>IF(F101=$S$15,$T$10,IF(AND($O$3&lt;&gt;$U$3,ROUNDDOWN(F101,0)=$S$10),$U$10,$T$10))</f>
        <v>　レベル　1</v>
      </c>
      <c r="G109" s="2731" t="s">
        <v>3077</v>
      </c>
      <c r="H109" s="2746"/>
      <c r="I109" s="2746"/>
      <c r="J109" s="2747"/>
      <c r="K109" s="1087" t="str">
        <f>IF(K101=$S$15,$T$10,IF(AND($O$3&lt;&gt;$U$3,ROUNDDOWN(K101,0)=$S$10),$U$10,$T$10))</f>
        <v>　レベル　1</v>
      </c>
      <c r="L109" s="2731" t="s">
        <v>3082</v>
      </c>
      <c r="M109" s="2746"/>
      <c r="N109" s="2746"/>
      <c r="O109" s="2747"/>
    </row>
    <row r="110" spans="2:15" ht="15.75">
      <c r="D110" s="953"/>
      <c r="E110" s="537"/>
      <c r="F110" s="984" t="str">
        <f>IF(F101=$S$15,$T$11,IF(AND($O$3&lt;&gt;$U$3,ROUNDDOWN(F101,0)=$S$11),$U$11,$T$11))</f>
        <v>　レベル　2</v>
      </c>
      <c r="G110" s="2727" t="s">
        <v>3078</v>
      </c>
      <c r="H110" s="2744"/>
      <c r="I110" s="2744"/>
      <c r="J110" s="2745"/>
      <c r="K110" s="984" t="str">
        <f>IF(K101=$S$15,$T$11,IF(AND($O$3&lt;&gt;$U$3,ROUNDDOWN(K101,0)=$S$11),$U$11,$T$11))</f>
        <v>　レベル　2</v>
      </c>
      <c r="L110" s="2727" t="s">
        <v>3083</v>
      </c>
      <c r="M110" s="2744"/>
      <c r="N110" s="2744"/>
      <c r="O110" s="2745"/>
    </row>
    <row r="111" spans="2:15" ht="15.75">
      <c r="D111" s="953"/>
      <c r="E111" s="537"/>
      <c r="F111" s="984" t="str">
        <f>IF(F101=$S$15,$T$12,IF(AND($O$3&lt;&gt;$U$3,ROUNDDOWN(F101,0)=$S$12),$U$12,$T$12))</f>
        <v>■レベル　3</v>
      </c>
      <c r="G111" s="2727" t="s">
        <v>3079</v>
      </c>
      <c r="H111" s="2744"/>
      <c r="I111" s="2744"/>
      <c r="J111" s="2745"/>
      <c r="K111" s="984" t="str">
        <f>IF(K101=$S$15,$T$12,IF(AND($O$3&lt;&gt;$U$3,ROUNDDOWN(K101,0)=$S$12),$U$12,$T$12))</f>
        <v>■レベル　3</v>
      </c>
      <c r="L111" s="2727" t="s">
        <v>3084</v>
      </c>
      <c r="M111" s="2744"/>
      <c r="N111" s="2744"/>
      <c r="O111" s="2745"/>
    </row>
    <row r="112" spans="2:15" ht="15.75">
      <c r="D112" s="953"/>
      <c r="E112" s="537"/>
      <c r="F112" s="984" t="str">
        <f>IF(F101=$S$15,$T$13,IF(AND($O$3&lt;&gt;$U$3,ROUNDDOWN(F101,0)=$S$13),$U$13,$T$13))</f>
        <v>　レベル　4</v>
      </c>
      <c r="G112" s="2727" t="s">
        <v>3080</v>
      </c>
      <c r="H112" s="2744"/>
      <c r="I112" s="2744"/>
      <c r="J112" s="2745"/>
      <c r="K112" s="984" t="str">
        <f>IF(K101=$S$15,$T$13,IF(AND($O$3&lt;&gt;$U$3,ROUNDDOWN(K101,0)=$S$13),$U$13,$T$13))</f>
        <v>　レベル　4</v>
      </c>
      <c r="L112" s="2727" t="s">
        <v>3085</v>
      </c>
      <c r="M112" s="2744"/>
      <c r="N112" s="2744"/>
      <c r="O112" s="2745"/>
    </row>
    <row r="113" spans="2:15" ht="24" customHeight="1">
      <c r="D113" s="953"/>
      <c r="E113" s="537"/>
      <c r="F113" s="995" t="str">
        <f>IF(F101=$S$15,$T$14,IF(AND($O$3&lt;&gt;$U$3,ROUNDDOWN(F101,0)=$S$14),$U$14,$T$14))</f>
        <v>　レベル　5</v>
      </c>
      <c r="G113" s="2724" t="s">
        <v>3081</v>
      </c>
      <c r="H113" s="2725"/>
      <c r="I113" s="2725"/>
      <c r="J113" s="2726"/>
      <c r="K113" s="995" t="str">
        <f>IF(K101=$S$15,$T$14,IF(AND($O$3&lt;&gt;$U$3,ROUNDDOWN(K101,0)=$S$14),$U$14,$T$14))</f>
        <v>　レベル　5</v>
      </c>
      <c r="L113" s="2724" t="s">
        <v>3086</v>
      </c>
      <c r="M113" s="2725"/>
      <c r="N113" s="2725"/>
      <c r="O113" s="2726"/>
    </row>
    <row r="114" spans="2:15" ht="15.75">
      <c r="D114" s="953"/>
      <c r="E114" s="537"/>
      <c r="F114" s="537"/>
      <c r="G114" s="1037"/>
      <c r="H114" s="1037"/>
      <c r="I114" s="1037"/>
      <c r="J114" s="1037"/>
      <c r="K114" s="1037"/>
      <c r="L114" s="1088"/>
      <c r="M114" s="1088"/>
      <c r="N114" s="1088"/>
      <c r="O114" s="1088"/>
    </row>
    <row r="115" spans="2:15" ht="15.75">
      <c r="D115" s="949"/>
      <c r="E115" s="155"/>
      <c r="F115" s="961" t="s">
        <v>2227</v>
      </c>
      <c r="G115" s="1038"/>
      <c r="H115" s="1083"/>
      <c r="I115" s="1004"/>
      <c r="J115" s="1041" t="str">
        <f>IF(OR(F117=0,AND(J116=0,O116=0)),$R$3,"")</f>
        <v/>
      </c>
      <c r="K115" s="1037"/>
      <c r="L115" s="1038"/>
      <c r="M115" s="1083"/>
      <c r="N115" s="1004"/>
      <c r="O115" s="1004"/>
    </row>
    <row r="116" spans="2:15" ht="16.5" thickBot="1">
      <c r="D116" s="953"/>
      <c r="E116" s="537"/>
      <c r="F116" s="965" t="s">
        <v>1834</v>
      </c>
      <c r="G116" s="966"/>
      <c r="H116" s="967"/>
      <c r="I116" s="968" t="s">
        <v>1358</v>
      </c>
      <c r="J116" s="971">
        <f>重み!M18</f>
        <v>8.2758620689655171E-2</v>
      </c>
      <c r="K116" s="965" t="s">
        <v>1961</v>
      </c>
      <c r="L116" s="966"/>
      <c r="M116" s="967"/>
      <c r="N116" s="968" t="s">
        <v>1358</v>
      </c>
      <c r="O116" s="971">
        <f>重み!N18</f>
        <v>5.1724137931034482E-2</v>
      </c>
    </row>
    <row r="117" spans="2:15" ht="16.5" thickBot="1">
      <c r="D117" s="953"/>
      <c r="E117" s="537"/>
      <c r="F117" s="972">
        <v>3</v>
      </c>
      <c r="G117" s="1084" t="s">
        <v>1998</v>
      </c>
      <c r="H117" s="977"/>
      <c r="I117" s="977"/>
      <c r="J117" s="978"/>
      <c r="K117" s="972">
        <v>3</v>
      </c>
      <c r="L117" s="1084" t="s">
        <v>314</v>
      </c>
      <c r="M117" s="977"/>
      <c r="N117" s="977"/>
      <c r="O117" s="978"/>
    </row>
    <row r="118" spans="2:15" ht="15.75" hidden="1">
      <c r="B118" s="1">
        <v>1</v>
      </c>
      <c r="C118" s="1">
        <v>1</v>
      </c>
      <c r="D118" s="953"/>
      <c r="E118" s="537"/>
      <c r="F118" s="1085"/>
      <c r="G118" s="1084" t="s">
        <v>1261</v>
      </c>
      <c r="H118" s="977"/>
      <c r="I118" s="977"/>
      <c r="J118" s="978"/>
      <c r="K118" s="1085"/>
      <c r="L118" s="1084" t="s">
        <v>1261</v>
      </c>
      <c r="M118" s="977"/>
      <c r="N118" s="977"/>
      <c r="O118" s="978"/>
    </row>
    <row r="119" spans="2:15" ht="15.75" hidden="1">
      <c r="B119" s="1">
        <v>2</v>
      </c>
      <c r="C119" s="1">
        <v>2</v>
      </c>
      <c r="D119" s="953"/>
      <c r="E119" s="537"/>
      <c r="F119" s="984" t="str">
        <f>IF(F117=$S$15,$T$10,IF(AND($O$3=$U$3,ROUNDDOWN(F117,0)=$S$10),$U$10,$T$10))</f>
        <v>　レベル　1</v>
      </c>
      <c r="G119" s="981" t="s">
        <v>2228</v>
      </c>
      <c r="H119" s="982"/>
      <c r="I119" s="982"/>
      <c r="J119" s="983"/>
      <c r="K119" s="984" t="str">
        <f>IF(K117=$S$15,$T$10,IF(AND($O$3=$U$3,ROUNDDOWN(K117,0)=$S$10),$U$10,$T$10))</f>
        <v>　レベル　1</v>
      </c>
      <c r="L119" s="981" t="s">
        <v>2229</v>
      </c>
      <c r="M119" s="982"/>
      <c r="N119" s="982"/>
      <c r="O119" s="983"/>
    </row>
    <row r="120" spans="2:15" ht="15.75" hidden="1">
      <c r="B120" s="1">
        <v>3</v>
      </c>
      <c r="C120" s="1">
        <v>3</v>
      </c>
      <c r="D120" s="953"/>
      <c r="E120" s="537"/>
      <c r="F120" s="984" t="str">
        <f>IF(F117=$S$15,$T$11,IF(AND($O$3=$U$3,ROUNDDOWN(F117,0)=$S$11),$U$11,$T$11))</f>
        <v>　レベル　2</v>
      </c>
      <c r="G120" s="988"/>
      <c r="H120" s="989"/>
      <c r="I120" s="989"/>
      <c r="J120" s="990"/>
      <c r="K120" s="984" t="str">
        <f>IF(K117=$S$15,$T$11,IF(AND($O$3=$U$3,ROUNDDOWN(K117,0)=$S$11),$U$11,$T$11))</f>
        <v>　レベル　2</v>
      </c>
      <c r="L120" s="988"/>
      <c r="M120" s="989"/>
      <c r="N120" s="989"/>
      <c r="O120" s="990"/>
    </row>
    <row r="121" spans="2:15" ht="15.75" hidden="1">
      <c r="B121" s="1">
        <v>4</v>
      </c>
      <c r="C121" s="1">
        <v>4</v>
      </c>
      <c r="D121" s="953"/>
      <c r="E121" s="537"/>
      <c r="F121" s="984" t="str">
        <f>IF(F117=$S$15,$T$12,IF(AND($O$3=$U$3,ROUNDDOWN(F117,0)=$S$12),$U$12,$T$12))</f>
        <v>　レベル　3</v>
      </c>
      <c r="G121" s="988" t="s">
        <v>2230</v>
      </c>
      <c r="H121" s="989"/>
      <c r="I121" s="989"/>
      <c r="J121" s="990"/>
      <c r="K121" s="984" t="str">
        <f>IF(K117=$S$15,$T$12,IF(AND($O$3=$U$3,ROUNDDOWN(K117,0)=$S$12),$U$12,$T$12))</f>
        <v>　レベル　3</v>
      </c>
      <c r="L121" s="988" t="s">
        <v>2231</v>
      </c>
      <c r="M121" s="989"/>
      <c r="N121" s="989"/>
      <c r="O121" s="990"/>
    </row>
    <row r="122" spans="2:15" ht="15.75" hidden="1">
      <c r="B122" s="1">
        <v>5</v>
      </c>
      <c r="C122" s="1">
        <v>5</v>
      </c>
      <c r="D122" s="953"/>
      <c r="E122" s="537"/>
      <c r="F122" s="984" t="str">
        <f>IF(F117=$S$15,$T$13,IF(AND($O$3=$U$3,ROUNDDOWN(F117,0)=$S$13),$U$13,$T$13))</f>
        <v>　レベル　4</v>
      </c>
      <c r="G122" s="988"/>
      <c r="H122" s="989"/>
      <c r="I122" s="989"/>
      <c r="J122" s="990"/>
      <c r="K122" s="984" t="str">
        <f>IF(K117=$S$15,$T$13,IF(AND($O$3=$U$3,ROUNDDOWN(K117,0)=$S$13),$U$13,$T$13))</f>
        <v>　レベル　4</v>
      </c>
      <c r="L122" s="988"/>
      <c r="M122" s="989"/>
      <c r="N122" s="989"/>
      <c r="O122" s="990"/>
    </row>
    <row r="123" spans="2:15" ht="15.75" hidden="1">
      <c r="B123" s="1002">
        <v>0</v>
      </c>
      <c r="C123" s="1002">
        <v>0</v>
      </c>
      <c r="D123" s="953"/>
      <c r="E123" s="537"/>
      <c r="F123" s="995" t="str">
        <f>IF(F117=$S$15,$T$14,IF(AND($O$3=$U$3,ROUNDDOWN(F117,0)=$S$14),$U$14,$T$14))</f>
        <v>　レベル　5</v>
      </c>
      <c r="G123" s="999" t="s">
        <v>2232</v>
      </c>
      <c r="H123" s="1000"/>
      <c r="I123" s="1000"/>
      <c r="J123" s="1001"/>
      <c r="K123" s="995" t="str">
        <f>IF(K117=$S$15,$T$14,IF(AND($O$3=$U$3,ROUNDDOWN(K117,0)=$S$14),$U$14,$T$14))</f>
        <v>　レベル　5</v>
      </c>
      <c r="L123" s="999" t="s">
        <v>2233</v>
      </c>
      <c r="M123" s="1000"/>
      <c r="N123" s="1000"/>
      <c r="O123" s="1001"/>
    </row>
    <row r="124" spans="2:15" ht="15.75" hidden="1">
      <c r="D124" s="953"/>
      <c r="E124" s="537"/>
      <c r="F124" s="1086"/>
      <c r="G124" s="1084" t="s">
        <v>1260</v>
      </c>
      <c r="H124" s="977"/>
      <c r="I124" s="977"/>
      <c r="J124" s="978"/>
      <c r="K124" s="1086"/>
      <c r="L124" s="1084" t="s">
        <v>1260</v>
      </c>
      <c r="M124" s="977"/>
      <c r="N124" s="977"/>
      <c r="O124" s="978"/>
    </row>
    <row r="125" spans="2:15" ht="15.75">
      <c r="D125" s="953"/>
      <c r="E125" s="537"/>
      <c r="F125" s="1087" t="str">
        <f>IF(F117=$S$15,$T$10,IF(AND($O$3&lt;&gt;$U$3,ROUNDDOWN(F117,0)=$S$10),$U$10,$T$10))</f>
        <v>　レベル　1</v>
      </c>
      <c r="G125" s="981" t="s">
        <v>3087</v>
      </c>
      <c r="H125" s="982"/>
      <c r="I125" s="982"/>
      <c r="J125" s="983"/>
      <c r="K125" s="1087" t="str">
        <f>IF(K117=$S$15,$T$10,IF(AND($O$3&lt;&gt;$U$3,ROUNDDOWN(K117,0)=$S$10),$U$10,$T$10))</f>
        <v>　レベル　1</v>
      </c>
      <c r="L125" s="981" t="s">
        <v>3092</v>
      </c>
      <c r="M125" s="982"/>
      <c r="N125" s="982"/>
      <c r="O125" s="983"/>
    </row>
    <row r="126" spans="2:15" ht="15.75">
      <c r="D126" s="953"/>
      <c r="E126" s="537"/>
      <c r="F126" s="984" t="str">
        <f>IF(F117=$S$15,$T$11,IF(AND($O$3&lt;&gt;$U$3,ROUNDDOWN(F117,0)=$S$11),$U$11,$T$11))</f>
        <v>　レベル　2</v>
      </c>
      <c r="G126" s="988" t="s">
        <v>3088</v>
      </c>
      <c r="H126" s="989"/>
      <c r="I126" s="989"/>
      <c r="J126" s="990"/>
      <c r="K126" s="984" t="str">
        <f>IF(K117=$S$15,$T$11,IF(AND($O$3&lt;&gt;$U$3,ROUNDDOWN(K117,0)=$S$11),$U$11,$T$11))</f>
        <v>　レベル　2</v>
      </c>
      <c r="L126" s="988" t="s">
        <v>3093</v>
      </c>
      <c r="M126" s="989"/>
      <c r="N126" s="989"/>
      <c r="O126" s="990"/>
    </row>
    <row r="127" spans="2:15" ht="15.75">
      <c r="D127" s="953"/>
      <c r="E127" s="537"/>
      <c r="F127" s="984" t="str">
        <f>IF(F117=$S$15,$T$12,IF(AND($O$3&lt;&gt;$U$3,ROUNDDOWN(F117,0)=$S$12),$U$12,$T$12))</f>
        <v>■レベル　3</v>
      </c>
      <c r="G127" s="988" t="s">
        <v>3089</v>
      </c>
      <c r="H127" s="989"/>
      <c r="I127" s="989"/>
      <c r="J127" s="990"/>
      <c r="K127" s="984" t="str">
        <f>IF(K117=$S$15,$T$12,IF(AND($O$3&lt;&gt;$U$3,ROUNDDOWN(K117,0)=$S$12),$U$12,$T$12))</f>
        <v>■レベル　3</v>
      </c>
      <c r="L127" s="988" t="s">
        <v>3094</v>
      </c>
      <c r="M127" s="989"/>
      <c r="N127" s="989"/>
      <c r="O127" s="990"/>
    </row>
    <row r="128" spans="2:15" ht="15.75">
      <c r="D128" s="953"/>
      <c r="E128" s="537"/>
      <c r="F128" s="984" t="str">
        <f>IF(F117=$S$15,$T$13,IF(AND($O$3&lt;&gt;$U$3,ROUNDDOWN(F117,0)=$S$13),$U$13,$T$13))</f>
        <v>　レベル　4</v>
      </c>
      <c r="G128" s="988" t="s">
        <v>3090</v>
      </c>
      <c r="H128" s="989"/>
      <c r="I128" s="989"/>
      <c r="J128" s="990"/>
      <c r="K128" s="984" t="str">
        <f>IF(K117=$S$15,$T$13,IF(AND($O$3&lt;&gt;$U$3,ROUNDDOWN(K117,0)=$S$13),$U$13,$T$13))</f>
        <v>　レベル　4</v>
      </c>
      <c r="L128" s="988" t="s">
        <v>3095</v>
      </c>
      <c r="M128" s="989"/>
      <c r="N128" s="989"/>
      <c r="O128" s="990"/>
    </row>
    <row r="129" spans="2:15" ht="27.75" customHeight="1">
      <c r="D129" s="953"/>
      <c r="E129" s="537"/>
      <c r="F129" s="995" t="str">
        <f>IF(F117=$S$15,$T$14,IF(AND($O$3&lt;&gt;$U$3,ROUNDDOWN(F117,0)=$S$14),$U$14,$T$14))</f>
        <v>　レベル　5</v>
      </c>
      <c r="G129" s="999" t="s">
        <v>3091</v>
      </c>
      <c r="H129" s="1000"/>
      <c r="I129" s="1000"/>
      <c r="J129" s="1001"/>
      <c r="K129" s="995" t="str">
        <f>IF(K117=$S$15,$T$14,IF(AND($O$3&lt;&gt;$U$3,ROUNDDOWN(K117,0)=$S$14),$U$14,$T$14))</f>
        <v>　レベル　5</v>
      </c>
      <c r="L129" s="2724" t="s">
        <v>3096</v>
      </c>
      <c r="M129" s="2725"/>
      <c r="N129" s="2725"/>
      <c r="O129" s="2726"/>
    </row>
    <row r="130" spans="2:15" ht="15.75">
      <c r="D130" s="953"/>
      <c r="E130" s="537"/>
      <c r="F130" s="537"/>
      <c r="G130" s="1098"/>
      <c r="H130" s="1037"/>
      <c r="I130" s="1037"/>
      <c r="J130" s="1037"/>
      <c r="K130" s="1037"/>
      <c r="L130" s="1088"/>
      <c r="M130" s="1088"/>
      <c r="N130" s="1088"/>
      <c r="O130" s="1088"/>
    </row>
    <row r="131" spans="2:15" ht="15.75">
      <c r="D131" s="949">
        <v>1.3</v>
      </c>
      <c r="E131" s="958" t="s">
        <v>1999</v>
      </c>
      <c r="F131" s="961"/>
      <c r="G131" s="1038"/>
      <c r="H131" s="1083"/>
      <c r="I131" s="1004"/>
      <c r="J131" s="1041" t="str">
        <f>IF(OR(F133=0,AND(J132=0,O132=0)),$R$3,"")</f>
        <v/>
      </c>
      <c r="K131" s="1037"/>
      <c r="L131" s="1038"/>
      <c r="M131" s="1083"/>
      <c r="N131" s="1004"/>
      <c r="O131" s="1004"/>
    </row>
    <row r="132" spans="2:15" ht="16.5" thickBot="1">
      <c r="D132" s="953"/>
      <c r="E132" s="950"/>
      <c r="F132" s="965" t="s">
        <v>1960</v>
      </c>
      <c r="G132" s="966"/>
      <c r="H132" s="967"/>
      <c r="I132" s="968" t="s">
        <v>1358</v>
      </c>
      <c r="J132" s="971">
        <f>重み!M19</f>
        <v>0.2</v>
      </c>
      <c r="K132" s="965" t="s">
        <v>1961</v>
      </c>
      <c r="L132" s="966"/>
      <c r="M132" s="967"/>
      <c r="N132" s="968" t="s">
        <v>1358</v>
      </c>
      <c r="O132" s="971">
        <f>重み!N19</f>
        <v>3.4482758620689662E-2</v>
      </c>
    </row>
    <row r="133" spans="2:15" ht="16.5" thickBot="1">
      <c r="D133" s="953"/>
      <c r="E133" s="950"/>
      <c r="F133" s="972">
        <v>3</v>
      </c>
      <c r="G133" s="976" t="s">
        <v>2001</v>
      </c>
      <c r="H133" s="977"/>
      <c r="I133" s="977"/>
      <c r="J133" s="978"/>
      <c r="K133" s="972">
        <v>3</v>
      </c>
      <c r="L133" s="976" t="s">
        <v>2234</v>
      </c>
      <c r="M133" s="977"/>
      <c r="N133" s="977"/>
      <c r="O133" s="978"/>
    </row>
    <row r="134" spans="2:15" ht="15.75">
      <c r="B134" s="1">
        <v>1</v>
      </c>
      <c r="C134" s="1">
        <v>1</v>
      </c>
      <c r="D134" s="953"/>
      <c r="E134" s="950"/>
      <c r="F134" s="979" t="str">
        <f>IF(F133=$S$15,$T$10,IF(ROUNDDOWN(F133,0)=$S$10,$U$10,$T$10))</f>
        <v>　レベル　1</v>
      </c>
      <c r="G134" s="981" t="s">
        <v>2002</v>
      </c>
      <c r="H134" s="982"/>
      <c r="I134" s="982"/>
      <c r="J134" s="983"/>
      <c r="K134" s="979" t="str">
        <f>IF(K133=$S$15,$T$10,IF(ROUNDDOWN(K133,0)=$S$10,$U$10,$T$10))</f>
        <v>　レベル　1</v>
      </c>
      <c r="L134" s="981" t="s">
        <v>2002</v>
      </c>
      <c r="M134" s="982"/>
      <c r="N134" s="982"/>
      <c r="O134" s="983"/>
    </row>
    <row r="135" spans="2:15" ht="15.75">
      <c r="B135" s="1" t="s">
        <v>2167</v>
      </c>
      <c r="C135" s="1" t="s">
        <v>2167</v>
      </c>
      <c r="D135" s="953"/>
      <c r="E135" s="950"/>
      <c r="F135" s="984" t="str">
        <f>IF(F133=$S$15,$T$11,IF(ROUNDDOWN(F133,0)=$S$11,$U$11,$T$11))</f>
        <v>　レベル　2</v>
      </c>
      <c r="G135" s="988" t="s">
        <v>347</v>
      </c>
      <c r="H135" s="989"/>
      <c r="I135" s="989"/>
      <c r="J135" s="990"/>
      <c r="K135" s="984" t="str">
        <f>IF(K133=$S$15,$T$11,IF(ROUNDDOWN(K133,0)=$S$11,$U$11,$T$11))</f>
        <v>　レベル　2</v>
      </c>
      <c r="L135" s="988" t="s">
        <v>347</v>
      </c>
      <c r="M135" s="989"/>
      <c r="N135" s="989"/>
      <c r="O135" s="990"/>
    </row>
    <row r="136" spans="2:15" ht="15.75">
      <c r="B136" s="1">
        <v>3</v>
      </c>
      <c r="C136" s="1">
        <v>3</v>
      </c>
      <c r="D136" s="953"/>
      <c r="E136" s="950"/>
      <c r="F136" s="984" t="str">
        <f>IF(F133=$S$15,$T$12,IF(ROUNDDOWN(F133,0)=$S$12,$U$12,$T$12))</f>
        <v>■レベル　3</v>
      </c>
      <c r="G136" s="988" t="s">
        <v>2003</v>
      </c>
      <c r="H136" s="989"/>
      <c r="I136" s="989"/>
      <c r="J136" s="990"/>
      <c r="K136" s="984" t="str">
        <f>IF(K133=$S$15,$T$12,IF(ROUNDDOWN(K133,0)=$S$12,$U$12,$T$12))</f>
        <v>■レベル　3</v>
      </c>
      <c r="L136" s="988" t="s">
        <v>2003</v>
      </c>
      <c r="M136" s="989"/>
      <c r="N136" s="989"/>
      <c r="O136" s="990"/>
    </row>
    <row r="137" spans="2:15" ht="15.75">
      <c r="B137" s="1">
        <v>4</v>
      </c>
      <c r="C137" s="1">
        <v>4</v>
      </c>
      <c r="D137" s="953"/>
      <c r="E137" s="950"/>
      <c r="F137" s="984" t="str">
        <f>IF(F133=$S$15,$T$13,IF(ROUNDDOWN(F133,0)=$S$13,$U$13,$T$13))</f>
        <v>　レベル　4</v>
      </c>
      <c r="G137" s="988" t="s">
        <v>2235</v>
      </c>
      <c r="H137" s="989"/>
      <c r="I137" s="989"/>
      <c r="J137" s="990"/>
      <c r="K137" s="984" t="str">
        <f>IF(K133=$S$15,$T$13,IF(ROUNDDOWN(K133,0)=$S$13,$U$13,$T$13))</f>
        <v>　レベル　4</v>
      </c>
      <c r="L137" s="988" t="s">
        <v>2235</v>
      </c>
      <c r="M137" s="989"/>
      <c r="N137" s="989"/>
      <c r="O137" s="990"/>
    </row>
    <row r="138" spans="2:15" ht="15.75">
      <c r="B138" s="1">
        <v>5</v>
      </c>
      <c r="C138" s="1">
        <v>5</v>
      </c>
      <c r="D138" s="953"/>
      <c r="E138" s="950"/>
      <c r="F138" s="995" t="str">
        <f>IF(F133=$S$15,$T$14,IF(ROUNDDOWN(F133,0)=$S$14,$U$14,$T$14))</f>
        <v>　レベル　5</v>
      </c>
      <c r="G138" s="999" t="s">
        <v>2236</v>
      </c>
      <c r="H138" s="1000"/>
      <c r="I138" s="1000"/>
      <c r="J138" s="1001"/>
      <c r="K138" s="995" t="str">
        <f>IF(K133=$S$15,$T$14,IF(ROUNDDOWN(K133,0)=$S$14,$U$14,$T$14))</f>
        <v>　レベル　5</v>
      </c>
      <c r="L138" s="999" t="s">
        <v>2236</v>
      </c>
      <c r="M138" s="1000"/>
      <c r="N138" s="1000"/>
      <c r="O138" s="1001"/>
    </row>
    <row r="139" spans="2:15" ht="15.75">
      <c r="B139" s="1002">
        <v>0</v>
      </c>
      <c r="C139" s="1002">
        <v>0</v>
      </c>
      <c r="D139" s="953"/>
      <c r="E139" s="537"/>
      <c r="F139" s="950"/>
      <c r="G139" s="1099"/>
      <c r="H139" s="1099"/>
      <c r="I139" s="1099"/>
      <c r="J139" s="1099"/>
      <c r="K139" s="1099"/>
      <c r="L139" s="1037"/>
      <c r="M139" s="1037"/>
      <c r="N139" s="1037"/>
      <c r="O139" s="1100"/>
    </row>
    <row r="140" spans="2:15" ht="15.75">
      <c r="D140" s="949">
        <v>2</v>
      </c>
      <c r="E140" s="960" t="s">
        <v>2004</v>
      </c>
      <c r="F140" s="959"/>
      <c r="G140" s="1082"/>
      <c r="H140" s="1082"/>
      <c r="I140" s="1082"/>
      <c r="J140" s="1082"/>
      <c r="K140" s="1082"/>
      <c r="L140" s="1082"/>
      <c r="M140" s="1082"/>
      <c r="N140" s="1082"/>
      <c r="O140" s="1082"/>
    </row>
    <row r="141" spans="2:15" ht="15.75">
      <c r="D141" s="949">
        <v>2.1</v>
      </c>
      <c r="E141" s="960" t="s">
        <v>2005</v>
      </c>
      <c r="F141" s="959"/>
      <c r="G141" s="1038"/>
      <c r="H141" s="1038"/>
      <c r="I141" s="1082"/>
      <c r="J141" s="1082"/>
      <c r="K141" s="1082"/>
      <c r="L141" s="1082"/>
      <c r="M141" s="1038"/>
      <c r="N141" s="1082"/>
      <c r="O141" s="1082"/>
    </row>
    <row r="142" spans="2:15" ht="15.75">
      <c r="D142" s="953"/>
      <c r="E142" s="155"/>
      <c r="F142" s="1101" t="s">
        <v>908</v>
      </c>
      <c r="G142" s="1038"/>
      <c r="H142" s="1038"/>
      <c r="I142" s="1083"/>
      <c r="J142" s="1041" t="str">
        <f>IF(OR(F144=0,AND(J143=0,O143=0)),$R$3,"")</f>
        <v/>
      </c>
      <c r="K142" s="1004"/>
      <c r="L142" s="1004"/>
      <c r="M142" s="1037"/>
      <c r="N142" s="1004"/>
      <c r="O142" s="1004"/>
    </row>
    <row r="143" spans="2:15" ht="16.5" thickBot="1">
      <c r="D143" s="953"/>
      <c r="E143" s="155"/>
      <c r="F143" s="1102" t="s">
        <v>2237</v>
      </c>
      <c r="G143" s="1103"/>
      <c r="H143" s="1104"/>
      <c r="I143" s="968" t="s">
        <v>1358</v>
      </c>
      <c r="J143" s="966">
        <f>重み!M22</f>
        <v>0.33448275862068966</v>
      </c>
      <c r="K143" s="1103"/>
      <c r="L143" s="1105"/>
      <c r="M143" s="1106" t="s">
        <v>2006</v>
      </c>
      <c r="N143" s="968" t="s">
        <v>1358</v>
      </c>
      <c r="O143" s="970">
        <f>重み!N22</f>
        <v>0</v>
      </c>
    </row>
    <row r="144" spans="2:15" ht="16.5" thickBot="1">
      <c r="D144" s="953"/>
      <c r="E144" s="155"/>
      <c r="F144" s="972">
        <v>3</v>
      </c>
      <c r="G144" s="1089" t="s">
        <v>3382</v>
      </c>
      <c r="H144" s="1089" t="s">
        <v>2007</v>
      </c>
      <c r="I144" s="1089" t="s">
        <v>2008</v>
      </c>
      <c r="J144" s="1107" t="s">
        <v>3383</v>
      </c>
      <c r="K144" s="1107" t="s">
        <v>2009</v>
      </c>
      <c r="L144" s="1108" t="s">
        <v>3384</v>
      </c>
      <c r="M144" s="2022">
        <v>0</v>
      </c>
      <c r="N144" s="1084" t="s">
        <v>2659</v>
      </c>
      <c r="O144" s="1109" t="s">
        <v>2238</v>
      </c>
    </row>
    <row r="145" spans="2:15" ht="15.75" hidden="1">
      <c r="B145" s="1">
        <v>1</v>
      </c>
      <c r="C145" s="1">
        <v>1</v>
      </c>
      <c r="D145" s="953"/>
      <c r="E145" s="155"/>
      <c r="F145" s="1085"/>
      <c r="G145" s="1084" t="s">
        <v>1261</v>
      </c>
      <c r="H145" s="977"/>
      <c r="I145" s="977"/>
      <c r="J145" s="977"/>
      <c r="K145" s="977"/>
      <c r="L145" s="977"/>
      <c r="M145" s="1085"/>
      <c r="N145" s="977" t="s">
        <v>1261</v>
      </c>
      <c r="O145" s="1110"/>
    </row>
    <row r="146" spans="2:15" ht="45" hidden="1" customHeight="1">
      <c r="B146" s="1">
        <v>2</v>
      </c>
      <c r="C146" s="1">
        <v>2</v>
      </c>
      <c r="D146" s="953"/>
      <c r="E146" s="155"/>
      <c r="F146" s="984" t="str">
        <f>IF(F144=$S$15,$T$10,IF(AND($O$3=$U$3,ROUNDDOWN(F144,0)=$S$10),$U$10,$T$10))</f>
        <v>　レベル　1</v>
      </c>
      <c r="G146" s="1111" t="s">
        <v>2010</v>
      </c>
      <c r="H146" s="980" t="s">
        <v>2239</v>
      </c>
      <c r="I146" s="980" t="s">
        <v>408</v>
      </c>
      <c r="J146" s="980" t="s">
        <v>2240</v>
      </c>
      <c r="K146" s="988" t="s">
        <v>2168</v>
      </c>
      <c r="L146" s="980" t="s">
        <v>2241</v>
      </c>
      <c r="M146" s="984" t="str">
        <f>IF(M144=$S$15,$T$10,IF(AND($O$3=$U$3,ROUNDDOWN(M144,0)=$S$10),$U$10,$T$10))</f>
        <v>　レベル　1</v>
      </c>
      <c r="N146" s="1045" t="s">
        <v>2239</v>
      </c>
      <c r="O146" s="1112" t="s">
        <v>2242</v>
      </c>
    </row>
    <row r="147" spans="2:15" ht="33.75" hidden="1" customHeight="1">
      <c r="B147" s="1">
        <v>3</v>
      </c>
      <c r="C147" s="1">
        <v>3</v>
      </c>
      <c r="D147" s="953"/>
      <c r="E147" s="155"/>
      <c r="F147" s="984" t="str">
        <f>IF(F144=$S$15,$T$11,IF(AND($O$3=$U$3,ROUNDDOWN(F144,0)=$S$11),$U$11,$T$11))</f>
        <v>　レベル　2</v>
      </c>
      <c r="G147" s="992" t="s">
        <v>410</v>
      </c>
      <c r="H147" s="992"/>
      <c r="I147" s="992"/>
      <c r="J147" s="992"/>
      <c r="K147" s="988" t="s">
        <v>2168</v>
      </c>
      <c r="L147" s="992"/>
      <c r="M147" s="984" t="str">
        <f>IF(M144=$S$15,$T$11,IF(AND($O$3=$U$3,ROUNDDOWN(M144,0)=$S$11),$U$11,$T$11))</f>
        <v>　レベル　2</v>
      </c>
      <c r="N147" s="1113"/>
      <c r="O147" s="1114"/>
    </row>
    <row r="148" spans="2:15" ht="45" hidden="1" customHeight="1">
      <c r="B148" s="1">
        <v>4</v>
      </c>
      <c r="C148" s="1">
        <v>4</v>
      </c>
      <c r="D148" s="953"/>
      <c r="E148" s="155"/>
      <c r="F148" s="984" t="str">
        <f>IF(F144=$S$15,$T$12,IF(AND($O$3=$U$3,ROUNDDOWN(F144,0)=$S$12),$U$12,$T$12))</f>
        <v>　レベル　3</v>
      </c>
      <c r="G148" s="987" t="s">
        <v>2243</v>
      </c>
      <c r="H148" s="987" t="s">
        <v>2243</v>
      </c>
      <c r="I148" s="987" t="s">
        <v>1766</v>
      </c>
      <c r="J148" s="991" t="s">
        <v>1767</v>
      </c>
      <c r="K148" s="991" t="s">
        <v>1045</v>
      </c>
      <c r="L148" s="987" t="s">
        <v>399</v>
      </c>
      <c r="M148" s="984" t="str">
        <f>IF(M144=$S$15,$T$12,IF(AND($O$3=$U$3,ROUNDDOWN(M144,0)=$S$12),$U$12,$T$12))</f>
        <v>　レベル　3</v>
      </c>
      <c r="N148" s="992" t="s">
        <v>2243</v>
      </c>
      <c r="O148" s="993" t="s">
        <v>400</v>
      </c>
    </row>
    <row r="149" spans="2:15" ht="33.75" hidden="1" customHeight="1">
      <c r="B149" s="1">
        <v>5</v>
      </c>
      <c r="C149" s="1">
        <v>5</v>
      </c>
      <c r="D149" s="953"/>
      <c r="E149" s="155"/>
      <c r="F149" s="984" t="str">
        <f>IF(F144=$S$15,$T$13,IF(AND($O$3=$U$3,ROUNDDOWN(F144,0)=$S$13),$U$13,$T$13))</f>
        <v>　レベル　4</v>
      </c>
      <c r="G149" s="992"/>
      <c r="H149" s="992"/>
      <c r="I149" s="992"/>
      <c r="J149" s="993"/>
      <c r="K149" s="993" t="s">
        <v>555</v>
      </c>
      <c r="L149" s="992"/>
      <c r="M149" s="984" t="str">
        <f>IF(M144=$S$15,$T$13,IF(AND($O$3=$U$3,ROUNDDOWN(M144,0)=$S$13),$U$13,$T$13))</f>
        <v>　レベル　4</v>
      </c>
      <c r="N149" s="992"/>
      <c r="O149" s="993"/>
    </row>
    <row r="150" spans="2:15" ht="67.5" hidden="1" customHeight="1">
      <c r="B150" s="1002">
        <v>0</v>
      </c>
      <c r="C150" s="1002">
        <v>0</v>
      </c>
      <c r="D150" s="953"/>
      <c r="E150" s="155"/>
      <c r="F150" s="995" t="str">
        <f>IF(F144=$S$15,$T$14,IF(AND($O$3=$U$3,ROUNDDOWN(F144,0)=$S$14),$U$14,$T$14))</f>
        <v>　レベル　5</v>
      </c>
      <c r="G150" s="2754" t="s">
        <v>401</v>
      </c>
      <c r="H150" s="2804"/>
      <c r="I150" s="2804"/>
      <c r="J150" s="2805"/>
      <c r="K150" s="997" t="s">
        <v>556</v>
      </c>
      <c r="L150" s="996" t="s">
        <v>557</v>
      </c>
      <c r="M150" s="995" t="str">
        <f>IF(M144=$S$15,$T$14,IF(AND($O$3=$U$3,ROUNDDOWN(M144,0)=$S$14),$U$14,$T$14))</f>
        <v>　レベル　5</v>
      </c>
      <c r="N150" s="996" t="s">
        <v>401</v>
      </c>
      <c r="O150" s="997" t="s">
        <v>402</v>
      </c>
    </row>
    <row r="151" spans="2:15" ht="15.75" hidden="1">
      <c r="D151" s="953"/>
      <c r="E151" s="155"/>
      <c r="F151" s="1086"/>
      <c r="G151" s="1084" t="s">
        <v>1260</v>
      </c>
      <c r="H151" s="977"/>
      <c r="I151" s="1104"/>
      <c r="J151" s="1104"/>
      <c r="K151" s="1104"/>
      <c r="L151" s="1104"/>
      <c r="M151" s="1086"/>
      <c r="N151" s="1084" t="s">
        <v>1260</v>
      </c>
      <c r="O151" s="1110"/>
    </row>
    <row r="152" spans="2:15" ht="138.75" customHeight="1">
      <c r="D152" s="953"/>
      <c r="E152" s="155"/>
      <c r="F152" s="1087" t="str">
        <f>IF(F144=$S$15,$T$10,IF(AND($O$3&lt;&gt;$U$3,ROUNDDOWN(F144,0)=$S$10),$U$10,$T$10))</f>
        <v>　レベル　1</v>
      </c>
      <c r="G152" s="992" t="s">
        <v>3111</v>
      </c>
      <c r="H152" s="2731" t="s">
        <v>3100</v>
      </c>
      <c r="I152" s="2732"/>
      <c r="J152" s="992" t="s">
        <v>3101</v>
      </c>
      <c r="K152" s="2443" t="s">
        <v>3102</v>
      </c>
      <c r="L152" s="992" t="s">
        <v>3103</v>
      </c>
      <c r="M152" s="2437" t="str">
        <f>IF(M144=$S$15,$T$10,IF(AND($O$3&lt;&gt;$U$3,ROUNDDOWN(M144,0)=$S$10),$U$10,$T$10))</f>
        <v>　レベル　1</v>
      </c>
      <c r="N152" s="2438"/>
      <c r="O152" s="2439"/>
    </row>
    <row r="153" spans="2:15" ht="195" customHeight="1">
      <c r="D153" s="953"/>
      <c r="E153" s="155"/>
      <c r="F153" s="984" t="str">
        <f>IF(F144=$S$15,$T$11,IF(AND($O$3&lt;&gt;$U$3,ROUNDDOWN(F144,0)=$S$11),$U$11,$T$11))</f>
        <v>　レベル　2</v>
      </c>
      <c r="G153" s="992" t="s">
        <v>3097</v>
      </c>
      <c r="H153" s="992"/>
      <c r="I153" s="992"/>
      <c r="J153" s="992"/>
      <c r="K153" s="987" t="s">
        <v>3104</v>
      </c>
      <c r="L153" s="992"/>
      <c r="M153" s="1166" t="str">
        <f>IF(M144=$S$15,$T$11,IF(AND($O$3&lt;&gt;$U$3,ROUNDDOWN(M144,0)=$S$11),$U$11,$T$11))</f>
        <v>　レベル　2</v>
      </c>
      <c r="N153" s="2440"/>
      <c r="O153" s="2441"/>
    </row>
    <row r="154" spans="2:15" ht="189.75" customHeight="1">
      <c r="D154" s="953"/>
      <c r="E154" s="155"/>
      <c r="F154" s="984" t="str">
        <f>IF(F144=$S$15,$T$12,IF(AND($O$3&lt;&gt;$U$3,ROUNDDOWN(F144,0)=$S$12),$U$12,$T$12))</f>
        <v>■レベル　3</v>
      </c>
      <c r="G154" s="2727" t="s">
        <v>3098</v>
      </c>
      <c r="H154" s="2728"/>
      <c r="I154" s="2729"/>
      <c r="J154" s="992" t="s">
        <v>3105</v>
      </c>
      <c r="K154" s="992" t="s">
        <v>3106</v>
      </c>
      <c r="L154" s="992" t="s">
        <v>3107</v>
      </c>
      <c r="M154" s="1166" t="str">
        <f>IF(M144=$S$15,$T$12,IF(AND($O$3&lt;&gt;$U$3,ROUNDDOWN(M144,0)=$S$12),$U$12,$T$12))</f>
        <v>　レベル　3</v>
      </c>
      <c r="N154" s="2735"/>
      <c r="O154" s="2736"/>
    </row>
    <row r="155" spans="2:15" ht="36" customHeight="1">
      <c r="D155" s="953"/>
      <c r="E155" s="155"/>
      <c r="F155" s="984" t="str">
        <f>IF(F144=$S$15,$T$13,IF(AND($O$3&lt;&gt;$U$3,ROUNDDOWN(F144,0)=$S$13),$U$13,$T$13))</f>
        <v>　レベル　4</v>
      </c>
      <c r="G155" s="992"/>
      <c r="H155" s="992"/>
      <c r="I155" s="992"/>
      <c r="J155" s="993"/>
      <c r="K155" s="987" t="s">
        <v>2168</v>
      </c>
      <c r="L155" s="992"/>
      <c r="M155" s="1166" t="str">
        <f>IF(M144=$S$15,$T$13,IF(AND($O$3&lt;&gt;$U$3,ROUNDDOWN(M144,0)=$S$13),$U$13,$T$13))</f>
        <v>　レベル　4</v>
      </c>
      <c r="N155" s="2442"/>
      <c r="O155" s="2441"/>
    </row>
    <row r="156" spans="2:15" ht="120" customHeight="1">
      <c r="D156" s="953"/>
      <c r="E156" s="155"/>
      <c r="F156" s="995" t="str">
        <f>IF(F144=$S$15,$T$14,IF(AND($O$3&lt;&gt;$U$3,ROUNDDOWN(F144,0)=$S$14),$U$14,$T$14))</f>
        <v>　レベル　5</v>
      </c>
      <c r="G156" s="2724" t="s">
        <v>3099</v>
      </c>
      <c r="H156" s="2730"/>
      <c r="I156" s="997" t="s">
        <v>3108</v>
      </c>
      <c r="J156" s="997" t="s">
        <v>3099</v>
      </c>
      <c r="K156" s="997" t="s">
        <v>3109</v>
      </c>
      <c r="L156" s="997" t="s">
        <v>3110</v>
      </c>
      <c r="M156" s="1167" t="str">
        <f>IF(M144=$S$15,$T$14,IF(AND($O$3&lt;&gt;$U$3,ROUNDDOWN(M144,0)=$S$14),$U$14,$T$14))</f>
        <v>　レベル　5</v>
      </c>
      <c r="N156" s="2765"/>
      <c r="O156" s="2788"/>
    </row>
    <row r="157" spans="2:15" ht="15.75" hidden="1">
      <c r="D157" s="953"/>
      <c r="E157" s="155"/>
      <c r="F157" s="155"/>
      <c r="G157" s="1088"/>
      <c r="H157" s="1088"/>
      <c r="I157" s="1088"/>
      <c r="J157" s="1088"/>
      <c r="K157" s="1088"/>
      <c r="L157" s="1088"/>
      <c r="M157" s="1088"/>
      <c r="N157" s="1088"/>
      <c r="O157" s="1088"/>
    </row>
    <row r="158" spans="2:15" ht="15.75" hidden="1">
      <c r="D158" s="953"/>
      <c r="E158" s="155"/>
      <c r="F158" s="2241" t="s">
        <v>2474</v>
      </c>
      <c r="G158" s="1038"/>
      <c r="H158" s="1083"/>
      <c r="I158" s="1004"/>
      <c r="J158" s="1041" t="str">
        <f>IF(OR(F160=0,J159=0),$R$3,"")</f>
        <v>&lt;評価しない&gt;</v>
      </c>
      <c r="K158" s="1088"/>
      <c r="L158" s="1088"/>
      <c r="M158" s="1088"/>
      <c r="N158" s="1088"/>
      <c r="O158" s="1088"/>
    </row>
    <row r="159" spans="2:15" ht="15.75" hidden="1">
      <c r="D159" s="953"/>
      <c r="E159" s="155"/>
      <c r="F159" s="965" t="s">
        <v>1758</v>
      </c>
      <c r="G159" s="966"/>
      <c r="H159" s="967"/>
      <c r="I159" s="968" t="s">
        <v>1358</v>
      </c>
      <c r="J159" s="971">
        <f>重み!M23</f>
        <v>0.11724137931034483</v>
      </c>
      <c r="K159" s="1088"/>
      <c r="L159" s="1088"/>
      <c r="M159" s="1088"/>
      <c r="N159" s="1088"/>
      <c r="O159" s="1088"/>
    </row>
    <row r="160" spans="2:15" ht="16.5" hidden="1" thickBot="1">
      <c r="D160" s="953"/>
      <c r="E160" s="155"/>
      <c r="F160" s="972">
        <v>0</v>
      </c>
      <c r="G160" s="976" t="s">
        <v>2475</v>
      </c>
      <c r="H160" s="977"/>
      <c r="I160" s="977"/>
      <c r="J160" s="978"/>
      <c r="K160" s="1088"/>
      <c r="L160" s="1088"/>
      <c r="M160" s="1088"/>
      <c r="N160" s="1088"/>
      <c r="O160" s="1088"/>
    </row>
    <row r="161" spans="2:15" ht="15.75" hidden="1">
      <c r="B161" s="1">
        <v>1</v>
      </c>
      <c r="C161" s="1">
        <v>1</v>
      </c>
      <c r="D161" s="953"/>
      <c r="E161" s="155"/>
      <c r="F161" s="979" t="str">
        <f>IF(F160=$S$15,$T$10,IF(ROUNDDOWN(F160,0)=$S$10,$U$10,$T$10))</f>
        <v>　レベル　1</v>
      </c>
      <c r="G161" s="981" t="s">
        <v>2476</v>
      </c>
      <c r="H161" s="982"/>
      <c r="I161" s="982"/>
      <c r="J161" s="983"/>
      <c r="K161" s="1088"/>
      <c r="L161" s="1088"/>
      <c r="M161" s="1088"/>
      <c r="N161" s="1088"/>
      <c r="O161" s="1088"/>
    </row>
    <row r="162" spans="2:15" ht="15.75" hidden="1">
      <c r="B162" s="1">
        <v>2</v>
      </c>
      <c r="C162" s="1">
        <v>2</v>
      </c>
      <c r="D162" s="953"/>
      <c r="E162" s="155"/>
      <c r="F162" s="984" t="str">
        <f>IF(F160=$S$15,$T$11,IF(ROUNDDOWN(F160,0)=$S$11,$U$11,$T$11))</f>
        <v>　レベル　2</v>
      </c>
      <c r="G162" s="988"/>
      <c r="H162" s="989"/>
      <c r="I162" s="989"/>
      <c r="J162" s="990"/>
      <c r="K162" s="1088"/>
      <c r="L162" s="1088"/>
      <c r="M162" s="1088"/>
      <c r="N162" s="1088"/>
      <c r="O162" s="1088"/>
    </row>
    <row r="163" spans="2:15" ht="15.75" hidden="1">
      <c r="B163" s="1">
        <v>3</v>
      </c>
      <c r="C163" s="1">
        <v>3</v>
      </c>
      <c r="D163" s="953"/>
      <c r="E163" s="155"/>
      <c r="F163" s="984" t="str">
        <f>IF(F160=$S$15,$T$12,IF(ROUNDDOWN(F160,0)=$S$12,$U$12,$T$12))</f>
        <v>　レベル　3</v>
      </c>
      <c r="G163" s="988" t="s">
        <v>2477</v>
      </c>
      <c r="H163" s="989"/>
      <c r="I163" s="989"/>
      <c r="J163" s="990"/>
      <c r="K163" s="1088"/>
      <c r="L163" s="1088"/>
      <c r="M163" s="1088"/>
      <c r="N163" s="1088"/>
      <c r="O163" s="1088"/>
    </row>
    <row r="164" spans="2:15" ht="15.75" hidden="1">
      <c r="B164" s="1">
        <v>4</v>
      </c>
      <c r="C164" s="1">
        <v>4</v>
      </c>
      <c r="D164" s="953"/>
      <c r="E164" s="155"/>
      <c r="F164" s="984" t="str">
        <f>IF(F160=$S$15,$T$13,IF(ROUNDDOWN(F160,0)=$S$13,$U$13,$T$13))</f>
        <v>　レベル　4</v>
      </c>
      <c r="G164" s="988"/>
      <c r="H164" s="989"/>
      <c r="I164" s="989"/>
      <c r="J164" s="990"/>
      <c r="K164" s="1088"/>
      <c r="L164" s="1088"/>
      <c r="M164" s="1088"/>
      <c r="N164" s="1088"/>
      <c r="O164" s="1088"/>
    </row>
    <row r="165" spans="2:15" ht="15.75" hidden="1">
      <c r="B165" s="1">
        <v>5</v>
      </c>
      <c r="C165" s="1">
        <v>5</v>
      </c>
      <c r="D165" s="953"/>
      <c r="E165" s="155"/>
      <c r="F165" s="995" t="str">
        <f>IF(F160=$S$15,$T$14,IF(ROUNDDOWN(F160,0)=$S$14,$U$14,$T$14))</f>
        <v>　レベル　5</v>
      </c>
      <c r="G165" s="999" t="s">
        <v>1759</v>
      </c>
      <c r="H165" s="1000"/>
      <c r="I165" s="1000"/>
      <c r="J165" s="1001"/>
      <c r="K165" s="1088"/>
      <c r="L165" s="1088"/>
      <c r="M165" s="1088"/>
      <c r="N165" s="1088"/>
      <c r="O165" s="1088"/>
    </row>
    <row r="166" spans="2:15" ht="15.75">
      <c r="B166" s="1002">
        <v>0</v>
      </c>
      <c r="C166" s="1002">
        <v>0</v>
      </c>
      <c r="D166" s="953"/>
      <c r="E166" s="155"/>
      <c r="F166" s="1117"/>
      <c r="G166" s="1118"/>
      <c r="H166" s="1118"/>
      <c r="I166" s="1118"/>
      <c r="J166" s="1118"/>
      <c r="K166" s="1118"/>
      <c r="L166" s="1119"/>
      <c r="M166" s="1120"/>
      <c r="N166" s="1120"/>
      <c r="O166" s="1120"/>
    </row>
    <row r="167" spans="2:15" ht="15.75">
      <c r="D167" s="953"/>
      <c r="E167" s="155"/>
      <c r="F167" s="961" t="s">
        <v>2898</v>
      </c>
      <c r="G167" s="1038"/>
      <c r="H167" s="1083"/>
      <c r="I167" s="1004"/>
      <c r="J167" s="1041" t="str">
        <f>IF(OR(F169=0,AND(J168=0,O168=0)),$R$3,"")</f>
        <v/>
      </c>
      <c r="K167" s="1121"/>
      <c r="L167" s="1038"/>
      <c r="M167" s="1083"/>
      <c r="N167" s="1004"/>
      <c r="O167" s="1041"/>
    </row>
    <row r="168" spans="2:15" ht="16.5" thickBot="1">
      <c r="D168" s="953"/>
      <c r="E168" s="1096"/>
      <c r="F168" s="965" t="s">
        <v>487</v>
      </c>
      <c r="G168" s="966"/>
      <c r="H168" s="967"/>
      <c r="I168" s="968" t="s">
        <v>1358</v>
      </c>
      <c r="J168" s="971">
        <f>重み!M24</f>
        <v>0.21724137931034485</v>
      </c>
      <c r="K168" s="965" t="s">
        <v>1961</v>
      </c>
      <c r="L168" s="966"/>
      <c r="M168" s="967"/>
      <c r="N168" s="968" t="s">
        <v>1358</v>
      </c>
      <c r="O168" s="971">
        <f>重み!N24</f>
        <v>0.10344827586206896</v>
      </c>
    </row>
    <row r="169" spans="2:15" ht="16.5" thickBot="1">
      <c r="D169" s="953"/>
      <c r="E169" s="1096"/>
      <c r="F169" s="972">
        <v>3</v>
      </c>
      <c r="G169" s="1084" t="s">
        <v>2663</v>
      </c>
      <c r="H169" s="977"/>
      <c r="I169" s="977"/>
      <c r="J169" s="978"/>
      <c r="K169" s="972">
        <v>3</v>
      </c>
      <c r="L169" s="1084" t="s">
        <v>2664</v>
      </c>
      <c r="M169" s="978"/>
      <c r="N169" s="1084" t="s">
        <v>1760</v>
      </c>
      <c r="O169" s="978"/>
    </row>
    <row r="170" spans="2:15" ht="15.75" hidden="1">
      <c r="B170" s="1">
        <v>1</v>
      </c>
      <c r="C170" s="1">
        <v>1</v>
      </c>
      <c r="D170" s="953"/>
      <c r="E170" s="1096"/>
      <c r="F170" s="1122"/>
      <c r="G170" s="1084" t="s">
        <v>1261</v>
      </c>
      <c r="H170" s="977"/>
      <c r="I170" s="977"/>
      <c r="J170" s="978"/>
      <c r="K170" s="1122"/>
      <c r="L170" s="1090" t="s">
        <v>1261</v>
      </c>
      <c r="M170" s="1091"/>
      <c r="N170" s="1090"/>
      <c r="O170" s="1091"/>
    </row>
    <row r="171" spans="2:15" ht="60" hidden="1" customHeight="1">
      <c r="B171" s="1">
        <v>2</v>
      </c>
      <c r="C171" s="1">
        <v>2</v>
      </c>
      <c r="D171" s="953"/>
      <c r="E171" s="1097"/>
      <c r="F171" s="984" t="str">
        <f>IF(F169=$S$15,$T$10,IF(AND($O$3=$U$3,ROUNDDOWN(F169,0)=$S$10),$U$10,$T$10))</f>
        <v>　レベル　1</v>
      </c>
      <c r="G171" s="2731" t="s">
        <v>2665</v>
      </c>
      <c r="H171" s="2757"/>
      <c r="I171" s="2757"/>
      <c r="J171" s="2732"/>
      <c r="K171" s="984" t="str">
        <f>IF(K169=$S$15,$T$10,IF(AND($O$3=$U$3,ROUNDDOWN(K169,0)=$S$10),$U$10,$T$10))</f>
        <v>　レベル　1</v>
      </c>
      <c r="L171" s="2727" t="s">
        <v>1761</v>
      </c>
      <c r="M171" s="2734"/>
      <c r="N171" s="2727" t="s">
        <v>86</v>
      </c>
      <c r="O171" s="2734"/>
    </row>
    <row r="172" spans="2:15" ht="60" hidden="1" customHeight="1">
      <c r="B172" s="1">
        <v>3</v>
      </c>
      <c r="C172" s="1">
        <v>3</v>
      </c>
      <c r="D172" s="953"/>
      <c r="E172" s="1097"/>
      <c r="F172" s="984" t="str">
        <f>IF(F169=$S$15,$T$11,IF(AND($O$3=$U$3,ROUNDDOWN(F169,0)=$S$11),$U$11,$T$11))</f>
        <v>　レベル　2</v>
      </c>
      <c r="G172" s="988"/>
      <c r="H172" s="1095"/>
      <c r="I172" s="1123"/>
      <c r="J172" s="1094"/>
      <c r="K172" s="984" t="str">
        <f>IF(K169=$S$15,$T$11,IF(AND($O$3=$U$3,ROUNDDOWN(K169,0)=$S$11),$U$11,$T$11))</f>
        <v>　レベル　2</v>
      </c>
      <c r="L172" s="2727"/>
      <c r="M172" s="2734"/>
      <c r="N172" s="2727" t="s">
        <v>356</v>
      </c>
      <c r="O172" s="2734"/>
    </row>
    <row r="173" spans="2:15" ht="60" hidden="1" customHeight="1">
      <c r="B173" s="1">
        <v>4</v>
      </c>
      <c r="C173" s="1">
        <v>4</v>
      </c>
      <c r="D173" s="953"/>
      <c r="E173" s="1097"/>
      <c r="F173" s="984" t="str">
        <f>IF(F169=$S$15,$T$12,IF(AND($O$3=$U$3,ROUNDDOWN(F169,0)=$S$12),$U$12,$T$12))</f>
        <v>　レベル　3</v>
      </c>
      <c r="G173" s="2727" t="s">
        <v>2666</v>
      </c>
      <c r="H173" s="2802"/>
      <c r="I173" s="2802"/>
      <c r="J173" s="2803"/>
      <c r="K173" s="984" t="str">
        <f>IF(K169=$S$15,$T$12,IF(AND($O$3=$U$3,ROUNDDOWN(K169,0)=$S$12),$U$12,$T$12))</f>
        <v>　レベル　3</v>
      </c>
      <c r="L173" s="2727" t="s">
        <v>1762</v>
      </c>
      <c r="M173" s="2734"/>
      <c r="N173" s="2727" t="s">
        <v>357</v>
      </c>
      <c r="O173" s="2734"/>
    </row>
    <row r="174" spans="2:15" ht="45" hidden="1" customHeight="1">
      <c r="B174" s="1">
        <v>5</v>
      </c>
      <c r="C174" s="1">
        <v>5</v>
      </c>
      <c r="D174" s="953"/>
      <c r="E174" s="1097"/>
      <c r="F174" s="984" t="str">
        <f>IF(F169=$S$15,$T$13,IF(AND($O$3=$U$3,ROUNDDOWN(F169,0)=$S$13),$U$13,$T$13))</f>
        <v>　レベル　4</v>
      </c>
      <c r="G174" s="988"/>
      <c r="H174" s="1095"/>
      <c r="I174" s="1123"/>
      <c r="J174" s="994"/>
      <c r="K174" s="984" t="str">
        <f>IF(K169=$S$15,$T$13,IF(AND($O$3=$U$3,ROUNDDOWN(K169,0)=$S$13),$U$13,$T$13))</f>
        <v>　レベル　4</v>
      </c>
      <c r="L174" s="2727"/>
      <c r="M174" s="2734"/>
      <c r="N174" s="2727" t="s">
        <v>2168</v>
      </c>
      <c r="O174" s="2734"/>
    </row>
    <row r="175" spans="2:15" ht="60" hidden="1" customHeight="1">
      <c r="B175" s="1002">
        <v>0</v>
      </c>
      <c r="C175" s="1002">
        <v>0</v>
      </c>
      <c r="D175" s="953"/>
      <c r="E175" s="1097"/>
      <c r="F175" s="995" t="str">
        <f>IF(F169=$S$15,$T$14,IF(AND($O$3=$U$3,ROUNDDOWN(F169,0)=$S$14),$U$14,$T$14))</f>
        <v>　レベル　5</v>
      </c>
      <c r="G175" s="2724" t="s">
        <v>2667</v>
      </c>
      <c r="H175" s="2800"/>
      <c r="I175" s="2800"/>
      <c r="J175" s="2801"/>
      <c r="K175" s="995" t="str">
        <f>IF(K169=$S$15,$T$14,IF(AND($O$3=$U$3,ROUNDDOWN(K169,0)=$S$14),$U$14,$T$14))</f>
        <v>　レベル　5</v>
      </c>
      <c r="L175" s="2727" t="s">
        <v>1763</v>
      </c>
      <c r="M175" s="2734"/>
      <c r="N175" s="2727" t="s">
        <v>358</v>
      </c>
      <c r="O175" s="2734"/>
    </row>
    <row r="176" spans="2:15" ht="15.75" hidden="1">
      <c r="D176" s="953"/>
      <c r="E176" s="1097"/>
      <c r="F176" s="1086"/>
      <c r="G176" s="977" t="s">
        <v>1260</v>
      </c>
      <c r="H176" s="1104"/>
      <c r="I176" s="1104"/>
      <c r="J176" s="1104"/>
      <c r="K176" s="1086"/>
      <c r="L176" s="1104" t="s">
        <v>1260</v>
      </c>
      <c r="M176" s="1104"/>
      <c r="N176" s="1104"/>
      <c r="O176" s="1124"/>
    </row>
    <row r="177" spans="2:15" ht="84.75" customHeight="1">
      <c r="D177" s="953"/>
      <c r="E177" s="1097"/>
      <c r="F177" s="1087" t="str">
        <f>IF(F169=$S$15,$T$10,IF(AND($O$3&lt;&gt;$U$3,ROUNDDOWN(F169,0)=$S$10),$U$10,$T$10))</f>
        <v>　レベル　1</v>
      </c>
      <c r="G177" s="2731" t="s">
        <v>2668</v>
      </c>
      <c r="H177" s="2789"/>
      <c r="I177" s="2789"/>
      <c r="J177" s="2733"/>
      <c r="K177" s="1087" t="str">
        <f>IF(K169=$S$15,$T$10,IF(AND($O$3&lt;&gt;$U$3,ROUNDDOWN(K169,0)=$S$10),$U$10,$T$10))</f>
        <v>　レベル　1</v>
      </c>
      <c r="L177" s="2731" t="s">
        <v>2669</v>
      </c>
      <c r="M177" s="2733"/>
      <c r="N177" s="2727" t="s">
        <v>359</v>
      </c>
      <c r="O177" s="2734"/>
    </row>
    <row r="178" spans="2:15" ht="49.5" customHeight="1">
      <c r="D178" s="953"/>
      <c r="E178" s="1097"/>
      <c r="F178" s="984" t="str">
        <f>IF(F169=$S$15,$T$11,IF(AND($O$3&lt;&gt;$U$3,ROUNDDOWN(F169,0)=$S$11),$U$11,$T$11))</f>
        <v>　レベル　2</v>
      </c>
      <c r="G178" s="2727"/>
      <c r="H178" s="2752"/>
      <c r="I178" s="2752"/>
      <c r="J178" s="2734"/>
      <c r="K178" s="984" t="str">
        <f>IF(K169=$S$15,$T$11,IF(AND($O$3&lt;&gt;$U$3,ROUNDDOWN(K169,0)=$S$11),$U$11,$T$11))</f>
        <v>　レベル　2</v>
      </c>
      <c r="L178" s="988"/>
      <c r="M178" s="1095"/>
      <c r="N178" s="2727" t="s">
        <v>360</v>
      </c>
      <c r="O178" s="2734"/>
    </row>
    <row r="179" spans="2:15" ht="91.5" customHeight="1">
      <c r="D179" s="953"/>
      <c r="E179" s="1097"/>
      <c r="F179" s="984" t="str">
        <f>IF(F169=$S$15,$T$12,IF(AND($O$3&lt;&gt;$U$3,ROUNDDOWN(F169,0)=$S$12),$U$12,$T$12))</f>
        <v>■レベル　3</v>
      </c>
      <c r="G179" s="2727" t="s">
        <v>2900</v>
      </c>
      <c r="H179" s="2752"/>
      <c r="I179" s="2752"/>
      <c r="J179" s="2734"/>
      <c r="K179" s="984" t="str">
        <f>IF(K169=$S$15,$T$12,IF(AND($O$3&lt;&gt;$U$3,ROUNDDOWN(K169,0)=$S$12),$U$12,$T$12))</f>
        <v>■レベル　3</v>
      </c>
      <c r="L179" s="2727" t="s">
        <v>2901</v>
      </c>
      <c r="M179" s="2734"/>
      <c r="N179" s="2727" t="s">
        <v>361</v>
      </c>
      <c r="O179" s="2734"/>
    </row>
    <row r="180" spans="2:15" ht="15.75">
      <c r="D180" s="953"/>
      <c r="E180" s="1097"/>
      <c r="F180" s="984" t="str">
        <f>IF(F169=$S$15,$T$13,IF(AND($O$3&lt;&gt;$U$3,ROUNDDOWN(F169,0)=$S$13),$U$13,$T$13))</f>
        <v>　レベル　4</v>
      </c>
      <c r="G180" s="2727"/>
      <c r="H180" s="2752"/>
      <c r="I180" s="2752"/>
      <c r="J180" s="2734"/>
      <c r="K180" s="984" t="str">
        <f>IF(K169=$S$15,$T$13,IF(AND($O$3&lt;&gt;$U$3,ROUNDDOWN(K169,0)=$S$13),$U$13,$T$13))</f>
        <v>　レベル　4</v>
      </c>
      <c r="L180" s="988"/>
      <c r="M180" s="1095"/>
      <c r="N180" s="2727" t="s">
        <v>2168</v>
      </c>
      <c r="O180" s="2734"/>
    </row>
    <row r="181" spans="2:15" ht="93.75" customHeight="1">
      <c r="D181" s="953"/>
      <c r="E181" s="1097"/>
      <c r="F181" s="995" t="str">
        <f>IF(F169=$S$15,$T$14,IF(AND($O$3&lt;&gt;$U$3,ROUNDDOWN(F169,0)=$S$14),$U$14,$T$14))</f>
        <v>　レベル　5</v>
      </c>
      <c r="G181" s="2724" t="s">
        <v>2836</v>
      </c>
      <c r="H181" s="2753"/>
      <c r="I181" s="2753"/>
      <c r="J181" s="2743"/>
      <c r="K181" s="995" t="str">
        <f>IF(K169=$S$15,$T$14,IF(AND($O$3&lt;&gt;$U$3,ROUNDDOWN(K169,0)=$S$14),$U$14,$T$14))</f>
        <v>　レベル　5</v>
      </c>
      <c r="L181" s="2724" t="s">
        <v>2902</v>
      </c>
      <c r="M181" s="2743"/>
      <c r="N181" s="2724" t="s">
        <v>362</v>
      </c>
      <c r="O181" s="2743"/>
    </row>
    <row r="182" spans="2:15" ht="15.75">
      <c r="D182" s="953"/>
      <c r="E182" s="155"/>
      <c r="F182" s="155"/>
      <c r="G182" s="1088"/>
      <c r="H182" s="1088"/>
      <c r="I182" s="1088"/>
      <c r="J182" s="1088"/>
      <c r="K182" s="1088"/>
      <c r="L182" s="1088"/>
      <c r="M182" s="1088"/>
      <c r="N182" s="1088"/>
      <c r="O182" s="1088"/>
    </row>
    <row r="183" spans="2:15" ht="15.75">
      <c r="D183" s="953"/>
      <c r="E183" s="1097"/>
      <c r="F183" s="1101" t="s">
        <v>2903</v>
      </c>
      <c r="G183" s="1038"/>
      <c r="H183" s="1083"/>
      <c r="I183" s="1004"/>
      <c r="J183" s="1041" t="str">
        <f>IF(OR(F185=0,J184=0),$R$3,"")</f>
        <v/>
      </c>
      <c r="K183" s="1088"/>
      <c r="L183" s="1088"/>
      <c r="M183" s="1088"/>
      <c r="N183" s="1088"/>
      <c r="O183" s="1088"/>
    </row>
    <row r="184" spans="2:15" ht="16.5" thickBot="1">
      <c r="D184" s="953"/>
      <c r="E184" s="1097"/>
      <c r="F184" s="1102" t="s">
        <v>2481</v>
      </c>
      <c r="G184" s="1103"/>
      <c r="H184" s="1104"/>
      <c r="I184" s="968" t="s">
        <v>1358</v>
      </c>
      <c r="J184" s="966">
        <f>重み!M25</f>
        <v>0.16551724137931034</v>
      </c>
      <c r="K184" s="1103"/>
      <c r="L184" s="1105"/>
      <c r="M184" s="1129" t="s">
        <v>502</v>
      </c>
      <c r="N184" s="1130"/>
      <c r="O184" s="2533" t="s">
        <v>1316</v>
      </c>
    </row>
    <row r="185" spans="2:15" ht="16.5" thickBot="1">
      <c r="D185" s="953"/>
      <c r="E185" s="1097"/>
      <c r="F185" s="972">
        <v>3</v>
      </c>
      <c r="G185" s="977" t="s">
        <v>3385</v>
      </c>
      <c r="H185" s="977"/>
      <c r="I185" s="978"/>
      <c r="J185" s="1084" t="s">
        <v>3386</v>
      </c>
      <c r="K185" s="977"/>
      <c r="L185" s="977"/>
      <c r="M185" s="1131" t="s">
        <v>1764</v>
      </c>
      <c r="N185" s="1132"/>
      <c r="O185" s="2534"/>
    </row>
    <row r="186" spans="2:15" ht="51.75" customHeight="1">
      <c r="B186" s="1">
        <v>1</v>
      </c>
      <c r="C186" s="1">
        <v>1</v>
      </c>
      <c r="D186" s="953"/>
      <c r="E186" s="1097"/>
      <c r="F186" s="979" t="str">
        <f>IF(F185=$S$15,$T$10,IF(ROUNDDOWN(F185,0)=$S$10,$U$10,$T$10))</f>
        <v>　レベル　1</v>
      </c>
      <c r="G186" s="2731" t="s">
        <v>1765</v>
      </c>
      <c r="H186" s="2757"/>
      <c r="I186" s="2732"/>
      <c r="J186" s="2731" t="s">
        <v>503</v>
      </c>
      <c r="K186" s="2789"/>
      <c r="L186" s="2789"/>
      <c r="M186" s="2798" t="s">
        <v>504</v>
      </c>
      <c r="N186" s="2799"/>
      <c r="O186" s="2540" t="s">
        <v>3388</v>
      </c>
    </row>
    <row r="187" spans="2:15" ht="15.75">
      <c r="B187" s="1">
        <v>2</v>
      </c>
      <c r="C187" s="1">
        <v>2</v>
      </c>
      <c r="D187" s="953"/>
      <c r="E187" s="1097"/>
      <c r="F187" s="984" t="str">
        <f>IF(F185=$S$15,$T$11,IF(ROUNDDOWN(F185,0)=$S$11,$U$11,$T$11))</f>
        <v>　レベル　2</v>
      </c>
      <c r="G187" s="1133"/>
      <c r="H187" s="1134"/>
      <c r="I187" s="1135"/>
      <c r="J187" s="988"/>
      <c r="K187" s="989"/>
      <c r="L187" s="989"/>
      <c r="M187" s="1136"/>
      <c r="N187" s="1137"/>
      <c r="O187" s="2535"/>
    </row>
    <row r="188" spans="2:15" ht="55.5" customHeight="1">
      <c r="B188" s="1">
        <v>3</v>
      </c>
      <c r="C188" s="1">
        <v>3</v>
      </c>
      <c r="D188" s="953"/>
      <c r="E188" s="1097"/>
      <c r="F188" s="984" t="str">
        <f>IF(F185=$S$15,$T$12,IF(ROUNDDOWN(F185,0)=$S$12,$U$12,$T$12))</f>
        <v>■レベル　3</v>
      </c>
      <c r="G188" s="2727" t="s">
        <v>505</v>
      </c>
      <c r="H188" s="2752"/>
      <c r="I188" s="2734"/>
      <c r="J188" s="2727" t="s">
        <v>326</v>
      </c>
      <c r="K188" s="2752"/>
      <c r="L188" s="2752"/>
      <c r="M188" s="2794" t="s">
        <v>327</v>
      </c>
      <c r="N188" s="2795"/>
      <c r="O188" s="2535"/>
    </row>
    <row r="189" spans="2:15" ht="55.5" customHeight="1">
      <c r="B189" s="1">
        <v>4</v>
      </c>
      <c r="C189" s="1">
        <v>4</v>
      </c>
      <c r="D189" s="953"/>
      <c r="E189" s="1097"/>
      <c r="F189" s="984" t="str">
        <f>IF(F185=$S$15,$T$13,IF(ROUNDDOWN(F185,0)=$S$13,$U$13,$T$13))</f>
        <v>　レベル　4</v>
      </c>
      <c r="G189" s="2727" t="s">
        <v>328</v>
      </c>
      <c r="H189" s="2752"/>
      <c r="I189" s="2734"/>
      <c r="J189" s="2727" t="s">
        <v>2163</v>
      </c>
      <c r="K189" s="2752"/>
      <c r="L189" s="2752"/>
      <c r="M189" s="2794" t="s">
        <v>329</v>
      </c>
      <c r="N189" s="2795"/>
      <c r="O189" s="2535"/>
    </row>
    <row r="190" spans="2:15" ht="55.5" customHeight="1">
      <c r="B190" s="1">
        <v>5</v>
      </c>
      <c r="C190" s="1">
        <v>5</v>
      </c>
      <c r="D190" s="953"/>
      <c r="E190" s="1097"/>
      <c r="F190" s="995" t="str">
        <f>IF(F185=$S$15,$T$14,IF(ROUNDDOWN(F185,0)=$S$14,$U$14,$T$14))</f>
        <v>　レベル　5</v>
      </c>
      <c r="G190" s="2724" t="s">
        <v>605</v>
      </c>
      <c r="H190" s="2753"/>
      <c r="I190" s="2743"/>
      <c r="J190" s="2724" t="s">
        <v>330</v>
      </c>
      <c r="K190" s="2753"/>
      <c r="L190" s="2753"/>
      <c r="M190" s="2796" t="s">
        <v>1885</v>
      </c>
      <c r="N190" s="2797"/>
      <c r="O190" s="2536"/>
    </row>
    <row r="191" spans="2:15" ht="15.75" hidden="1">
      <c r="B191" s="1002">
        <v>0</v>
      </c>
      <c r="C191" s="1002">
        <v>0</v>
      </c>
      <c r="D191" s="953"/>
      <c r="E191" s="537"/>
      <c r="F191" s="537"/>
      <c r="G191" s="1037"/>
      <c r="H191" s="1037"/>
      <c r="I191" s="1037"/>
      <c r="J191" s="1037"/>
      <c r="K191" s="1088"/>
      <c r="L191" s="1088"/>
      <c r="M191" s="1088"/>
      <c r="N191" s="1088"/>
      <c r="O191" s="1088"/>
    </row>
    <row r="192" spans="2:15" ht="15.75" hidden="1">
      <c r="D192" s="953"/>
      <c r="E192" s="1096"/>
      <c r="F192" s="961" t="s">
        <v>1886</v>
      </c>
      <c r="G192" s="1038"/>
      <c r="H192" s="1083"/>
      <c r="I192" s="1004"/>
      <c r="J192" s="1041" t="str">
        <f>IF(OR(F194=0,AND(J193=0,O193=0)),$R$3,"")</f>
        <v>&lt;評価しない&gt;</v>
      </c>
      <c r="K192" s="1037"/>
      <c r="L192" s="1038"/>
      <c r="M192" s="1083"/>
      <c r="N192" s="1004"/>
      <c r="O192" s="1004"/>
    </row>
    <row r="193" spans="2:15" ht="15.75" hidden="1">
      <c r="D193" s="953"/>
      <c r="E193" s="1096"/>
      <c r="F193" s="965" t="s">
        <v>2481</v>
      </c>
      <c r="G193" s="966"/>
      <c r="H193" s="967"/>
      <c r="I193" s="968" t="s">
        <v>1358</v>
      </c>
      <c r="J193" s="971">
        <f>重み!M26</f>
        <v>0.11724137931034484</v>
      </c>
      <c r="K193" s="965" t="s">
        <v>1961</v>
      </c>
      <c r="L193" s="966"/>
      <c r="M193" s="967"/>
      <c r="N193" s="968" t="s">
        <v>1358</v>
      </c>
      <c r="O193" s="971">
        <f>重み!N26</f>
        <v>0</v>
      </c>
    </row>
    <row r="194" spans="2:15" ht="16.5" hidden="1" thickBot="1">
      <c r="D194" s="953"/>
      <c r="E194" s="1096"/>
      <c r="F194" s="972">
        <v>0</v>
      </c>
      <c r="G194" s="976" t="s">
        <v>1887</v>
      </c>
      <c r="H194" s="977"/>
      <c r="I194" s="977"/>
      <c r="J194" s="977"/>
      <c r="K194" s="972">
        <v>0</v>
      </c>
      <c r="L194" s="1084" t="s">
        <v>1110</v>
      </c>
      <c r="M194" s="978"/>
      <c r="N194" s="1084"/>
      <c r="O194" s="1089"/>
    </row>
    <row r="195" spans="2:15" ht="15.75" hidden="1" customHeight="1">
      <c r="B195" s="1">
        <v>1</v>
      </c>
      <c r="C195" s="1">
        <v>1</v>
      </c>
      <c r="D195" s="953"/>
      <c r="E195" s="1097"/>
      <c r="F195" s="979" t="str">
        <f>IF(F194=$S$15,$T$10,IF(ROUNDDOWN(F194,0)=$S$10,$U$10,$T$10))</f>
        <v>　レベル　1</v>
      </c>
      <c r="G195" s="2731" t="s">
        <v>1888</v>
      </c>
      <c r="H195" s="2757"/>
      <c r="I195" s="2757"/>
      <c r="J195" s="2732"/>
      <c r="K195" s="979" t="str">
        <f>IF(K194=$S$15,$T$10,IF(ROUNDDOWN(K194,0)=$S$10,$U$10,$T$10))</f>
        <v>　レベル　1</v>
      </c>
      <c r="L195" s="2731" t="s">
        <v>1888</v>
      </c>
      <c r="M195" s="2757"/>
      <c r="N195" s="2757"/>
      <c r="O195" s="2732"/>
    </row>
    <row r="196" spans="2:15" ht="15.75" hidden="1" customHeight="1">
      <c r="B196" s="1">
        <v>2</v>
      </c>
      <c r="C196" s="1">
        <v>2</v>
      </c>
      <c r="D196" s="953"/>
      <c r="E196" s="1097"/>
      <c r="F196" s="984" t="str">
        <f>IF(F194=$S$15,$T$11,IF(ROUNDDOWN(F194,0)=$S$11,$U$11,$T$11))</f>
        <v>　レベル　2</v>
      </c>
      <c r="G196" s="2727" t="s">
        <v>1889</v>
      </c>
      <c r="H196" s="2752"/>
      <c r="I196" s="2752"/>
      <c r="J196" s="2734"/>
      <c r="K196" s="984" t="str">
        <f>IF(K194=$S$15,$T$11,IF(ROUNDDOWN(K194,0)=$S$11,$U$11,$T$11))</f>
        <v>　レベル　2</v>
      </c>
      <c r="L196" s="2758" t="s">
        <v>1889</v>
      </c>
      <c r="M196" s="2759"/>
      <c r="N196" s="2759"/>
      <c r="O196" s="2760"/>
    </row>
    <row r="197" spans="2:15" ht="15.75" hidden="1" customHeight="1">
      <c r="B197" s="1">
        <v>3</v>
      </c>
      <c r="C197" s="1">
        <v>3</v>
      </c>
      <c r="D197" s="953"/>
      <c r="E197" s="1097"/>
      <c r="F197" s="984" t="str">
        <f>IF(F194=$S$15,$T$12,IF(ROUNDDOWN(F194,0)=$S$12,$U$12,$T$12))</f>
        <v>　レベル　3</v>
      </c>
      <c r="G197" s="2727" t="s">
        <v>1890</v>
      </c>
      <c r="H197" s="2752"/>
      <c r="I197" s="2752"/>
      <c r="J197" s="2734"/>
      <c r="K197" s="984" t="str">
        <f>IF(K194=$S$15,$T$12,IF(ROUNDDOWN(K194,0)=$S$12,$U$12,$T$12))</f>
        <v>　レベル　3</v>
      </c>
      <c r="L197" s="2758" t="s">
        <v>606</v>
      </c>
      <c r="M197" s="2759"/>
      <c r="N197" s="2759"/>
      <c r="O197" s="2760"/>
    </row>
    <row r="198" spans="2:15" ht="15.75" hidden="1">
      <c r="B198" s="1">
        <v>4</v>
      </c>
      <c r="C198" s="1">
        <v>4</v>
      </c>
      <c r="D198" s="953"/>
      <c r="E198" s="1097"/>
      <c r="F198" s="984" t="str">
        <f>IF(F194=$S$15,$T$13,IF(ROUNDDOWN(F194,0)=$S$13,$U$13,$T$13))</f>
        <v>　レベル　4</v>
      </c>
      <c r="G198" s="1138"/>
      <c r="H198" s="1139"/>
      <c r="I198" s="1134"/>
      <c r="J198" s="1135"/>
      <c r="K198" s="984" t="str">
        <f>IF(K194=$S$15,$T$13,IF(ROUNDDOWN(K194,0)=$S$13,$U$13,$T$13))</f>
        <v>　レベル　4</v>
      </c>
      <c r="L198" s="2758"/>
      <c r="M198" s="2759"/>
      <c r="N198" s="2759"/>
      <c r="O198" s="2760"/>
    </row>
    <row r="199" spans="2:15" ht="15.75" hidden="1" customHeight="1">
      <c r="B199" s="1">
        <v>5</v>
      </c>
      <c r="C199" s="1">
        <v>5</v>
      </c>
      <c r="D199" s="953"/>
      <c r="E199" s="1097"/>
      <c r="F199" s="995" t="str">
        <f>IF(F194=$S$15,$T$14,IF(ROUNDDOWN(F194,0)=$S$14,$U$14,$T$14))</f>
        <v>　レベル　5</v>
      </c>
      <c r="G199" s="2791" t="s">
        <v>1891</v>
      </c>
      <c r="H199" s="2792"/>
      <c r="I199" s="2792"/>
      <c r="J199" s="2793"/>
      <c r="K199" s="995" t="str">
        <f>IF(K194=$S$15,$T$14,IF(ROUNDDOWN(K194,0)=$S$14,$U$14,$T$14))</f>
        <v>　レベル　5</v>
      </c>
      <c r="L199" s="2791" t="s">
        <v>607</v>
      </c>
      <c r="M199" s="2792"/>
      <c r="N199" s="2792"/>
      <c r="O199" s="2793"/>
    </row>
    <row r="200" spans="2:15" ht="15.75" hidden="1">
      <c r="B200" s="1002">
        <v>0</v>
      </c>
      <c r="C200" s="1002">
        <v>0</v>
      </c>
      <c r="D200" s="953"/>
      <c r="E200" s="1097"/>
      <c r="F200" s="1140"/>
      <c r="G200" s="1120"/>
      <c r="H200" s="1118"/>
      <c r="I200" s="1118"/>
      <c r="J200" s="1118"/>
      <c r="K200" s="1120"/>
      <c r="L200" s="1120"/>
      <c r="M200" s="1120"/>
      <c r="N200" s="1120"/>
      <c r="O200" s="1037"/>
    </row>
    <row r="201" spans="2:15" ht="15.75" hidden="1">
      <c r="D201" s="953"/>
      <c r="E201" s="1097"/>
      <c r="F201" s="961" t="s">
        <v>1892</v>
      </c>
      <c r="G201" s="1038"/>
      <c r="H201" s="1083"/>
      <c r="I201" s="1004"/>
      <c r="J201" s="1041" t="str">
        <f>IF(OR(F203=0,J202=0),$R$3,"")</f>
        <v>&lt;評価しない&gt;</v>
      </c>
      <c r="K201" s="1120"/>
      <c r="L201" s="1120"/>
      <c r="M201" s="1120"/>
      <c r="N201" s="1120"/>
      <c r="O201" s="1037"/>
    </row>
    <row r="202" spans="2:15" ht="15.75" hidden="1">
      <c r="D202" s="953"/>
      <c r="E202" s="1097"/>
      <c r="F202" s="965" t="s">
        <v>608</v>
      </c>
      <c r="G202" s="966"/>
      <c r="H202" s="967"/>
      <c r="I202" s="968" t="s">
        <v>1358</v>
      </c>
      <c r="J202" s="971">
        <f>重み!N27</f>
        <v>6.8965517241379323E-2</v>
      </c>
      <c r="K202" s="1120"/>
      <c r="L202" s="1120"/>
      <c r="M202" s="1120"/>
      <c r="N202" s="1120"/>
      <c r="O202" s="1037"/>
    </row>
    <row r="203" spans="2:15" ht="16.5" hidden="1" thickBot="1">
      <c r="D203" s="953"/>
      <c r="E203" s="1097"/>
      <c r="F203" s="972">
        <v>0</v>
      </c>
      <c r="G203" s="2782" t="s">
        <v>1110</v>
      </c>
      <c r="H203" s="2790"/>
      <c r="I203" s="2790" t="s">
        <v>1893</v>
      </c>
      <c r="J203" s="2790"/>
      <c r="K203" s="1120"/>
      <c r="L203" s="1120"/>
      <c r="M203" s="1120"/>
      <c r="N203" s="1120"/>
      <c r="O203" s="1037"/>
    </row>
    <row r="204" spans="2:15" ht="15.75" hidden="1" customHeight="1">
      <c r="B204" s="1">
        <v>1</v>
      </c>
      <c r="C204" s="1">
        <v>1</v>
      </c>
      <c r="D204" s="953"/>
      <c r="E204" s="1097"/>
      <c r="F204" s="979" t="str">
        <f>IF(F203=$S$15,$T$10,IF(ROUNDDOWN(F203,0)=$S$10,$U$10,$T$10))</f>
        <v>　レベル　1</v>
      </c>
      <c r="G204" s="2731" t="s">
        <v>1894</v>
      </c>
      <c r="H204" s="2732"/>
      <c r="I204" s="2731" t="s">
        <v>409</v>
      </c>
      <c r="J204" s="2733"/>
      <c r="K204" s="1120"/>
      <c r="L204" s="1120"/>
      <c r="M204" s="1120"/>
      <c r="N204" s="1120"/>
      <c r="O204" s="1037"/>
    </row>
    <row r="205" spans="2:15" ht="15.75" hidden="1">
      <c r="B205" s="1">
        <v>2</v>
      </c>
      <c r="C205" s="1">
        <v>2</v>
      </c>
      <c r="D205" s="953"/>
      <c r="E205" s="1097"/>
      <c r="F205" s="984" t="str">
        <f>IF(F203=$S$15,$T$11,IF(ROUNDDOWN(F203,0)=$S$11,$U$11,$T$11))</f>
        <v>　レベル　2</v>
      </c>
      <c r="G205" s="992"/>
      <c r="H205" s="994"/>
      <c r="I205" s="992"/>
      <c r="J205" s="994"/>
      <c r="K205" s="1120"/>
      <c r="L205" s="1120"/>
      <c r="M205" s="1120"/>
      <c r="N205" s="1120"/>
      <c r="O205" s="1037"/>
    </row>
    <row r="206" spans="2:15" ht="15.75" hidden="1" customHeight="1">
      <c r="B206" s="1">
        <v>3</v>
      </c>
      <c r="C206" s="1">
        <v>3</v>
      </c>
      <c r="D206" s="953"/>
      <c r="E206" s="1097"/>
      <c r="F206" s="984" t="str">
        <f>IF(F203=$S$15,$T$12,IF(ROUNDDOWN(F203,0)=$S$12,$U$12,$T$12))</f>
        <v>　レベル　3</v>
      </c>
      <c r="G206" s="2727" t="s">
        <v>1895</v>
      </c>
      <c r="H206" s="2729"/>
      <c r="I206" s="2727" t="s">
        <v>1896</v>
      </c>
      <c r="J206" s="2734"/>
      <c r="K206" s="1120"/>
      <c r="L206" s="1120"/>
      <c r="M206" s="1120"/>
      <c r="N206" s="1120"/>
      <c r="O206" s="1037"/>
    </row>
    <row r="207" spans="2:15" ht="15.75" hidden="1">
      <c r="B207" s="1">
        <v>4</v>
      </c>
      <c r="C207" s="1">
        <v>4</v>
      </c>
      <c r="D207" s="953"/>
      <c r="E207" s="1097"/>
      <c r="F207" s="984" t="str">
        <f>IF(F203=$S$15,$T$13,IF(ROUNDDOWN(F203,0)=$S$13,$U$13,$T$13))</f>
        <v>　レベル　4</v>
      </c>
      <c r="G207" s="992"/>
      <c r="H207" s="994"/>
      <c r="I207" s="992"/>
      <c r="J207" s="994"/>
      <c r="K207" s="1120"/>
      <c r="L207" s="1120"/>
      <c r="M207" s="1120"/>
      <c r="N207" s="1120"/>
      <c r="O207" s="1037"/>
    </row>
    <row r="208" spans="2:15" ht="15.75" hidden="1" customHeight="1">
      <c r="B208" s="1">
        <v>5</v>
      </c>
      <c r="C208" s="1">
        <v>5</v>
      </c>
      <c r="D208" s="953"/>
      <c r="E208" s="1097"/>
      <c r="F208" s="995" t="str">
        <f>IF(F203=$S$15,$T$14,IF(ROUNDDOWN(F203,0)=$S$14,$U$14,$T$14))</f>
        <v>　レベル　5</v>
      </c>
      <c r="G208" s="2724" t="s">
        <v>1897</v>
      </c>
      <c r="H208" s="2730"/>
      <c r="I208" s="2724" t="s">
        <v>1898</v>
      </c>
      <c r="J208" s="2743"/>
      <c r="K208" s="1120"/>
      <c r="L208" s="1120"/>
      <c r="M208" s="1120"/>
      <c r="N208" s="1120"/>
      <c r="O208" s="1037"/>
    </row>
    <row r="209" spans="2:15" ht="15.75" hidden="1">
      <c r="B209" s="1002">
        <v>0</v>
      </c>
      <c r="C209" s="1002">
        <v>0</v>
      </c>
      <c r="D209" s="953"/>
      <c r="E209" s="1097"/>
      <c r="F209" s="1140"/>
      <c r="G209" s="1120"/>
      <c r="H209" s="1118"/>
      <c r="I209" s="1118"/>
      <c r="J209" s="1118"/>
      <c r="K209" s="1120"/>
      <c r="L209" s="1120"/>
      <c r="M209" s="1120"/>
      <c r="N209" s="1120"/>
      <c r="O209" s="1037"/>
    </row>
    <row r="210" spans="2:15" ht="15.75" hidden="1">
      <c r="D210" s="953"/>
      <c r="E210" s="1096"/>
      <c r="F210" s="961" t="s">
        <v>279</v>
      </c>
      <c r="G210" s="1038"/>
      <c r="H210" s="1083"/>
      <c r="I210" s="1004"/>
      <c r="J210" s="1041" t="str">
        <f>IF(OR(F212=0,J211=0),$R$3,"")</f>
        <v>&lt;評価しない&gt;</v>
      </c>
      <c r="K210" s="1121" t="s">
        <v>1899</v>
      </c>
      <c r="L210" s="1038"/>
      <c r="M210" s="1083"/>
      <c r="N210" s="1004"/>
      <c r="O210" s="1041" t="str">
        <f>IF(OR(K212=0,O211=0),$R$3,"")</f>
        <v>&lt;評価しない&gt;</v>
      </c>
    </row>
    <row r="211" spans="2:15" ht="15.75" hidden="1">
      <c r="D211" s="953"/>
      <c r="E211" s="1096"/>
      <c r="F211" s="965" t="s">
        <v>280</v>
      </c>
      <c r="G211" s="966"/>
      <c r="H211" s="967"/>
      <c r="I211" s="968" t="s">
        <v>1358</v>
      </c>
      <c r="J211" s="971">
        <f>重み!M28</f>
        <v>8.9655172413793116E-2</v>
      </c>
      <c r="K211" s="965" t="s">
        <v>2000</v>
      </c>
      <c r="L211" s="966"/>
      <c r="M211" s="967"/>
      <c r="N211" s="968" t="s">
        <v>1358</v>
      </c>
      <c r="O211" s="971">
        <f>重み!M29</f>
        <v>0</v>
      </c>
    </row>
    <row r="212" spans="2:15" ht="16.5" hidden="1" thickBot="1">
      <c r="D212" s="953"/>
      <c r="E212" s="1096"/>
      <c r="F212" s="972">
        <v>0</v>
      </c>
      <c r="G212" s="976" t="s">
        <v>1900</v>
      </c>
      <c r="H212" s="977"/>
      <c r="I212" s="977"/>
      <c r="J212" s="978"/>
      <c r="K212" s="972">
        <v>0</v>
      </c>
      <c r="L212" s="1084" t="s">
        <v>1901</v>
      </c>
      <c r="M212" s="978"/>
      <c r="N212" s="1084"/>
      <c r="O212" s="1089"/>
    </row>
    <row r="213" spans="2:15" ht="15.75" hidden="1" customHeight="1">
      <c r="B213" s="1">
        <v>1</v>
      </c>
      <c r="C213" s="1">
        <v>1</v>
      </c>
      <c r="D213" s="953"/>
      <c r="E213" s="1097"/>
      <c r="F213" s="979" t="str">
        <f>IF(F212=$S$15,$T$10,IF(ROUNDDOWN(F212,0)=$S$10,$U$10,$T$10))</f>
        <v>　レベル　1</v>
      </c>
      <c r="G213" s="2731" t="s">
        <v>1902</v>
      </c>
      <c r="H213" s="2789"/>
      <c r="I213" s="2789"/>
      <c r="J213" s="2733"/>
      <c r="K213" s="979" t="str">
        <f>IF(K212=$S$15,$T$10,IF(ROUNDDOWN(K212,0)=$S$10,$U$10,$T$10))</f>
        <v>　レベル　1</v>
      </c>
      <c r="L213" s="2731" t="s">
        <v>1903</v>
      </c>
      <c r="M213" s="2757"/>
      <c r="N213" s="2757"/>
      <c r="O213" s="2732"/>
    </row>
    <row r="214" spans="2:15" ht="15.75" hidden="1">
      <c r="B214" s="1">
        <v>2</v>
      </c>
      <c r="C214" s="1">
        <v>2</v>
      </c>
      <c r="D214" s="953"/>
      <c r="E214" s="1097"/>
      <c r="F214" s="984" t="str">
        <f>IF(F212=$S$15,$T$11,IF(ROUNDDOWN(F212,0)=$S$11,$U$11,$T$11))</f>
        <v>　レベル　2</v>
      </c>
      <c r="G214" s="2727"/>
      <c r="H214" s="2752"/>
      <c r="I214" s="2752"/>
      <c r="J214" s="2734"/>
      <c r="K214" s="984" t="str">
        <f>IF(K212=$S$15,$T$11,IF(ROUNDDOWN(K212,0)=$S$11,$U$11,$T$11))</f>
        <v>　レベル　2</v>
      </c>
      <c r="L214" s="2758"/>
      <c r="M214" s="2759"/>
      <c r="N214" s="2759"/>
      <c r="O214" s="2760"/>
    </row>
    <row r="215" spans="2:15" ht="15.75" hidden="1" customHeight="1">
      <c r="B215" s="1">
        <v>3</v>
      </c>
      <c r="C215" s="1">
        <v>3</v>
      </c>
      <c r="D215" s="953"/>
      <c r="E215" s="1097"/>
      <c r="F215" s="984" t="str">
        <f>IF(F212=$S$15,$T$12,IF(ROUNDDOWN(F212,0)=$S$12,$U$12,$T$12))</f>
        <v>　レベル　3</v>
      </c>
      <c r="G215" s="2727" t="s">
        <v>439</v>
      </c>
      <c r="H215" s="2752"/>
      <c r="I215" s="2752"/>
      <c r="J215" s="2734"/>
      <c r="K215" s="984" t="str">
        <f>IF(K212=$S$15,$T$12,IF(ROUNDDOWN(K212,0)=$S$12,$U$12,$T$12))</f>
        <v>　レベル　3</v>
      </c>
      <c r="L215" s="2758" t="s">
        <v>281</v>
      </c>
      <c r="M215" s="2759"/>
      <c r="N215" s="2759"/>
      <c r="O215" s="2760"/>
    </row>
    <row r="216" spans="2:15" ht="15.75" hidden="1">
      <c r="B216" s="1">
        <v>4</v>
      </c>
      <c r="C216" s="1">
        <v>4</v>
      </c>
      <c r="D216" s="953"/>
      <c r="E216" s="1097"/>
      <c r="F216" s="984" t="str">
        <f>IF(F212=$S$15,$T$13,IF(ROUNDDOWN(F212,0)=$S$13,$U$13,$T$13))</f>
        <v>　レベル　4</v>
      </c>
      <c r="G216" s="2727"/>
      <c r="H216" s="2752"/>
      <c r="I216" s="2752"/>
      <c r="J216" s="2734"/>
      <c r="K216" s="984" t="str">
        <f>IF(K212=$S$15,$T$13,IF(ROUNDDOWN(K212,0)=$S$13,$U$13,$T$13))</f>
        <v>　レベル　4</v>
      </c>
      <c r="L216" s="2758"/>
      <c r="M216" s="2759"/>
      <c r="N216" s="2759"/>
      <c r="O216" s="2760"/>
    </row>
    <row r="217" spans="2:15" ht="18" hidden="1" customHeight="1">
      <c r="B217" s="1">
        <v>5</v>
      </c>
      <c r="C217" s="1">
        <v>5</v>
      </c>
      <c r="D217" s="953"/>
      <c r="E217" s="1097"/>
      <c r="F217" s="995" t="str">
        <f>IF(F212=$S$15,$T$14,IF(ROUNDDOWN(F212,0)=$S$14,$U$14,$T$14))</f>
        <v>　レベル　5</v>
      </c>
      <c r="G217" s="2724" t="s">
        <v>440</v>
      </c>
      <c r="H217" s="2753"/>
      <c r="I217" s="2753"/>
      <c r="J217" s="2743"/>
      <c r="K217" s="995" t="str">
        <f>IF(K212=$S$15,$T$14,IF(ROUNDDOWN(K212,0)=$S$14,$U$14,$T$14))</f>
        <v>　レベル　5</v>
      </c>
      <c r="L217" s="2754" t="s">
        <v>1628</v>
      </c>
      <c r="M217" s="2755"/>
      <c r="N217" s="2755"/>
      <c r="O217" s="2756"/>
    </row>
    <row r="218" spans="2:15" ht="15.75">
      <c r="B218" s="1002">
        <v>0</v>
      </c>
      <c r="C218" s="1002">
        <v>0</v>
      </c>
      <c r="D218" s="953"/>
      <c r="E218" s="537"/>
      <c r="F218" s="537"/>
      <c r="G218" s="1037"/>
      <c r="H218" s="1037"/>
      <c r="I218" s="1037"/>
      <c r="J218" s="1037"/>
      <c r="K218" s="1037"/>
      <c r="L218" s="1037"/>
      <c r="M218" s="1037"/>
      <c r="N218" s="1037"/>
      <c r="O218" s="1037"/>
    </row>
    <row r="219" spans="2:15" ht="15.75">
      <c r="D219" s="949">
        <v>2.2000000000000002</v>
      </c>
      <c r="E219" s="958" t="s">
        <v>441</v>
      </c>
      <c r="F219" s="961"/>
      <c r="G219" s="1038"/>
      <c r="H219" s="1083"/>
      <c r="I219" s="1004"/>
      <c r="J219" s="1041" t="str">
        <f>IF(OR(F221=0,AND(J220=0,O220=0)),$R$3,"")</f>
        <v/>
      </c>
      <c r="K219" s="1121"/>
      <c r="L219" s="1038"/>
      <c r="M219" s="1083"/>
      <c r="N219" s="1004"/>
      <c r="O219" s="1041"/>
    </row>
    <row r="220" spans="2:15" ht="16.5" thickBot="1">
      <c r="D220" s="1141"/>
      <c r="E220" s="958"/>
      <c r="F220" s="965" t="s">
        <v>1629</v>
      </c>
      <c r="G220" s="966"/>
      <c r="H220" s="967"/>
      <c r="I220" s="968" t="s">
        <v>1358</v>
      </c>
      <c r="J220" s="971">
        <f>重み!M30</f>
        <v>0.2</v>
      </c>
      <c r="K220" s="965" t="s">
        <v>1961</v>
      </c>
      <c r="L220" s="966"/>
      <c r="M220" s="967"/>
      <c r="N220" s="968" t="s">
        <v>1358</v>
      </c>
      <c r="O220" s="971">
        <f>重み!N30</f>
        <v>0</v>
      </c>
    </row>
    <row r="221" spans="2:15" ht="34.5" customHeight="1" thickBot="1">
      <c r="D221" s="1141"/>
      <c r="E221" s="958"/>
      <c r="F221" s="972">
        <v>3</v>
      </c>
      <c r="G221" s="2781" t="s">
        <v>3112</v>
      </c>
      <c r="H221" s="2782"/>
      <c r="I221" s="1109" t="s">
        <v>1360</v>
      </c>
      <c r="J221" s="978"/>
      <c r="K221" s="2022">
        <v>0</v>
      </c>
      <c r="L221" s="1084" t="s">
        <v>2664</v>
      </c>
      <c r="M221" s="978"/>
      <c r="N221" s="1084" t="s">
        <v>1630</v>
      </c>
      <c r="O221" s="1089"/>
    </row>
    <row r="222" spans="2:15" ht="15.75" hidden="1">
      <c r="B222" s="1">
        <v>1</v>
      </c>
      <c r="C222" s="1">
        <v>1</v>
      </c>
      <c r="D222" s="1141"/>
      <c r="E222" s="958"/>
      <c r="F222" s="1085"/>
      <c r="G222" s="1084" t="s">
        <v>1261</v>
      </c>
      <c r="H222" s="978"/>
      <c r="I222" s="977"/>
      <c r="J222" s="978"/>
      <c r="K222" s="1085"/>
      <c r="L222" s="1084" t="s">
        <v>1261</v>
      </c>
      <c r="M222" s="978"/>
      <c r="N222" s="1084"/>
      <c r="O222" s="978"/>
    </row>
    <row r="223" spans="2:15" ht="15.75" hidden="1">
      <c r="B223" s="1">
        <v>2</v>
      </c>
      <c r="C223" s="1">
        <v>2</v>
      </c>
      <c r="D223" s="1141"/>
      <c r="E223" s="958"/>
      <c r="F223" s="984" t="str">
        <f>IF(F221=$S$15,$T$10,IF(AND($O$3=$U$3,ROUNDDOWN(F221,0)=$S$10),$U$10,$T$10))</f>
        <v>　レベル　1</v>
      </c>
      <c r="G223" s="2731" t="s">
        <v>1631</v>
      </c>
      <c r="H223" s="2733"/>
      <c r="I223" s="1142" t="s">
        <v>1631</v>
      </c>
      <c r="J223" s="1142" t="s">
        <v>1631</v>
      </c>
      <c r="K223" s="984" t="str">
        <f>IF(K221=$S$15,$T$10,IF(AND($O$3=$U$3,ROUNDDOWN(K221,0)=$S$10),$U$10,$T$10))</f>
        <v>　レベル　1</v>
      </c>
      <c r="L223" s="2731" t="s">
        <v>1631</v>
      </c>
      <c r="M223" s="2733"/>
      <c r="N223" s="2731" t="s">
        <v>443</v>
      </c>
      <c r="O223" s="2733"/>
    </row>
    <row r="224" spans="2:15" ht="15.75" hidden="1" customHeight="1">
      <c r="B224" s="1">
        <v>3</v>
      </c>
      <c r="C224" s="1">
        <v>3</v>
      </c>
      <c r="D224" s="1141"/>
      <c r="E224" s="958"/>
      <c r="F224" s="984" t="str">
        <f>IF(F221=$S$15,$T$11,IF(AND($O$3=$U$3,ROUNDDOWN(F221,0)=$S$11),$U$11,$T$11))</f>
        <v>　レベル　2</v>
      </c>
      <c r="G224" s="2727"/>
      <c r="H224" s="2734"/>
      <c r="I224" s="992"/>
      <c r="J224" s="992"/>
      <c r="K224" s="984" t="str">
        <f>IF(K221=$S$15,$T$11,IF(AND($O$3=$U$3,ROUNDDOWN(K221,0)=$S$11),$U$11,$T$11))</f>
        <v>　レベル　2</v>
      </c>
      <c r="L224" s="2727"/>
      <c r="M224" s="2734"/>
      <c r="N224" s="2727" t="s">
        <v>2168</v>
      </c>
      <c r="O224" s="2734"/>
    </row>
    <row r="225" spans="2:15" ht="77.25" hidden="1" customHeight="1">
      <c r="B225" s="1">
        <v>4</v>
      </c>
      <c r="C225" s="1">
        <v>4</v>
      </c>
      <c r="D225" s="1141"/>
      <c r="E225" s="958"/>
      <c r="F225" s="984" t="str">
        <f>IF(F221=$S$15,$T$12,IF(AND($O$3=$U$3,ROUNDDOWN(F221,0)=$S$12),$U$12,$T$12))</f>
        <v>　レベル　3</v>
      </c>
      <c r="G225" s="2727" t="s">
        <v>1632</v>
      </c>
      <c r="H225" s="2734"/>
      <c r="I225" s="992" t="s">
        <v>1633</v>
      </c>
      <c r="J225" s="992" t="s">
        <v>290</v>
      </c>
      <c r="K225" s="984" t="str">
        <f>IF(K221=$S$15,$T$12,IF(AND($O$3=$U$3,ROUNDDOWN(K221,0)=$S$12),$U$12,$T$12))</f>
        <v>　レベル　3</v>
      </c>
      <c r="L225" s="2727" t="s">
        <v>1632</v>
      </c>
      <c r="M225" s="2734"/>
      <c r="N225" s="2727" t="s">
        <v>444</v>
      </c>
      <c r="O225" s="2734"/>
    </row>
    <row r="226" spans="2:15" ht="50.25" hidden="1" customHeight="1">
      <c r="B226" s="1">
        <v>5</v>
      </c>
      <c r="C226" s="1">
        <v>5</v>
      </c>
      <c r="D226" s="1141"/>
      <c r="E226" s="958"/>
      <c r="F226" s="984" t="str">
        <f>IF(F221=$S$15,$T$13,IF(AND($O$3=$U$3,ROUNDDOWN(F221,0)=$S$13),$U$13,$T$13))</f>
        <v>　レベル　4</v>
      </c>
      <c r="G226" s="2727"/>
      <c r="H226" s="2734"/>
      <c r="I226" s="992"/>
      <c r="J226" s="992"/>
      <c r="K226" s="984" t="str">
        <f>IF(K221=$S$15,$T$13,IF(AND($O$3=$U$3,ROUNDDOWN(K221,0)=$S$13),$U$13,$T$13))</f>
        <v>　レベル　4</v>
      </c>
      <c r="L226" s="2727"/>
      <c r="M226" s="2734"/>
      <c r="N226" s="2727" t="s">
        <v>445</v>
      </c>
      <c r="O226" s="2734"/>
    </row>
    <row r="227" spans="2:15" ht="73.5" hidden="1" customHeight="1">
      <c r="B227" s="1002">
        <v>0</v>
      </c>
      <c r="C227" s="1002">
        <v>0</v>
      </c>
      <c r="D227" s="1141"/>
      <c r="E227" s="958"/>
      <c r="F227" s="995" t="str">
        <f>IF(F221=$S$15,$T$14,IF(AND($O$3=$U$3,ROUNDDOWN(F221,0)=$S$14),$U$14,$T$14))</f>
        <v>　レベル　5</v>
      </c>
      <c r="G227" s="2724" t="s">
        <v>291</v>
      </c>
      <c r="H227" s="2743"/>
      <c r="I227" s="996" t="s">
        <v>292</v>
      </c>
      <c r="J227" s="996" t="s">
        <v>292</v>
      </c>
      <c r="K227" s="995" t="str">
        <f>IF(K221=$S$15,$T$14,IF(AND($O$3=$U$3,ROUNDDOWN(K221,0)=$S$14),$U$14,$T$14))</f>
        <v>　レベル　5</v>
      </c>
      <c r="L227" s="2724" t="s">
        <v>291</v>
      </c>
      <c r="M227" s="2743"/>
      <c r="N227" s="2724" t="s">
        <v>293</v>
      </c>
      <c r="O227" s="2743"/>
    </row>
    <row r="228" spans="2:15" ht="15.75" hidden="1">
      <c r="D228" s="953"/>
      <c r="E228" s="537"/>
      <c r="F228" s="1086"/>
      <c r="G228" s="1104" t="s">
        <v>1260</v>
      </c>
      <c r="H228" s="1104"/>
      <c r="I228" s="1104"/>
      <c r="J228" s="1124"/>
      <c r="K228" s="1086"/>
      <c r="L228" s="1104" t="s">
        <v>1260</v>
      </c>
      <c r="M228" s="1104"/>
      <c r="N228" s="1104"/>
      <c r="O228" s="1124"/>
    </row>
    <row r="229" spans="2:15" ht="35.25" customHeight="1">
      <c r="D229" s="953"/>
      <c r="E229" s="537"/>
      <c r="F229" s="1087" t="str">
        <f>IF(F221=$S$15,$T$10,IF(AND($O$3&lt;&gt;$U$3,ROUNDDOWN(F221,0)=$S$10),$U$10,$T$10))</f>
        <v>　レベル　1</v>
      </c>
      <c r="G229" s="2731" t="s">
        <v>3113</v>
      </c>
      <c r="H229" s="2733"/>
      <c r="I229" s="2731" t="s">
        <v>3113</v>
      </c>
      <c r="J229" s="2733"/>
      <c r="K229" s="2437" t="str">
        <f>IF(K221=$S$15,$T$10,IF(AND($O$3&lt;&gt;$U$3,ROUNDDOWN(K221,0)=$S$10),$U$10,$T$10))</f>
        <v>　レベル　1</v>
      </c>
      <c r="L229" s="2738" t="s">
        <v>294</v>
      </c>
      <c r="M229" s="2739"/>
      <c r="N229" s="2738" t="s">
        <v>295</v>
      </c>
      <c r="O229" s="2740"/>
    </row>
    <row r="230" spans="2:15" ht="15.75" customHeight="1">
      <c r="D230" s="953"/>
      <c r="E230" s="537"/>
      <c r="F230" s="984" t="str">
        <f>IF(F221=$S$15,$T$11,IF(AND($O$3&lt;&gt;$U$3,ROUNDDOWN(F221,0)=$S$11),$U$11,$T$11))</f>
        <v>　レベル　2</v>
      </c>
      <c r="G230" s="2727"/>
      <c r="H230" s="2734"/>
      <c r="I230" s="2727"/>
      <c r="J230" s="2734"/>
      <c r="K230" s="1166" t="str">
        <f>IF(K221=$S$15,$T$11,IF(AND($O$3&lt;&gt;$U$3,ROUNDDOWN(K221,0)=$S$11),$U$11,$T$11))</f>
        <v>　レベル　2</v>
      </c>
      <c r="L230" s="2442"/>
      <c r="M230" s="2444"/>
      <c r="N230" s="2741" t="s">
        <v>2168</v>
      </c>
      <c r="O230" s="2742"/>
    </row>
    <row r="231" spans="2:15" ht="53.25" customHeight="1">
      <c r="D231" s="953"/>
      <c r="E231" s="537"/>
      <c r="F231" s="984" t="str">
        <f>IF(F221=$S$15,$T$12,IF(AND($O$3&lt;&gt;$U$3,ROUNDDOWN(F221,0)=$S$12),$U$12,$T$12))</f>
        <v>■レベル　3</v>
      </c>
      <c r="G231" s="2727" t="s">
        <v>3114</v>
      </c>
      <c r="H231" s="2734"/>
      <c r="I231" s="2727" t="s">
        <v>3115</v>
      </c>
      <c r="J231" s="2734"/>
      <c r="K231" s="1166" t="str">
        <f>IF(K221=$S$15,$T$12,IF(AND($O$3&lt;&gt;$U$3,ROUNDDOWN(K221,0)=$S$12),$U$12,$T$12))</f>
        <v>　レベル　3</v>
      </c>
      <c r="L231" s="2735" t="s">
        <v>296</v>
      </c>
      <c r="M231" s="2736"/>
      <c r="N231" s="2735" t="s">
        <v>660</v>
      </c>
      <c r="O231" s="2737"/>
    </row>
    <row r="232" spans="2:15" ht="18.75" customHeight="1">
      <c r="D232" s="953"/>
      <c r="E232" s="537"/>
      <c r="F232" s="984" t="str">
        <f>IF(F221=$S$15,$T$13,IF(AND($O$3&lt;&gt;$U$3,ROUNDDOWN(F221,0)=$S$13),$U$13,$T$13))</f>
        <v>　レベル　4</v>
      </c>
      <c r="G232" s="2727"/>
      <c r="H232" s="2734"/>
      <c r="I232" s="2727"/>
      <c r="J232" s="2734"/>
      <c r="K232" s="1166" t="str">
        <f>IF(K221=$S$15,$T$13,IF(AND($O$3&lt;&gt;$U$3,ROUNDDOWN(K221,0)=$S$13),$U$13,$T$13))</f>
        <v>　レベル　4</v>
      </c>
      <c r="L232" s="2442"/>
      <c r="M232" s="2444"/>
      <c r="N232" s="2735" t="s">
        <v>661</v>
      </c>
      <c r="O232" s="2737"/>
    </row>
    <row r="233" spans="2:15" ht="33" customHeight="1">
      <c r="D233" s="953"/>
      <c r="E233" s="537"/>
      <c r="F233" s="995" t="str">
        <f>IF(F221=$S$15,$T$14,IF(AND($O$3&lt;&gt;$U$3,ROUNDDOWN(F221,0)=$S$14),$U$14,$T$14))</f>
        <v>　レベル　5</v>
      </c>
      <c r="G233" s="2724" t="s">
        <v>3116</v>
      </c>
      <c r="H233" s="2743"/>
      <c r="I233" s="2724" t="s">
        <v>3116</v>
      </c>
      <c r="J233" s="2743"/>
      <c r="K233" s="1167" t="str">
        <f>IF(K221=$S$15,$T$14,IF(AND($O$3&lt;&gt;$U$3,ROUNDDOWN(K221,0)=$S$14),$U$14,$T$14))</f>
        <v>　レベル　5</v>
      </c>
      <c r="L233" s="2765" t="s">
        <v>662</v>
      </c>
      <c r="M233" s="2788"/>
      <c r="N233" s="2765" t="s">
        <v>123</v>
      </c>
      <c r="O233" s="2766"/>
    </row>
    <row r="234" spans="2:15" ht="13.5" customHeight="1">
      <c r="D234" s="953"/>
      <c r="E234" s="537"/>
      <c r="F234" s="537"/>
      <c r="G234" s="1037"/>
      <c r="H234" s="1037"/>
      <c r="I234" s="1037"/>
      <c r="J234" s="1037"/>
      <c r="K234" s="1037"/>
      <c r="L234" s="1037"/>
      <c r="M234" s="1037"/>
      <c r="N234" s="1037"/>
      <c r="O234" s="1037"/>
    </row>
    <row r="235" spans="2:15" ht="15.75">
      <c r="D235" s="953"/>
      <c r="E235" s="537"/>
      <c r="F235" s="537"/>
      <c r="G235" s="1037"/>
      <c r="H235" s="1037"/>
      <c r="I235" s="1037"/>
      <c r="J235" s="1037"/>
      <c r="K235" s="1037"/>
      <c r="L235" s="1037"/>
      <c r="M235" s="1037"/>
      <c r="N235" s="1037"/>
      <c r="O235" s="1037"/>
    </row>
    <row r="236" spans="2:15" ht="15.75">
      <c r="D236" s="949">
        <v>2.2999999999999998</v>
      </c>
      <c r="E236" s="958" t="s">
        <v>266</v>
      </c>
      <c r="F236" s="961"/>
      <c r="G236" s="1038"/>
      <c r="H236" s="1083"/>
      <c r="I236" s="1004"/>
      <c r="J236" s="1041" t="str">
        <f>IF(OR(F238=0,AND(J237=0,O237=0)),$R$3,"")</f>
        <v>&lt;評価しない&gt;</v>
      </c>
      <c r="K236" s="1121"/>
      <c r="L236" s="1038"/>
      <c r="M236" s="1083"/>
      <c r="N236" s="1004"/>
      <c r="O236" s="1041"/>
    </row>
    <row r="237" spans="2:15" ht="16.5" hidden="1" thickBot="1">
      <c r="D237" s="1141"/>
      <c r="E237" s="958"/>
      <c r="F237" s="965" t="s">
        <v>487</v>
      </c>
      <c r="G237" s="966"/>
      <c r="H237" s="967"/>
      <c r="I237" s="968" t="s">
        <v>1358</v>
      </c>
      <c r="J237" s="971">
        <f>重み!M31</f>
        <v>0.3</v>
      </c>
      <c r="K237" s="965" t="s">
        <v>1961</v>
      </c>
      <c r="L237" s="966"/>
      <c r="M237" s="967"/>
      <c r="N237" s="968" t="s">
        <v>1358</v>
      </c>
      <c r="O237" s="971">
        <f>重み!N31</f>
        <v>0</v>
      </c>
    </row>
    <row r="238" spans="2:15" ht="16.5" hidden="1" thickBot="1">
      <c r="D238" s="1141"/>
      <c r="E238" s="958"/>
      <c r="F238" s="972">
        <v>0</v>
      </c>
      <c r="G238" s="1084" t="s">
        <v>2509</v>
      </c>
      <c r="H238" s="977"/>
      <c r="I238" s="1109" t="s">
        <v>2447</v>
      </c>
      <c r="J238" s="978"/>
      <c r="K238" s="972">
        <v>0</v>
      </c>
      <c r="L238" s="1084" t="s">
        <v>2664</v>
      </c>
      <c r="M238" s="978"/>
      <c r="N238" s="1084" t="s">
        <v>1171</v>
      </c>
      <c r="O238" s="1089"/>
    </row>
    <row r="239" spans="2:15" ht="15.75" hidden="1">
      <c r="B239" s="1">
        <v>1</v>
      </c>
      <c r="C239" s="1">
        <v>1</v>
      </c>
      <c r="D239" s="1141"/>
      <c r="E239" s="958"/>
      <c r="F239" s="1122"/>
      <c r="G239" s="1084" t="s">
        <v>1261</v>
      </c>
      <c r="H239" s="977"/>
      <c r="I239" s="1084"/>
      <c r="J239" s="978"/>
      <c r="K239" s="1122"/>
      <c r="L239" s="977" t="s">
        <v>1261</v>
      </c>
      <c r="M239" s="1090"/>
      <c r="N239" s="1090"/>
      <c r="O239" s="1091"/>
    </row>
    <row r="240" spans="2:15" ht="53.25" hidden="1" customHeight="1">
      <c r="B240" s="1">
        <v>2</v>
      </c>
      <c r="C240" s="1">
        <v>2</v>
      </c>
      <c r="D240" s="1141"/>
      <c r="E240" s="958"/>
      <c r="F240" s="984" t="str">
        <f>IF(F238=$S$15,$T$10,IF(AND($O$3=$U$3,ROUNDDOWN(F238,0)=$S$10),$U$10,$T$10))</f>
        <v>　レベル　1</v>
      </c>
      <c r="G240" s="2731" t="s">
        <v>2011</v>
      </c>
      <c r="H240" s="2732"/>
      <c r="I240" s="2731" t="s">
        <v>2011</v>
      </c>
      <c r="J240" s="2733"/>
      <c r="K240" s="984" t="str">
        <f>IF(K238=$S$15,$T$10,IF(AND($O$3=$U$3,ROUNDDOWN(K238,0)=$S$10),$U$10,$T$10))</f>
        <v>　レベル　1</v>
      </c>
      <c r="L240" s="2731" t="s">
        <v>2011</v>
      </c>
      <c r="M240" s="2732"/>
      <c r="N240" s="2731" t="s">
        <v>2448</v>
      </c>
      <c r="O240" s="2733"/>
    </row>
    <row r="241" spans="2:15" ht="15.75" hidden="1">
      <c r="B241" s="1">
        <v>3</v>
      </c>
      <c r="C241" s="1">
        <v>3</v>
      </c>
      <c r="D241" s="1141"/>
      <c r="E241" s="958"/>
      <c r="F241" s="984" t="str">
        <f>IF(F238=$S$15,$T$11,IF(AND($O$3=$U$3,ROUNDDOWN(F238,0)=$S$11),$U$11,$T$11))</f>
        <v>　レベル　2</v>
      </c>
      <c r="G241" s="992"/>
      <c r="H241" s="1123"/>
      <c r="I241" s="2727"/>
      <c r="J241" s="2734"/>
      <c r="K241" s="984" t="str">
        <f>IF(K238=$S$15,$T$11,IF(AND($O$3=$U$3,ROUNDDOWN(K238,0)=$S$11),$U$11,$T$11))</f>
        <v>　レベル　2</v>
      </c>
      <c r="L241" s="992"/>
      <c r="M241" s="994"/>
      <c r="N241" s="992"/>
      <c r="O241" s="994"/>
    </row>
    <row r="242" spans="2:15" ht="55.5" hidden="1" customHeight="1">
      <c r="B242" s="1">
        <v>4</v>
      </c>
      <c r="C242" s="1">
        <v>4</v>
      </c>
      <c r="D242" s="1141"/>
      <c r="E242" s="958"/>
      <c r="F242" s="984" t="str">
        <f>IF(F238=$S$15,$T$12,IF(AND($O$3=$U$3,ROUNDDOWN(F238,0)=$S$12),$U$12,$T$12))</f>
        <v>　レベル　3</v>
      </c>
      <c r="G242" s="2727" t="s">
        <v>2012</v>
      </c>
      <c r="H242" s="2734"/>
      <c r="I242" s="2727" t="s">
        <v>2013</v>
      </c>
      <c r="J242" s="2734"/>
      <c r="K242" s="984" t="str">
        <f>IF(K238=$S$15,$T$12,IF(AND($O$3=$U$3,ROUNDDOWN(K238,0)=$S$12),$U$12,$T$12))</f>
        <v>　レベル　3</v>
      </c>
      <c r="L242" s="2727" t="s">
        <v>2012</v>
      </c>
      <c r="M242" s="2729"/>
      <c r="N242" s="2727" t="s">
        <v>2449</v>
      </c>
      <c r="O242" s="2734"/>
    </row>
    <row r="243" spans="2:15" ht="15.75" hidden="1">
      <c r="B243" s="1">
        <v>5</v>
      </c>
      <c r="C243" s="1">
        <v>5</v>
      </c>
      <c r="D243" s="1141"/>
      <c r="E243" s="958"/>
      <c r="F243" s="984" t="str">
        <f>IF(F238=$S$15,$T$13,IF(AND($O$3=$U$3,ROUNDDOWN(F238,0)=$S$13),$U$13,$T$13))</f>
        <v>　レベル　4</v>
      </c>
      <c r="G243" s="992"/>
      <c r="H243" s="1123"/>
      <c r="I243" s="2727"/>
      <c r="J243" s="2734"/>
      <c r="K243" s="984" t="str">
        <f>IF(K238=$S$15,$T$13,IF(AND($O$3=$U$3,ROUNDDOWN(K238,0)=$S$13),$U$13,$T$13))</f>
        <v>　レベル　4</v>
      </c>
      <c r="L243" s="992"/>
      <c r="M243" s="994"/>
      <c r="N243" s="2727"/>
      <c r="O243" s="2734"/>
    </row>
    <row r="244" spans="2:15" ht="61.5" hidden="1" customHeight="1">
      <c r="B244" s="1002">
        <v>0</v>
      </c>
      <c r="C244" s="1002">
        <v>0</v>
      </c>
      <c r="D244" s="1141"/>
      <c r="E244" s="958"/>
      <c r="F244" s="995" t="str">
        <f>IF(F238=$S$15,$T$14,IF(AND($O$3=$U$3,ROUNDDOWN(F238,0)=$S$14),$U$14,$T$14))</f>
        <v>　レベル　5</v>
      </c>
      <c r="G244" s="2724" t="s">
        <v>2014</v>
      </c>
      <c r="H244" s="2743"/>
      <c r="I244" s="2724" t="s">
        <v>2015</v>
      </c>
      <c r="J244" s="2743"/>
      <c r="K244" s="995" t="str">
        <f>IF(K238=$S$15,$T$14,IF(AND($O$3=$U$3,ROUNDDOWN(K238,0)=$S$14),$U$14,$T$14))</f>
        <v>　レベル　5</v>
      </c>
      <c r="L244" s="2724" t="s">
        <v>2014</v>
      </c>
      <c r="M244" s="2730"/>
      <c r="N244" s="2724" t="s">
        <v>2016</v>
      </c>
      <c r="O244" s="2743"/>
    </row>
    <row r="245" spans="2:15" ht="15.75" hidden="1">
      <c r="D245" s="1141"/>
      <c r="E245" s="958"/>
      <c r="F245" s="1143"/>
      <c r="G245" s="1128" t="s">
        <v>1260</v>
      </c>
      <c r="H245" s="1104"/>
      <c r="I245" s="1104"/>
      <c r="J245" s="1124"/>
      <c r="K245" s="1086"/>
      <c r="L245" s="1104" t="s">
        <v>1260</v>
      </c>
      <c r="M245" s="1104"/>
      <c r="N245" s="1104"/>
      <c r="O245" s="1124"/>
    </row>
    <row r="246" spans="2:15" ht="54" hidden="1" customHeight="1">
      <c r="D246" s="1141"/>
      <c r="E246" s="958"/>
      <c r="F246" s="1087" t="str">
        <f>IF(F238=$S$15,$T$10,IF(AND($O$3&lt;&gt;$U$3,ROUNDDOWN(F238,0)=$S$10),$U$10,$T$10))</f>
        <v>　レベル　1</v>
      </c>
      <c r="G246" s="2731" t="s">
        <v>2017</v>
      </c>
      <c r="H246" s="2733"/>
      <c r="I246" s="2731" t="s">
        <v>2017</v>
      </c>
      <c r="J246" s="2732"/>
      <c r="K246" s="1087" t="str">
        <f>IF(K238=$S$15,$T$10,IF(AND($O$3&lt;&gt;$U$3,ROUNDDOWN(K238,0)=$S$10),$U$10,$T$10))</f>
        <v>　レベル　1</v>
      </c>
      <c r="L246" s="2731" t="s">
        <v>2017</v>
      </c>
      <c r="M246" s="2732"/>
      <c r="N246" s="2731" t="s">
        <v>2018</v>
      </c>
      <c r="O246" s="2733"/>
    </row>
    <row r="247" spans="2:15" ht="15.75" hidden="1">
      <c r="D247" s="1141"/>
      <c r="E247" s="958"/>
      <c r="F247" s="984" t="str">
        <f>IF(F238=$S$15,$T$11,IF(AND($O$3&lt;&gt;$U$3,ROUNDDOWN(F238,0)=$S$11),$U$11,$T$11))</f>
        <v>　レベル　2</v>
      </c>
      <c r="G247" s="992"/>
      <c r="H247" s="1123"/>
      <c r="I247" s="992"/>
      <c r="J247" s="994"/>
      <c r="K247" s="984" t="str">
        <f>IF(K238=$S$15,$T$11,IF(AND($O$3&lt;&gt;$U$3,ROUNDDOWN(K238,0)=$S$11),$U$11,$T$11))</f>
        <v>　レベル　2</v>
      </c>
      <c r="L247" s="992"/>
      <c r="M247" s="994"/>
      <c r="N247" s="992"/>
      <c r="O247" s="994"/>
    </row>
    <row r="248" spans="2:15" ht="77.25" hidden="1" customHeight="1">
      <c r="D248" s="1141"/>
      <c r="E248" s="958"/>
      <c r="F248" s="984" t="str">
        <f>IF(F238=$S$15,$T$12,IF(AND($O$3&lt;&gt;$U$3,ROUNDDOWN(F238,0)=$S$12),$U$12,$T$12))</f>
        <v>　レベル　3</v>
      </c>
      <c r="G248" s="2727" t="s">
        <v>807</v>
      </c>
      <c r="H248" s="2734"/>
      <c r="I248" s="2727" t="s">
        <v>808</v>
      </c>
      <c r="J248" s="2729"/>
      <c r="K248" s="984" t="str">
        <f>IF(K238=$S$15,$T$12,IF(AND($O$3&lt;&gt;$U$3,ROUNDDOWN(K238,0)=$S$12),$U$12,$T$12))</f>
        <v>　レベル　3</v>
      </c>
      <c r="L248" s="2727" t="s">
        <v>807</v>
      </c>
      <c r="M248" s="2729"/>
      <c r="N248" s="2727" t="s">
        <v>1577</v>
      </c>
      <c r="O248" s="2734"/>
    </row>
    <row r="249" spans="2:15" ht="15.75" hidden="1">
      <c r="D249" s="1141"/>
      <c r="E249" s="958"/>
      <c r="F249" s="984" t="str">
        <f>IF(F238=$S$15,$T$13,IF(AND($O$3&lt;&gt;$U$3,ROUNDDOWN(F238,0)=$S$13),$U$13,$T$13))</f>
        <v>　レベル　4</v>
      </c>
      <c r="G249" s="992"/>
      <c r="H249" s="1123"/>
      <c r="I249" s="992"/>
      <c r="J249" s="994"/>
      <c r="K249" s="984" t="str">
        <f>IF(K238=$S$15,$T$13,IF(AND($O$3&lt;&gt;$U$3,ROUNDDOWN(K238,0)=$S$13),$U$13,$T$13))</f>
        <v>　レベル　4</v>
      </c>
      <c r="L249" s="992"/>
      <c r="M249" s="994"/>
      <c r="N249" s="2727"/>
      <c r="O249" s="2734"/>
    </row>
    <row r="250" spans="2:15" ht="81" hidden="1" customHeight="1">
      <c r="D250" s="1141"/>
      <c r="E250" s="958"/>
      <c r="F250" s="995" t="str">
        <f>IF(F238=$S$15,$T$14,IF(AND($O$3&lt;&gt;$U$3,ROUNDDOWN(F238,0)=$S$14),$U$14,$T$14))</f>
        <v>　レベル　5</v>
      </c>
      <c r="G250" s="2724" t="s">
        <v>1578</v>
      </c>
      <c r="H250" s="2743"/>
      <c r="I250" s="2724" t="s">
        <v>2450</v>
      </c>
      <c r="J250" s="2730"/>
      <c r="K250" s="995" t="str">
        <f>IF(K238=$S$15,$T$14,IF(AND($O$3&lt;&gt;$U$3,ROUNDDOWN(K238,0)=$S$14),$U$14,$T$14))</f>
        <v>　レベル　5</v>
      </c>
      <c r="L250" s="2724" t="s">
        <v>1579</v>
      </c>
      <c r="M250" s="2730"/>
      <c r="N250" s="2724" t="s">
        <v>1580</v>
      </c>
      <c r="O250" s="2743"/>
    </row>
    <row r="251" spans="2:15" ht="16.5" hidden="1" customHeight="1">
      <c r="D251" s="953"/>
      <c r="E251" s="1097"/>
      <c r="F251" s="1097"/>
      <c r="G251" s="1144" t="s">
        <v>1581</v>
      </c>
      <c r="H251" s="1145"/>
      <c r="I251" s="1145"/>
      <c r="J251" s="1145"/>
      <c r="K251" s="1145"/>
      <c r="L251" s="1145"/>
      <c r="M251" s="1145"/>
      <c r="N251" s="1145"/>
      <c r="O251" s="1145"/>
    </row>
    <row r="252" spans="2:15" ht="16.5" hidden="1" customHeight="1">
      <c r="D252" s="953"/>
      <c r="E252" s="1097"/>
      <c r="F252" s="1097"/>
      <c r="G252" s="1144"/>
      <c r="H252" s="1145"/>
      <c r="I252" s="1145"/>
      <c r="J252" s="1145"/>
      <c r="K252" s="1145"/>
      <c r="L252" s="1145"/>
      <c r="M252" s="1145"/>
      <c r="N252" s="1145"/>
      <c r="O252" s="1145"/>
    </row>
    <row r="253" spans="2:15" ht="16.5" customHeight="1">
      <c r="D253" s="953"/>
      <c r="E253" s="1097"/>
      <c r="F253" s="961" t="s">
        <v>2451</v>
      </c>
      <c r="G253" s="1038"/>
      <c r="H253" s="1083"/>
      <c r="I253" s="1004"/>
      <c r="J253" s="1041" t="str">
        <f>IF(OR(F255=0,J254=0),$R$3,"")</f>
        <v/>
      </c>
      <c r="K253" s="1121" t="s">
        <v>2452</v>
      </c>
      <c r="L253" s="1038"/>
      <c r="M253" s="1083"/>
      <c r="N253" s="1004"/>
      <c r="O253" s="1041" t="str">
        <f>IF(OR(K255=0,O254=0),$R$3,"")</f>
        <v/>
      </c>
    </row>
    <row r="254" spans="2:15" ht="16.5" customHeight="1" thickBot="1">
      <c r="D254" s="953"/>
      <c r="E254" s="1097"/>
      <c r="F254" s="965" t="s">
        <v>1582</v>
      </c>
      <c r="G254" s="966"/>
      <c r="H254" s="967"/>
      <c r="I254" s="968" t="s">
        <v>1358</v>
      </c>
      <c r="J254" s="971">
        <f>重み!M32</f>
        <v>0.5</v>
      </c>
      <c r="K254" s="965" t="s">
        <v>2000</v>
      </c>
      <c r="L254" s="966"/>
      <c r="M254" s="967"/>
      <c r="N254" s="968" t="s">
        <v>1358</v>
      </c>
      <c r="O254" s="971">
        <f>重み!M33</f>
        <v>0.5</v>
      </c>
    </row>
    <row r="255" spans="2:15" ht="16.5" customHeight="1" thickBot="1">
      <c r="D255" s="953"/>
      <c r="E255" s="1097"/>
      <c r="F255" s="972">
        <v>3</v>
      </c>
      <c r="G255" s="976" t="s">
        <v>2453</v>
      </c>
      <c r="H255" s="977"/>
      <c r="I255" s="977"/>
      <c r="J255" s="1109"/>
      <c r="K255" s="972">
        <v>3</v>
      </c>
      <c r="L255" s="976" t="s">
        <v>2453</v>
      </c>
      <c r="M255" s="977"/>
      <c r="N255" s="977"/>
      <c r="O255" s="1109"/>
    </row>
    <row r="256" spans="2:15" ht="16.5" customHeight="1">
      <c r="B256" s="1">
        <v>1</v>
      </c>
      <c r="C256" s="1">
        <v>1</v>
      </c>
      <c r="D256" s="953"/>
      <c r="E256" s="1097"/>
      <c r="F256" s="979" t="str">
        <f>IF(F255=$S$15,$T$10,IF(ROUNDDOWN(F255,0)=$S$10,$U$10,$T$10))</f>
        <v>　レベル　1</v>
      </c>
      <c r="G256" s="2731" t="s">
        <v>1583</v>
      </c>
      <c r="H256" s="2757"/>
      <c r="I256" s="2757"/>
      <c r="J256" s="2732"/>
      <c r="K256" s="979" t="str">
        <f>IF(K255=$S$15,$T$10,IF(ROUNDDOWN(K255,0)=$S$10,$U$10,$T$10))</f>
        <v>　レベル　1</v>
      </c>
      <c r="L256" s="2731" t="s">
        <v>2454</v>
      </c>
      <c r="M256" s="2757"/>
      <c r="N256" s="2757"/>
      <c r="O256" s="2732"/>
    </row>
    <row r="257" spans="2:15" ht="16.5" customHeight="1">
      <c r="B257" s="1">
        <v>2</v>
      </c>
      <c r="C257" s="1">
        <v>2</v>
      </c>
      <c r="D257" s="953"/>
      <c r="E257" s="1097"/>
      <c r="F257" s="984" t="str">
        <f>IF(F255=$S$15,$T$11,IF(ROUNDDOWN(F255,0)=$S$11,$U$11,$T$11))</f>
        <v>　レベル　2</v>
      </c>
      <c r="G257" s="2727"/>
      <c r="H257" s="2752"/>
      <c r="I257" s="2752"/>
      <c r="J257" s="2734"/>
      <c r="K257" s="984" t="str">
        <f>IF(K255=$S$15,$T$11,IF(ROUNDDOWN(K255,0)=$S$11,$U$11,$T$11))</f>
        <v>　レベル　2</v>
      </c>
      <c r="L257" s="2727" t="s">
        <v>2455</v>
      </c>
      <c r="M257" s="2752"/>
      <c r="N257" s="2752"/>
      <c r="O257" s="2734"/>
    </row>
    <row r="258" spans="2:15" ht="16.5" customHeight="1">
      <c r="B258" s="1">
        <v>3</v>
      </c>
      <c r="C258" s="1">
        <v>3</v>
      </c>
      <c r="D258" s="953"/>
      <c r="E258" s="1097"/>
      <c r="F258" s="984" t="str">
        <f>IF(F255=$S$15,$T$12,IF(ROUNDDOWN(F255,0)=$S$12,$U$12,$T$12))</f>
        <v>■レベル　3</v>
      </c>
      <c r="G258" s="2727" t="s">
        <v>1584</v>
      </c>
      <c r="H258" s="2752"/>
      <c r="I258" s="2752"/>
      <c r="J258" s="2734"/>
      <c r="K258" s="984" t="str">
        <f>IF(K255=$S$15,$T$12,IF(ROUNDDOWN(K255,0)=$S$12,$U$12,$T$12))</f>
        <v>■レベル　3</v>
      </c>
      <c r="L258" s="2727" t="s">
        <v>2456</v>
      </c>
      <c r="M258" s="2752"/>
      <c r="N258" s="2752"/>
      <c r="O258" s="2734"/>
    </row>
    <row r="259" spans="2:15" ht="16.5" customHeight="1">
      <c r="B259" s="1">
        <v>4</v>
      </c>
      <c r="C259" s="1">
        <v>4</v>
      </c>
      <c r="D259" s="953"/>
      <c r="E259" s="1097"/>
      <c r="F259" s="984" t="str">
        <f>IF(F255=$S$15,$T$13,IF(ROUNDDOWN(F255,0)=$S$13,$U$13,$T$13))</f>
        <v>　レベル　4</v>
      </c>
      <c r="G259" s="2727"/>
      <c r="H259" s="2752"/>
      <c r="I259" s="2752"/>
      <c r="J259" s="2734"/>
      <c r="K259" s="984" t="str">
        <f>IF(K255=$S$15,$T$13,IF(ROUNDDOWN(K255,0)=$S$13,$U$13,$T$13))</f>
        <v>　レベル　4</v>
      </c>
      <c r="L259" s="2727" t="s">
        <v>2457</v>
      </c>
      <c r="M259" s="2752"/>
      <c r="N259" s="2752"/>
      <c r="O259" s="2734"/>
    </row>
    <row r="260" spans="2:15" ht="16.5" customHeight="1">
      <c r="B260" s="1">
        <v>5</v>
      </c>
      <c r="C260" s="1">
        <v>5</v>
      </c>
      <c r="D260" s="953"/>
      <c r="E260" s="1097"/>
      <c r="F260" s="995" t="str">
        <f>IF(F255=$S$15,$T$14,IF(ROUNDDOWN(F255,0)=$S$14,$U$14,$T$14))</f>
        <v>　レベル　5</v>
      </c>
      <c r="G260" s="2724" t="s">
        <v>2458</v>
      </c>
      <c r="H260" s="2753"/>
      <c r="I260" s="2753"/>
      <c r="J260" s="2743"/>
      <c r="K260" s="995" t="str">
        <f>IF(K255=$S$15,$T$14,IF(ROUNDDOWN(K255,0)=$S$14,$U$14,$T$14))</f>
        <v>　レベル　5</v>
      </c>
      <c r="L260" s="2724" t="s">
        <v>2459</v>
      </c>
      <c r="M260" s="2753"/>
      <c r="N260" s="2753"/>
      <c r="O260" s="2743"/>
    </row>
    <row r="261" spans="2:15" ht="16.5" customHeight="1">
      <c r="B261" s="1002">
        <v>0</v>
      </c>
      <c r="C261" s="1002">
        <v>0</v>
      </c>
      <c r="D261" s="953"/>
      <c r="E261" s="1097"/>
      <c r="F261" s="1097"/>
      <c r="G261" s="1144"/>
      <c r="H261" s="1145"/>
      <c r="I261" s="1145"/>
      <c r="J261" s="1145"/>
      <c r="K261" s="1145"/>
      <c r="L261" s="1145"/>
      <c r="M261" s="1145"/>
      <c r="N261" s="1145"/>
      <c r="O261" s="1145"/>
    </row>
    <row r="262" spans="2:15" ht="15.75">
      <c r="D262" s="949">
        <v>3</v>
      </c>
      <c r="E262" s="960" t="s">
        <v>883</v>
      </c>
      <c r="F262" s="959"/>
      <c r="G262" s="1082"/>
      <c r="H262" s="1082"/>
      <c r="I262" s="1082"/>
      <c r="J262" s="1082"/>
      <c r="K262" s="1082"/>
      <c r="L262" s="1082"/>
      <c r="M262" s="1082"/>
      <c r="N262" s="1082"/>
      <c r="O262" s="1082"/>
    </row>
    <row r="263" spans="2:15" ht="15.75">
      <c r="D263" s="949">
        <v>3.1</v>
      </c>
      <c r="E263" s="960" t="s">
        <v>884</v>
      </c>
      <c r="F263" s="959"/>
      <c r="G263" s="1038"/>
      <c r="H263" s="1082"/>
      <c r="I263" s="1040"/>
      <c r="J263" s="1040"/>
      <c r="K263" s="1082"/>
      <c r="L263" s="1038"/>
      <c r="M263" s="1082"/>
      <c r="N263" s="1082"/>
      <c r="O263" s="1082"/>
    </row>
    <row r="264" spans="2:15" ht="15.75">
      <c r="D264" s="953"/>
      <c r="E264" s="155"/>
      <c r="F264" s="961" t="s">
        <v>885</v>
      </c>
      <c r="G264" s="1038"/>
      <c r="H264" s="1083"/>
      <c r="I264" s="1004"/>
      <c r="J264" s="1041" t="str">
        <f>IF(OR(F266=0,AND(J265=0,O265=0)),$R$3,"")</f>
        <v/>
      </c>
      <c r="K264" s="1121"/>
      <c r="L264" s="1038"/>
      <c r="M264" s="1083"/>
      <c r="N264" s="1004"/>
      <c r="O264" s="1041"/>
    </row>
    <row r="265" spans="2:15" ht="16.5" thickBot="1">
      <c r="D265" s="953"/>
      <c r="E265" s="155"/>
      <c r="F265" s="965" t="s">
        <v>1758</v>
      </c>
      <c r="G265" s="966"/>
      <c r="H265" s="967"/>
      <c r="I265" s="968" t="s">
        <v>1358</v>
      </c>
      <c r="J265" s="971">
        <f>重み!M36</f>
        <v>0.6</v>
      </c>
      <c r="K265" s="965" t="s">
        <v>1961</v>
      </c>
      <c r="L265" s="966"/>
      <c r="M265" s="967"/>
      <c r="N265" s="968" t="s">
        <v>1358</v>
      </c>
      <c r="O265" s="971">
        <f>重み!N36</f>
        <v>8.6206896551724144E-2</v>
      </c>
    </row>
    <row r="266" spans="2:15" ht="16.5" thickBot="1">
      <c r="D266" s="953"/>
      <c r="E266" s="155"/>
      <c r="F266" s="972">
        <v>3</v>
      </c>
      <c r="G266" s="1084" t="s">
        <v>3389</v>
      </c>
      <c r="H266" s="977"/>
      <c r="I266" s="977"/>
      <c r="J266" s="978"/>
      <c r="K266" s="972">
        <v>3</v>
      </c>
      <c r="L266" s="1084" t="s">
        <v>1110</v>
      </c>
      <c r="M266" s="978"/>
      <c r="N266" s="1084" t="s">
        <v>1893</v>
      </c>
      <c r="O266" s="978"/>
    </row>
    <row r="267" spans="2:15" ht="15.75">
      <c r="B267" s="1">
        <v>1</v>
      </c>
      <c r="C267" s="1">
        <v>1</v>
      </c>
      <c r="D267" s="953"/>
      <c r="E267" s="155"/>
      <c r="F267" s="979" t="str">
        <f>IF(F266=$S$15,$T$10,IF(ROUNDDOWN(F266,0)=$S$10,$U$10,$T$10))</f>
        <v>　レベル　1</v>
      </c>
      <c r="G267" s="2731" t="s">
        <v>887</v>
      </c>
      <c r="H267" s="2757"/>
      <c r="I267" s="2757"/>
      <c r="J267" s="2732"/>
      <c r="K267" s="979" t="str">
        <f>IF(K266=$S$15,$T$10,IF(ROUNDDOWN(K266,0)=$S$10,$U$10,$T$10))</f>
        <v>　レベル　1</v>
      </c>
      <c r="L267" s="2731" t="s">
        <v>1585</v>
      </c>
      <c r="M267" s="2733"/>
      <c r="N267" s="2731" t="s">
        <v>888</v>
      </c>
      <c r="O267" s="2733"/>
    </row>
    <row r="268" spans="2:15" ht="15.75" customHeight="1">
      <c r="B268" s="1">
        <v>2</v>
      </c>
      <c r="C268" s="1">
        <v>2</v>
      </c>
      <c r="D268" s="953"/>
      <c r="E268" s="155"/>
      <c r="F268" s="984" t="str">
        <f>IF(F266=$S$15,$T$11,IF(ROUNDDOWN(F266,0)=$S$11,$U$11,$T$11))</f>
        <v>　レベル　2</v>
      </c>
      <c r="G268" s="2727" t="s">
        <v>889</v>
      </c>
      <c r="H268" s="2728"/>
      <c r="I268" s="2728"/>
      <c r="J268" s="2729"/>
      <c r="K268" s="984" t="str">
        <f>IF(K266=$S$15,$T$11,IF(ROUNDDOWN(K266,0)=$S$11,$U$11,$T$11))</f>
        <v>　レベル　2</v>
      </c>
      <c r="L268" s="2727" t="s">
        <v>890</v>
      </c>
      <c r="M268" s="2734"/>
      <c r="N268" s="2727" t="s">
        <v>891</v>
      </c>
      <c r="O268" s="2734"/>
    </row>
    <row r="269" spans="2:15" ht="15.75" customHeight="1">
      <c r="B269" s="1">
        <v>3</v>
      </c>
      <c r="C269" s="1">
        <v>3</v>
      </c>
      <c r="D269" s="953"/>
      <c r="E269" s="155"/>
      <c r="F269" s="984" t="str">
        <f>IF(F266=$S$15,$T$12,IF(ROUNDDOWN(F266,0)=$S$12,$U$12,$T$12))</f>
        <v>■レベル　3</v>
      </c>
      <c r="G269" s="2758" t="s">
        <v>892</v>
      </c>
      <c r="H269" s="2759"/>
      <c r="I269" s="2759"/>
      <c r="J269" s="2760"/>
      <c r="K269" s="984" t="str">
        <f>IF(K266=$S$15,$T$12,IF(ROUNDDOWN(K266,0)=$S$12,$U$12,$T$12))</f>
        <v>■レベル　3</v>
      </c>
      <c r="L269" s="2727" t="s">
        <v>1586</v>
      </c>
      <c r="M269" s="2734"/>
      <c r="N269" s="2727" t="s">
        <v>889</v>
      </c>
      <c r="O269" s="2734"/>
    </row>
    <row r="270" spans="2:15" ht="15.75" customHeight="1">
      <c r="B270" s="1">
        <v>4</v>
      </c>
      <c r="C270" s="1">
        <v>4</v>
      </c>
      <c r="D270" s="953"/>
      <c r="E270" s="155"/>
      <c r="F270" s="984" t="str">
        <f>IF(F266=$S$15,$T$13,IF(ROUNDDOWN(F266,0)=$S$13,$U$13,$T$13))</f>
        <v>　レベル　4</v>
      </c>
      <c r="G270" s="2727" t="s">
        <v>893</v>
      </c>
      <c r="H270" s="2728"/>
      <c r="I270" s="2728"/>
      <c r="J270" s="2729"/>
      <c r="K270" s="984" t="str">
        <f>IF(K266=$S$15,$T$13,IF(ROUNDDOWN(K266,0)=$S$13,$U$13,$T$13))</f>
        <v>　レベル　4</v>
      </c>
      <c r="L270" s="2727" t="s">
        <v>2841</v>
      </c>
      <c r="M270" s="2734"/>
      <c r="N270" s="2727" t="s">
        <v>892</v>
      </c>
      <c r="O270" s="2734"/>
    </row>
    <row r="271" spans="2:15" ht="15.75">
      <c r="B271" s="1">
        <v>5</v>
      </c>
      <c r="C271" s="1">
        <v>5</v>
      </c>
      <c r="D271" s="953"/>
      <c r="E271" s="155"/>
      <c r="F271" s="995" t="str">
        <f>IF(F266=$S$15,$T$14,IF(ROUNDDOWN(F266,0)=$S$14,$U$14,$T$14))</f>
        <v>　レベル　5</v>
      </c>
      <c r="G271" s="2754" t="s">
        <v>894</v>
      </c>
      <c r="H271" s="2755"/>
      <c r="I271" s="2755"/>
      <c r="J271" s="2756"/>
      <c r="K271" s="995" t="str">
        <f>IF(K266=$S$15,$T$14,IF(ROUNDDOWN(K266,0)=$S$14,$U$14,$T$14))</f>
        <v>　レベル　5</v>
      </c>
      <c r="L271" s="2724" t="s">
        <v>2842</v>
      </c>
      <c r="M271" s="2743"/>
      <c r="N271" s="2724" t="s">
        <v>2843</v>
      </c>
      <c r="O271" s="2743"/>
    </row>
    <row r="272" spans="2:15" ht="15.75">
      <c r="B272" s="1002">
        <v>0</v>
      </c>
      <c r="C272" s="1002">
        <v>0</v>
      </c>
      <c r="D272" s="953"/>
      <c r="E272" s="155"/>
      <c r="F272" s="1117"/>
      <c r="G272" s="1118"/>
      <c r="H272" s="1099"/>
      <c r="I272" s="1118"/>
      <c r="J272" s="1118"/>
      <c r="K272" s="1119"/>
      <c r="L272" s="1120"/>
      <c r="M272" s="1120"/>
      <c r="N272" s="1118"/>
      <c r="O272" s="1118"/>
    </row>
    <row r="273" spans="2:15" ht="15.75">
      <c r="D273" s="953"/>
      <c r="E273" s="155"/>
      <c r="F273" s="961" t="s">
        <v>895</v>
      </c>
      <c r="G273" s="1038"/>
      <c r="H273" s="1083"/>
      <c r="I273" s="1004"/>
      <c r="J273" s="1041" t="str">
        <f>IF(OR(F275=0,J274=0),$R$3,"")</f>
        <v/>
      </c>
      <c r="K273" s="1119"/>
      <c r="L273" s="1120"/>
      <c r="M273" s="1120"/>
      <c r="N273" s="1118"/>
      <c r="O273" s="1118"/>
    </row>
    <row r="274" spans="2:15" ht="16.5" thickBot="1">
      <c r="D274" s="953"/>
      <c r="E274" s="155"/>
      <c r="F274" s="965" t="s">
        <v>2844</v>
      </c>
      <c r="G274" s="966"/>
      <c r="H274" s="967"/>
      <c r="I274" s="968" t="s">
        <v>1358</v>
      </c>
      <c r="J274" s="971">
        <f>重み!N37</f>
        <v>5.1724137931034482E-2</v>
      </c>
      <c r="K274" s="1119"/>
      <c r="L274" s="1120"/>
      <c r="M274" s="1120"/>
      <c r="N274" s="1118"/>
      <c r="O274" s="1118"/>
    </row>
    <row r="275" spans="2:15" ht="16.5" thickBot="1">
      <c r="D275" s="953"/>
      <c r="E275" s="155"/>
      <c r="F275" s="972">
        <v>3</v>
      </c>
      <c r="G275" s="1084" t="s">
        <v>1893</v>
      </c>
      <c r="H275" s="977"/>
      <c r="I275" s="977"/>
      <c r="J275" s="978"/>
      <c r="K275" s="1119"/>
      <c r="L275" s="1120"/>
      <c r="M275" s="1120"/>
      <c r="N275" s="1118"/>
      <c r="O275" s="1118"/>
    </row>
    <row r="276" spans="2:15" ht="15.75">
      <c r="B276" s="1">
        <v>1</v>
      </c>
      <c r="C276" s="1">
        <v>1</v>
      </c>
      <c r="D276" s="953"/>
      <c r="E276" s="155"/>
      <c r="F276" s="979" t="str">
        <f>IF(F275=$S$15,$T$10,IF(ROUNDDOWN(F275,0)=$S$10,$U$10,$T$10))</f>
        <v>　レベル　1</v>
      </c>
      <c r="G276" s="2731" t="s">
        <v>896</v>
      </c>
      <c r="H276" s="2757"/>
      <c r="I276" s="2757"/>
      <c r="J276" s="2732"/>
      <c r="K276" s="1119"/>
      <c r="L276" s="1120"/>
      <c r="M276" s="1120"/>
      <c r="N276" s="1118"/>
      <c r="O276" s="1118"/>
    </row>
    <row r="277" spans="2:15" ht="15.75">
      <c r="B277" s="1" t="s">
        <v>2845</v>
      </c>
      <c r="C277" s="1">
        <v>2</v>
      </c>
      <c r="D277" s="953"/>
      <c r="E277" s="155"/>
      <c r="F277" s="984" t="str">
        <f>IF(F275=$S$15,$T$11,IF(ROUNDDOWN(F275,0)=$S$11,$U$11,$T$11))</f>
        <v>　レベル　2</v>
      </c>
      <c r="G277" s="2727" t="s">
        <v>2168</v>
      </c>
      <c r="H277" s="2728"/>
      <c r="I277" s="2728"/>
      <c r="J277" s="2729"/>
      <c r="K277" s="1119"/>
      <c r="L277" s="1120"/>
      <c r="M277" s="1120"/>
      <c r="N277" s="1118"/>
      <c r="O277" s="1118"/>
    </row>
    <row r="278" spans="2:15" ht="15.75">
      <c r="B278" s="1">
        <v>3</v>
      </c>
      <c r="C278" s="1">
        <v>3</v>
      </c>
      <c r="D278" s="953"/>
      <c r="E278" s="155"/>
      <c r="F278" s="984" t="str">
        <f>IF(F275=$S$15,$T$12,IF(ROUNDDOWN(F275,0)=$S$12,$U$12,$T$12))</f>
        <v>■レベル　3</v>
      </c>
      <c r="G278" s="2727" t="s">
        <v>897</v>
      </c>
      <c r="H278" s="2728"/>
      <c r="I278" s="2728"/>
      <c r="J278" s="2729"/>
      <c r="K278" s="1119"/>
      <c r="L278" s="1120"/>
      <c r="M278" s="1120"/>
      <c r="N278" s="1118"/>
      <c r="O278" s="1118"/>
    </row>
    <row r="279" spans="2:15" ht="15.75">
      <c r="B279" s="1" t="s">
        <v>2845</v>
      </c>
      <c r="C279" s="1">
        <v>4</v>
      </c>
      <c r="D279" s="953"/>
      <c r="E279" s="155"/>
      <c r="F279" s="984" t="str">
        <f>IF(F275=$S$15,$T$13,IF(ROUNDDOWN(F275,0)=$S$13,$U$13,$T$13))</f>
        <v>　レベル　4</v>
      </c>
      <c r="G279" s="2727" t="s">
        <v>2168</v>
      </c>
      <c r="H279" s="2728"/>
      <c r="I279" s="2728"/>
      <c r="J279" s="2729"/>
      <c r="K279" s="1119"/>
      <c r="L279" s="1120"/>
      <c r="M279" s="1120"/>
      <c r="N279" s="1118"/>
      <c r="O279" s="1118"/>
    </row>
    <row r="280" spans="2:15" ht="15.75">
      <c r="B280" s="1">
        <v>5</v>
      </c>
      <c r="C280" s="1">
        <v>5</v>
      </c>
      <c r="D280" s="953"/>
      <c r="E280" s="155"/>
      <c r="F280" s="995" t="str">
        <f>IF(F275=$S$15,$T$14,IF(ROUNDDOWN(F275,0)=$S$14,$U$14,$T$14))</f>
        <v>　レベル　5</v>
      </c>
      <c r="G280" s="2754" t="s">
        <v>898</v>
      </c>
      <c r="H280" s="2755"/>
      <c r="I280" s="2755"/>
      <c r="J280" s="2756"/>
      <c r="K280" s="1119"/>
      <c r="L280" s="1120"/>
      <c r="M280" s="1120"/>
      <c r="N280" s="1118"/>
      <c r="O280" s="1118"/>
    </row>
    <row r="281" spans="2:15" ht="15.75">
      <c r="B281" s="1002">
        <v>0</v>
      </c>
      <c r="C281" s="1002">
        <v>0</v>
      </c>
      <c r="D281" s="953"/>
      <c r="E281" s="155"/>
      <c r="F281" s="1117"/>
      <c r="G281" s="1118"/>
      <c r="H281" s="1099"/>
      <c r="I281" s="1118"/>
      <c r="J281" s="1118"/>
      <c r="K281" s="1119"/>
      <c r="L281" s="1120"/>
      <c r="M281" s="1120"/>
      <c r="N281" s="1118"/>
      <c r="O281" s="1118"/>
    </row>
    <row r="282" spans="2:15" ht="15.75">
      <c r="D282" s="953"/>
      <c r="E282" s="155"/>
      <c r="F282" s="961" t="s">
        <v>899</v>
      </c>
      <c r="G282" s="1038"/>
      <c r="H282" s="1083"/>
      <c r="I282" s="1004"/>
      <c r="J282" s="1041" t="str">
        <f>IF(OR(F284=0,AND(J283=0,O283=0)),$R$3,"")</f>
        <v/>
      </c>
      <c r="K282" s="1121"/>
      <c r="L282" s="1038"/>
      <c r="M282" s="1083"/>
      <c r="N282" s="1004"/>
      <c r="O282" s="1041"/>
    </row>
    <row r="283" spans="2:15" ht="16.5" thickBot="1">
      <c r="D283" s="953"/>
      <c r="E283" s="1096"/>
      <c r="F283" s="965" t="s">
        <v>2846</v>
      </c>
      <c r="G283" s="966"/>
      <c r="H283" s="967"/>
      <c r="I283" s="968" t="s">
        <v>1358</v>
      </c>
      <c r="J283" s="971">
        <f>重み!M38</f>
        <v>0.4</v>
      </c>
      <c r="K283" s="965" t="s">
        <v>1961</v>
      </c>
      <c r="L283" s="966"/>
      <c r="M283" s="967"/>
      <c r="N283" s="968" t="s">
        <v>1358</v>
      </c>
      <c r="O283" s="971">
        <f>重み!N38</f>
        <v>3.4482758620689662E-2</v>
      </c>
    </row>
    <row r="284" spans="2:15" ht="16.5" thickBot="1">
      <c r="D284" s="953"/>
      <c r="E284" s="1096"/>
      <c r="F284" s="972">
        <v>3</v>
      </c>
      <c r="G284" s="1084" t="s">
        <v>900</v>
      </c>
      <c r="H284" s="977"/>
      <c r="I284" s="1084" t="s">
        <v>3390</v>
      </c>
      <c r="J284" s="978"/>
      <c r="K284" s="972">
        <v>3</v>
      </c>
      <c r="L284" s="1084" t="s">
        <v>901</v>
      </c>
      <c r="M284" s="978"/>
      <c r="N284" s="1084"/>
      <c r="O284" s="1089"/>
    </row>
    <row r="285" spans="2:15" ht="15.75" customHeight="1">
      <c r="B285" s="1" t="s">
        <v>2847</v>
      </c>
      <c r="C285" s="1" t="s">
        <v>2847</v>
      </c>
      <c r="D285" s="953"/>
      <c r="E285" s="1097"/>
      <c r="F285" s="979" t="str">
        <f>IF(F284=$S$15,$T$10,IF(ROUNDDOWN(F284,0)=$S$10,$U$10,$T$10))</f>
        <v>　レベル　1</v>
      </c>
      <c r="G285" s="2731" t="s">
        <v>2168</v>
      </c>
      <c r="H285" s="2732"/>
      <c r="I285" s="2731" t="s">
        <v>2168</v>
      </c>
      <c r="J285" s="2733"/>
      <c r="K285" s="979" t="str">
        <f>IF(K284=$S$15,$T$10,IF(ROUNDDOWN(K284,0)=$S$10,$U$10,$T$10))</f>
        <v>　レベル　1</v>
      </c>
      <c r="L285" s="2731" t="s">
        <v>2168</v>
      </c>
      <c r="M285" s="2757"/>
      <c r="N285" s="2757"/>
      <c r="O285" s="2732"/>
    </row>
    <row r="286" spans="2:15" ht="15.75" customHeight="1">
      <c r="B286" s="1" t="s">
        <v>2847</v>
      </c>
      <c r="C286" s="1" t="s">
        <v>2847</v>
      </c>
      <c r="D286" s="953"/>
      <c r="E286" s="1097"/>
      <c r="F286" s="984" t="str">
        <f>IF(F284=$S$15,$T$11,IF(ROUNDDOWN(F284,0)=$S$11,$U$11,$T$11))</f>
        <v>　レベル　2</v>
      </c>
      <c r="G286" s="2727" t="s">
        <v>2168</v>
      </c>
      <c r="H286" s="2734"/>
      <c r="I286" s="2727" t="s">
        <v>2168</v>
      </c>
      <c r="J286" s="2734"/>
      <c r="K286" s="984" t="str">
        <f>IF(K284=$S$15,$T$11,IF(ROUNDDOWN(K284,0)=$S$11,$U$11,$T$11))</f>
        <v>　レベル　2</v>
      </c>
      <c r="L286" s="2758" t="s">
        <v>2168</v>
      </c>
      <c r="M286" s="2759"/>
      <c r="N286" s="2759"/>
      <c r="O286" s="2760"/>
    </row>
    <row r="287" spans="2:15" ht="15.75" customHeight="1">
      <c r="B287" s="1">
        <v>3</v>
      </c>
      <c r="C287" s="1">
        <v>3</v>
      </c>
      <c r="D287" s="953"/>
      <c r="E287" s="1097"/>
      <c r="F287" s="984" t="str">
        <f>IF(F284=$S$15,$T$12,IF(ROUNDDOWN(F284,0)=$S$12,$U$12,$T$12))</f>
        <v>■レベル　3</v>
      </c>
      <c r="G287" s="2727" t="s">
        <v>902</v>
      </c>
      <c r="H287" s="2734"/>
      <c r="I287" s="2727" t="s">
        <v>2848</v>
      </c>
      <c r="J287" s="2734"/>
      <c r="K287" s="984" t="str">
        <f>IF(K284=$S$15,$T$12,IF(ROUNDDOWN(K284,0)=$S$12,$U$12,$T$12))</f>
        <v>■レベル　3</v>
      </c>
      <c r="L287" s="2758" t="s">
        <v>2848</v>
      </c>
      <c r="M287" s="2759"/>
      <c r="N287" s="2759"/>
      <c r="O287" s="2760"/>
    </row>
    <row r="288" spans="2:15" ht="15.75" customHeight="1">
      <c r="B288" s="1">
        <v>4</v>
      </c>
      <c r="C288" s="1" t="s">
        <v>2847</v>
      </c>
      <c r="D288" s="953"/>
      <c r="E288" s="1097"/>
      <c r="F288" s="984" t="str">
        <f>IF(F284=$S$15,$T$13,IF(ROUNDDOWN(F284,0)=$S$13,$U$13,$T$13))</f>
        <v>　レベル　4</v>
      </c>
      <c r="G288" s="2727" t="s">
        <v>903</v>
      </c>
      <c r="H288" s="2734"/>
      <c r="I288" s="2727" t="s">
        <v>2168</v>
      </c>
      <c r="J288" s="2734"/>
      <c r="K288" s="984" t="str">
        <f>IF(K284=$S$15,$T$13,IF(ROUNDDOWN(K284,0)=$S$13,$U$13,$T$13))</f>
        <v>　レベル　4</v>
      </c>
      <c r="L288" s="2758" t="s">
        <v>2168</v>
      </c>
      <c r="M288" s="2759"/>
      <c r="N288" s="2759"/>
      <c r="O288" s="2760"/>
    </row>
    <row r="289" spans="2:15" ht="33.75" customHeight="1">
      <c r="B289" s="1">
        <v>5</v>
      </c>
      <c r="C289" s="1">
        <v>5</v>
      </c>
      <c r="D289" s="953"/>
      <c r="E289" s="1097"/>
      <c r="F289" s="995" t="str">
        <f>IF(F284=$S$15,$T$14,IF(ROUNDDOWN(F284,0)=$S$14,$U$14,$T$14))</f>
        <v>　レベル　5</v>
      </c>
      <c r="G289" s="2724" t="s">
        <v>1491</v>
      </c>
      <c r="H289" s="2743"/>
      <c r="I289" s="2724" t="s">
        <v>1492</v>
      </c>
      <c r="J289" s="2743"/>
      <c r="K289" s="995" t="str">
        <f>IF(K284=$S$15,$T$14,IF(ROUNDDOWN(K284,0)=$S$14,$U$14,$T$14))</f>
        <v>　レベル　5</v>
      </c>
      <c r="L289" s="2754" t="s">
        <v>1492</v>
      </c>
      <c r="M289" s="2755"/>
      <c r="N289" s="2755"/>
      <c r="O289" s="2756"/>
    </row>
    <row r="290" spans="2:15" ht="15.75">
      <c r="B290" s="1002">
        <v>0</v>
      </c>
      <c r="C290" s="1002">
        <v>0</v>
      </c>
      <c r="D290" s="953"/>
      <c r="E290" s="537"/>
      <c r="F290" s="537"/>
      <c r="G290" s="1037"/>
      <c r="H290" s="1037"/>
      <c r="I290" s="1037"/>
      <c r="J290" s="1037"/>
      <c r="K290" s="1037"/>
      <c r="L290" s="1037"/>
      <c r="M290" s="1037"/>
      <c r="N290" s="1037"/>
      <c r="O290" s="1037"/>
    </row>
    <row r="291" spans="2:15" ht="15.75">
      <c r="D291" s="949">
        <v>3.2</v>
      </c>
      <c r="E291" s="960" t="s">
        <v>904</v>
      </c>
      <c r="F291" s="959"/>
      <c r="G291" s="1038"/>
      <c r="H291" s="1082"/>
      <c r="I291" s="1082"/>
      <c r="J291" s="1082"/>
      <c r="K291" s="1082"/>
      <c r="L291" s="1038"/>
      <c r="M291" s="1082"/>
      <c r="N291" s="1082"/>
      <c r="O291" s="1082"/>
    </row>
    <row r="292" spans="2:15" ht="15.75" hidden="1">
      <c r="D292" s="953"/>
      <c r="E292" s="155"/>
      <c r="F292" s="2241" t="s">
        <v>905</v>
      </c>
      <c r="G292" s="1038"/>
      <c r="H292" s="1083"/>
      <c r="I292" s="1004"/>
      <c r="J292" s="1041" t="str">
        <f>IF(OR(F294=0,AND(J293=0,O293=0)),$R$3,"")</f>
        <v>&lt;評価しない&gt;</v>
      </c>
      <c r="K292" s="1121"/>
      <c r="L292" s="1038"/>
      <c r="M292" s="1083"/>
      <c r="N292" s="1004"/>
      <c r="O292" s="1041"/>
    </row>
    <row r="293" spans="2:15" ht="15.75" hidden="1">
      <c r="D293" s="953"/>
      <c r="E293" s="155"/>
      <c r="F293" s="965" t="s">
        <v>1493</v>
      </c>
      <c r="G293" s="966"/>
      <c r="H293" s="967"/>
      <c r="I293" s="968" t="s">
        <v>1358</v>
      </c>
      <c r="J293" s="971">
        <f>重み!M40</f>
        <v>0.28965517241379313</v>
      </c>
      <c r="K293" s="965" t="s">
        <v>1961</v>
      </c>
      <c r="L293" s="966"/>
      <c r="M293" s="967"/>
      <c r="N293" s="968" t="s">
        <v>1358</v>
      </c>
      <c r="O293" s="971">
        <f>重み!N40</f>
        <v>6.8965517241379323E-2</v>
      </c>
    </row>
    <row r="294" spans="2:15" ht="16.5" hidden="1" thickBot="1">
      <c r="D294" s="953"/>
      <c r="E294" s="155"/>
      <c r="F294" s="972">
        <v>0</v>
      </c>
      <c r="G294" s="1084" t="s">
        <v>886</v>
      </c>
      <c r="H294" s="977"/>
      <c r="I294" s="1084"/>
      <c r="J294" s="978"/>
      <c r="K294" s="972">
        <v>0</v>
      </c>
      <c r="L294" s="1084" t="s">
        <v>901</v>
      </c>
      <c r="M294" s="978"/>
      <c r="N294" s="1084"/>
      <c r="O294" s="1089"/>
    </row>
    <row r="295" spans="2:15" ht="15.75" hidden="1">
      <c r="B295" s="1">
        <v>1</v>
      </c>
      <c r="C295" s="1">
        <v>1</v>
      </c>
      <c r="D295" s="953"/>
      <c r="E295" s="155"/>
      <c r="F295" s="979" t="str">
        <f>IF(F294=$S$15,$T$10,IF(ROUNDDOWN(F294,0)=$S$10,$U$10,$T$10))</f>
        <v>　レベル　1</v>
      </c>
      <c r="G295" s="2731" t="s">
        <v>809</v>
      </c>
      <c r="H295" s="2757"/>
      <c r="I295" s="2757"/>
      <c r="J295" s="2732"/>
      <c r="K295" s="979" t="str">
        <f>IF(K294=$S$15,$T$10,IF(ROUNDDOWN(K294,0)=$S$10,$U$10,$T$10))</f>
        <v>　レベル　1</v>
      </c>
      <c r="L295" s="2731" t="s">
        <v>810</v>
      </c>
      <c r="M295" s="2757"/>
      <c r="N295" s="2757"/>
      <c r="O295" s="2732"/>
    </row>
    <row r="296" spans="2:15" ht="15.75" hidden="1">
      <c r="B296" s="1" t="s">
        <v>1494</v>
      </c>
      <c r="C296" s="1" t="s">
        <v>1494</v>
      </c>
      <c r="D296" s="953"/>
      <c r="E296" s="155"/>
      <c r="F296" s="984" t="str">
        <f>IF(F294=$S$15,$T$11,IF(ROUNDDOWN(F294,0)=$S$11,$U$11,$T$11))</f>
        <v>　レベル　2</v>
      </c>
      <c r="G296" s="2758" t="s">
        <v>2168</v>
      </c>
      <c r="H296" s="2759"/>
      <c r="I296" s="2759"/>
      <c r="J296" s="2760"/>
      <c r="K296" s="984" t="str">
        <f>IF(K294=$S$15,$T$11,IF(ROUNDDOWN(K294,0)=$S$11,$U$11,$T$11))</f>
        <v>　レベル　2</v>
      </c>
      <c r="L296" s="2758" t="s">
        <v>2168</v>
      </c>
      <c r="M296" s="2759"/>
      <c r="N296" s="2759"/>
      <c r="O296" s="2760"/>
    </row>
    <row r="297" spans="2:15" ht="15.75" hidden="1">
      <c r="B297" s="1">
        <v>3</v>
      </c>
      <c r="C297" s="1">
        <v>3</v>
      </c>
      <c r="D297" s="953"/>
      <c r="E297" s="155"/>
      <c r="F297" s="984" t="str">
        <f>IF(F294=$S$15,$T$12,IF(ROUNDDOWN(F294,0)=$S$12,$U$12,$T$12))</f>
        <v>　レベル　3</v>
      </c>
      <c r="G297" s="2785" t="s">
        <v>811</v>
      </c>
      <c r="H297" s="2786"/>
      <c r="I297" s="2786"/>
      <c r="J297" s="2787"/>
      <c r="K297" s="984" t="str">
        <f>IF(K294=$S$15,$T$12,IF(ROUNDDOWN(K294,0)=$S$12,$U$12,$T$12))</f>
        <v>　レベル　3</v>
      </c>
      <c r="L297" s="2785" t="s">
        <v>1495</v>
      </c>
      <c r="M297" s="2786"/>
      <c r="N297" s="2786"/>
      <c r="O297" s="2787"/>
    </row>
    <row r="298" spans="2:15" ht="15.75" hidden="1">
      <c r="B298" s="1" t="s">
        <v>1494</v>
      </c>
      <c r="C298" s="1" t="s">
        <v>1494</v>
      </c>
      <c r="D298" s="953"/>
      <c r="E298" s="155"/>
      <c r="F298" s="984" t="str">
        <f>IF(F294=$S$15,$T$13,IF(ROUNDDOWN(F294,0)=$S$13,$U$13,$T$13))</f>
        <v>　レベル　4</v>
      </c>
      <c r="G298" s="2758" t="s">
        <v>2168</v>
      </c>
      <c r="H298" s="2759"/>
      <c r="I298" s="2759"/>
      <c r="J298" s="2760"/>
      <c r="K298" s="984" t="str">
        <f>IF(K294=$S$15,$T$13,IF(ROUNDDOWN(K294,0)=$S$13,$U$13,$T$13))</f>
        <v>　レベル　4</v>
      </c>
      <c r="L298" s="2758" t="s">
        <v>2168</v>
      </c>
      <c r="M298" s="2759"/>
      <c r="N298" s="2759"/>
      <c r="O298" s="2760"/>
    </row>
    <row r="299" spans="2:15" ht="15.75" hidden="1">
      <c r="B299" s="1">
        <v>5</v>
      </c>
      <c r="C299" s="1">
        <v>5</v>
      </c>
      <c r="D299" s="953"/>
      <c r="E299" s="155"/>
      <c r="F299" s="995" t="str">
        <f>IF(F294=$S$15,$T$14,IF(ROUNDDOWN(F294,0)=$S$14,$U$14,$T$14))</f>
        <v>　レベル　5</v>
      </c>
      <c r="G299" s="2754" t="s">
        <v>812</v>
      </c>
      <c r="H299" s="2755"/>
      <c r="I299" s="2755"/>
      <c r="J299" s="2756"/>
      <c r="K299" s="995" t="str">
        <f>IF(K294=$S$15,$T$14,IF(ROUNDDOWN(K294,0)=$S$14,$U$14,$T$14))</f>
        <v>　レベル　5</v>
      </c>
      <c r="L299" s="2754" t="s">
        <v>1496</v>
      </c>
      <c r="M299" s="2755"/>
      <c r="N299" s="2755"/>
      <c r="O299" s="2756"/>
    </row>
    <row r="300" spans="2:15" ht="15.75" hidden="1">
      <c r="B300" s="1002">
        <v>0</v>
      </c>
      <c r="C300" s="1002">
        <v>0</v>
      </c>
      <c r="D300" s="953"/>
      <c r="E300" s="246"/>
      <c r="F300" s="246"/>
      <c r="G300" s="1146"/>
      <c r="H300" s="1146"/>
      <c r="I300" s="1146"/>
      <c r="J300" s="1146"/>
      <c r="K300" s="1146"/>
      <c r="L300" s="1146"/>
      <c r="M300" s="1146"/>
      <c r="N300" s="1146"/>
      <c r="O300" s="1146"/>
    </row>
    <row r="301" spans="2:15" ht="15.75">
      <c r="D301" s="953"/>
      <c r="E301" s="246"/>
      <c r="F301" s="961" t="s">
        <v>2904</v>
      </c>
      <c r="G301" s="1038"/>
      <c r="H301" s="1083"/>
      <c r="I301" s="1004"/>
      <c r="J301" s="1041" t="str">
        <f>IF(OR(F303=0,AND(J302=0,O302=0)),$R$3,"")</f>
        <v/>
      </c>
      <c r="K301" s="1121"/>
      <c r="L301" s="1038"/>
      <c r="M301" s="1083"/>
      <c r="N301" s="1004"/>
      <c r="O301" s="1041"/>
    </row>
    <row r="302" spans="2:15" ht="16.5" thickBot="1">
      <c r="D302" s="953"/>
      <c r="E302" s="246"/>
      <c r="F302" s="965" t="s">
        <v>1314</v>
      </c>
      <c r="G302" s="966"/>
      <c r="H302" s="967"/>
      <c r="I302" s="968" t="s">
        <v>1358</v>
      </c>
      <c r="J302" s="971">
        <f>重み!M41</f>
        <v>0.4206896551724138</v>
      </c>
      <c r="K302" s="965" t="s">
        <v>1961</v>
      </c>
      <c r="L302" s="966"/>
      <c r="M302" s="967"/>
      <c r="N302" s="968" t="s">
        <v>1358</v>
      </c>
      <c r="O302" s="971">
        <f>重み!N41</f>
        <v>0.10344827586206896</v>
      </c>
    </row>
    <row r="303" spans="2:15" ht="16.5" thickBot="1">
      <c r="D303" s="953"/>
      <c r="E303" s="246"/>
      <c r="F303" s="972">
        <v>3</v>
      </c>
      <c r="G303" s="1084" t="s">
        <v>484</v>
      </c>
      <c r="H303" s="977"/>
      <c r="I303" s="1084" t="s">
        <v>485</v>
      </c>
      <c r="J303" s="978"/>
      <c r="K303" s="972">
        <v>3</v>
      </c>
      <c r="L303" s="1084" t="s">
        <v>901</v>
      </c>
      <c r="M303" s="978"/>
      <c r="N303" s="1084"/>
      <c r="O303" s="1089"/>
    </row>
    <row r="304" spans="2:15" ht="15.75">
      <c r="B304" s="1">
        <v>1</v>
      </c>
      <c r="C304" s="1">
        <v>1</v>
      </c>
      <c r="D304" s="953"/>
      <c r="E304" s="246"/>
      <c r="F304" s="979" t="str">
        <f>IF(F303=$S$15,$T$10,IF(ROUNDDOWN(F303,0)=$S$10,$U$10,$T$10))</f>
        <v>　レベル　1</v>
      </c>
      <c r="G304" s="2731" t="s">
        <v>1497</v>
      </c>
      <c r="H304" s="2732"/>
      <c r="I304" s="2731" t="s">
        <v>1497</v>
      </c>
      <c r="J304" s="2732"/>
      <c r="K304" s="979" t="str">
        <f>IF(K303=$S$15,$T$10,IF(ROUNDDOWN(K303,0)=$S$10,$U$10,$T$10))</f>
        <v>　レベル　1</v>
      </c>
      <c r="L304" s="2731" t="s">
        <v>486</v>
      </c>
      <c r="M304" s="2757"/>
      <c r="N304" s="2757"/>
      <c r="O304" s="2732"/>
    </row>
    <row r="305" spans="2:15" ht="33.75" customHeight="1">
      <c r="B305" s="1">
        <v>2</v>
      </c>
      <c r="C305" s="1" t="s">
        <v>2847</v>
      </c>
      <c r="D305" s="953"/>
      <c r="E305" s="246"/>
      <c r="F305" s="984" t="str">
        <f>IF(F303=$S$15,$T$11,IF(ROUNDDOWN(F303,0)=$S$11,$U$11,$T$11))</f>
        <v>　レベル　2</v>
      </c>
      <c r="G305" s="2727" t="s">
        <v>1498</v>
      </c>
      <c r="H305" s="2734"/>
      <c r="I305" s="2727" t="s">
        <v>2168</v>
      </c>
      <c r="J305" s="2734"/>
      <c r="K305" s="984" t="str">
        <f>IF(K303=$S$15,$T$11,IF(ROUNDDOWN(K303,0)=$S$11,$U$11,$T$11))</f>
        <v>　レベル　2</v>
      </c>
      <c r="L305" s="2758" t="s">
        <v>2168</v>
      </c>
      <c r="M305" s="2759"/>
      <c r="N305" s="2759"/>
      <c r="O305" s="2760"/>
    </row>
    <row r="306" spans="2:15" ht="44.25" customHeight="1">
      <c r="B306" s="1">
        <v>3</v>
      </c>
      <c r="C306" s="1">
        <v>3</v>
      </c>
      <c r="D306" s="953"/>
      <c r="E306" s="246"/>
      <c r="F306" s="984" t="str">
        <f>IF(F303=$S$15,$T$12,IF(ROUNDDOWN(F303,0)=$S$12,$U$12,$T$12))</f>
        <v>■レベル　3</v>
      </c>
      <c r="G306" s="2727" t="s">
        <v>1499</v>
      </c>
      <c r="H306" s="2734"/>
      <c r="I306" s="2727" t="s">
        <v>1500</v>
      </c>
      <c r="J306" s="2734"/>
      <c r="K306" s="984" t="str">
        <f>IF(K303=$S$15,$T$12,IF(ROUNDDOWN(K303,0)=$S$12,$U$12,$T$12))</f>
        <v>■レベル　3</v>
      </c>
      <c r="L306" s="2758" t="s">
        <v>1500</v>
      </c>
      <c r="M306" s="2759"/>
      <c r="N306" s="2759"/>
      <c r="O306" s="2760"/>
    </row>
    <row r="307" spans="2:15" ht="57" customHeight="1">
      <c r="B307" s="1">
        <v>4</v>
      </c>
      <c r="C307" s="1">
        <v>4</v>
      </c>
      <c r="D307" s="953"/>
      <c r="E307" s="246"/>
      <c r="F307" s="984" t="str">
        <f>IF(F303=$S$15,$T$13,IF(ROUNDDOWN(F303,0)=$S$13,$U$13,$T$13))</f>
        <v>　レベル　4</v>
      </c>
      <c r="G307" s="2727" t="s">
        <v>1501</v>
      </c>
      <c r="H307" s="2734"/>
      <c r="I307" s="2727" t="s">
        <v>3117</v>
      </c>
      <c r="J307" s="2734"/>
      <c r="K307" s="984" t="str">
        <f>IF(K303=$S$15,$T$13,IF(ROUNDDOWN(K303,0)=$S$13,$U$13,$T$13))</f>
        <v>　レベル　4</v>
      </c>
      <c r="L307" s="2758" t="s">
        <v>1502</v>
      </c>
      <c r="M307" s="2759"/>
      <c r="N307" s="2759"/>
      <c r="O307" s="2760"/>
    </row>
    <row r="308" spans="2:15" ht="53.25" customHeight="1">
      <c r="B308" s="1">
        <v>5</v>
      </c>
      <c r="C308" s="1">
        <v>5</v>
      </c>
      <c r="D308" s="953"/>
      <c r="E308" s="246"/>
      <c r="F308" s="995" t="str">
        <f>IF(F303=$S$15,$T$14,IF(ROUNDDOWN(F303,0)=$S$14,$U$14,$T$14))</f>
        <v>　レベル　5</v>
      </c>
      <c r="G308" s="2724" t="s">
        <v>17</v>
      </c>
      <c r="H308" s="2743"/>
      <c r="I308" s="2724" t="s">
        <v>3118</v>
      </c>
      <c r="J308" s="2743"/>
      <c r="K308" s="995" t="str">
        <f>IF(K303=$S$15,$T$14,IF(ROUNDDOWN(K303,0)=$S$14,$U$14,$T$14))</f>
        <v>　レベル　5</v>
      </c>
      <c r="L308" s="2754" t="s">
        <v>1503</v>
      </c>
      <c r="M308" s="2755"/>
      <c r="N308" s="2755"/>
      <c r="O308" s="2756"/>
    </row>
    <row r="309" spans="2:15" ht="15.75">
      <c r="B309" s="1002">
        <v>0</v>
      </c>
      <c r="C309" s="1002">
        <v>0</v>
      </c>
      <c r="D309" s="953"/>
      <c r="E309" s="246"/>
      <c r="F309" s="246"/>
      <c r="G309" s="1146"/>
      <c r="H309" s="1146"/>
      <c r="I309" s="1146"/>
      <c r="J309" s="1146"/>
      <c r="K309" s="1146"/>
      <c r="L309" s="1146"/>
      <c r="M309" s="1146"/>
      <c r="N309" s="1146"/>
      <c r="O309" s="1146"/>
    </row>
    <row r="310" spans="2:15" ht="15.75">
      <c r="D310" s="953"/>
      <c r="E310" s="246"/>
      <c r="F310" s="961" t="s">
        <v>2905</v>
      </c>
      <c r="G310" s="1038"/>
      <c r="H310" s="1083"/>
      <c r="I310" s="1004"/>
      <c r="J310" s="1041" t="str">
        <f>IF(OR(F312=0,J311=0),$R$3,"")</f>
        <v/>
      </c>
      <c r="K310" s="1146"/>
      <c r="L310" s="1146"/>
      <c r="M310" s="1146"/>
      <c r="N310" s="1146"/>
      <c r="O310" s="1146"/>
    </row>
    <row r="311" spans="2:15" ht="16.5" thickBot="1">
      <c r="B311" s="1147" t="s">
        <v>778</v>
      </c>
      <c r="D311" s="953"/>
      <c r="E311" s="246"/>
      <c r="F311" s="965" t="s">
        <v>280</v>
      </c>
      <c r="G311" s="966"/>
      <c r="H311" s="967"/>
      <c r="I311" s="968" t="s">
        <v>1358</v>
      </c>
      <c r="J311" s="971">
        <f>重み!M42</f>
        <v>8.2758620689655171E-2</v>
      </c>
      <c r="K311" s="1146"/>
      <c r="L311" s="1146"/>
      <c r="M311" s="1146"/>
      <c r="N311" s="1146"/>
      <c r="O311" s="1146"/>
    </row>
    <row r="312" spans="2:15" ht="16.5" thickBot="1">
      <c r="D312" s="953"/>
      <c r="E312" s="246"/>
      <c r="F312" s="972">
        <v>3</v>
      </c>
      <c r="G312" s="1084" t="s">
        <v>488</v>
      </c>
      <c r="H312" s="977"/>
      <c r="I312" s="977"/>
      <c r="J312" s="978"/>
      <c r="K312" s="1146"/>
      <c r="L312" s="1146"/>
      <c r="M312" s="1146"/>
      <c r="N312" s="1146"/>
      <c r="O312" s="1146"/>
    </row>
    <row r="313" spans="2:15" ht="15.75">
      <c r="B313" s="1">
        <v>1</v>
      </c>
      <c r="C313" s="1">
        <v>1</v>
      </c>
      <c r="D313" s="953"/>
      <c r="E313" s="246"/>
      <c r="F313" s="979" t="str">
        <f>IF(F312=$S$15,$T$10,IF(ROUNDDOWN(F312,0)=$S$10,$U$10,$T$10))</f>
        <v>　レベル　1</v>
      </c>
      <c r="G313" s="2731" t="s">
        <v>1504</v>
      </c>
      <c r="H313" s="2757"/>
      <c r="I313" s="2757"/>
      <c r="J313" s="2732"/>
      <c r="K313" s="1146"/>
      <c r="L313" s="1146"/>
      <c r="M313" s="1146"/>
      <c r="N313" s="1146"/>
      <c r="O313" s="1146"/>
    </row>
    <row r="314" spans="2:15" ht="15.75">
      <c r="B314" s="1" t="s">
        <v>2847</v>
      </c>
      <c r="C314" s="1">
        <v>2</v>
      </c>
      <c r="D314" s="953"/>
      <c r="E314" s="246"/>
      <c r="F314" s="984" t="str">
        <f>IF(F312=$S$15,$T$11,IF(ROUNDDOWN(F312,0)=$S$11,$U$11,$T$11))</f>
        <v>　レベル　2</v>
      </c>
      <c r="G314" s="2758" t="s">
        <v>2168</v>
      </c>
      <c r="H314" s="2759"/>
      <c r="I314" s="2759"/>
      <c r="J314" s="2760"/>
      <c r="K314" s="1146"/>
      <c r="L314" s="1146"/>
      <c r="M314" s="1146"/>
      <c r="N314" s="1146"/>
      <c r="O314" s="1146"/>
    </row>
    <row r="315" spans="2:15" ht="45.75" customHeight="1">
      <c r="B315" s="1">
        <v>3</v>
      </c>
      <c r="C315" s="1">
        <v>3</v>
      </c>
      <c r="D315" s="953"/>
      <c r="E315" s="246"/>
      <c r="F315" s="984" t="str">
        <f>IF(F312=$S$15,$T$12,IF(ROUNDDOWN(F312,0)=$S$12,$U$12,$T$12))</f>
        <v>■レベル　3</v>
      </c>
      <c r="G315" s="2758" t="s">
        <v>1505</v>
      </c>
      <c r="H315" s="2759"/>
      <c r="I315" s="2759"/>
      <c r="J315" s="2760"/>
      <c r="K315" s="1146"/>
      <c r="L315" s="1146"/>
      <c r="M315" s="1146"/>
      <c r="N315" s="1146"/>
      <c r="O315" s="1146"/>
    </row>
    <row r="316" spans="2:15" ht="15.75">
      <c r="B316" s="1" t="s">
        <v>2847</v>
      </c>
      <c r="C316" s="1">
        <v>4</v>
      </c>
      <c r="D316" s="953"/>
      <c r="E316" s="246"/>
      <c r="F316" s="984" t="str">
        <f>IF(F312=$S$15,$T$13,IF(ROUNDDOWN(F312,0)=$S$13,$U$13,$T$13))</f>
        <v>　レベル　4</v>
      </c>
      <c r="G316" s="2758" t="s">
        <v>2168</v>
      </c>
      <c r="H316" s="2759"/>
      <c r="I316" s="2759"/>
      <c r="J316" s="2760"/>
      <c r="K316" s="1146"/>
      <c r="L316" s="1146"/>
      <c r="M316" s="1146"/>
      <c r="N316" s="1146"/>
      <c r="O316" s="1146"/>
    </row>
    <row r="317" spans="2:15" ht="37.5" customHeight="1">
      <c r="B317" s="1">
        <v>5</v>
      </c>
      <c r="C317" s="1">
        <v>5</v>
      </c>
      <c r="D317" s="953"/>
      <c r="E317" s="246"/>
      <c r="F317" s="995" t="str">
        <f>IF(F312=$S$15,$T$14,IF(ROUNDDOWN(F312,0)=$S$14,$U$14,$T$14))</f>
        <v>　レベル　5</v>
      </c>
      <c r="G317" s="2754" t="s">
        <v>1506</v>
      </c>
      <c r="H317" s="2755"/>
      <c r="I317" s="2755"/>
      <c r="J317" s="2756"/>
      <c r="K317" s="1146"/>
      <c r="L317" s="1146"/>
      <c r="M317" s="1146"/>
      <c r="N317" s="1146"/>
      <c r="O317" s="1146"/>
    </row>
    <row r="318" spans="2:15" ht="15.75">
      <c r="B318" s="1002">
        <v>0</v>
      </c>
      <c r="C318" s="1002">
        <v>0</v>
      </c>
      <c r="D318" s="953"/>
      <c r="E318" s="246"/>
      <c r="F318" s="246"/>
      <c r="G318" s="1148" t="s">
        <v>489</v>
      </c>
      <c r="H318" s="1037"/>
      <c r="I318" s="1037"/>
      <c r="J318" s="1037"/>
      <c r="K318" s="1037"/>
      <c r="L318" s="1037"/>
      <c r="M318" s="1146"/>
      <c r="N318" s="1146"/>
      <c r="O318" s="1146"/>
    </row>
    <row r="319" spans="2:15" ht="15.75">
      <c r="D319" s="953"/>
      <c r="E319" s="246"/>
      <c r="F319" s="246"/>
      <c r="G319" s="1149" t="s">
        <v>490</v>
      </c>
      <c r="H319" s="1149" t="s">
        <v>1507</v>
      </c>
      <c r="I319" s="1150"/>
      <c r="J319" s="1150"/>
      <c r="K319" s="1150"/>
      <c r="L319" s="1150"/>
      <c r="M319" s="1151"/>
      <c r="N319" s="1146"/>
      <c r="O319" s="1146"/>
    </row>
    <row r="320" spans="2:15" ht="15.75">
      <c r="D320" s="953"/>
      <c r="E320" s="246"/>
      <c r="F320" s="246"/>
      <c r="G320" s="1149" t="s">
        <v>491</v>
      </c>
      <c r="H320" s="1149" t="s">
        <v>492</v>
      </c>
      <c r="I320" s="1150"/>
      <c r="J320" s="1150"/>
      <c r="K320" s="1150"/>
      <c r="L320" s="1150"/>
      <c r="M320" s="1151"/>
      <c r="N320" s="1146"/>
      <c r="O320" s="1146"/>
    </row>
    <row r="321" spans="2:15" ht="15.75">
      <c r="D321" s="953"/>
      <c r="E321" s="246"/>
      <c r="F321" s="246"/>
      <c r="G321" s="1149" t="s">
        <v>493</v>
      </c>
      <c r="H321" s="1149" t="s">
        <v>494</v>
      </c>
      <c r="I321" s="1150"/>
      <c r="J321" s="1150"/>
      <c r="K321" s="1150"/>
      <c r="L321" s="1150"/>
      <c r="M321" s="1151"/>
      <c r="N321" s="1146"/>
      <c r="O321" s="1146"/>
    </row>
    <row r="322" spans="2:15" ht="15.75">
      <c r="D322" s="953"/>
      <c r="E322" s="246"/>
      <c r="F322" s="246"/>
      <c r="G322" s="1149" t="s">
        <v>495</v>
      </c>
      <c r="H322" s="1149" t="s">
        <v>496</v>
      </c>
      <c r="I322" s="1149"/>
      <c r="J322" s="1150"/>
      <c r="K322" s="1150"/>
      <c r="L322" s="1150"/>
      <c r="M322" s="1151"/>
      <c r="N322" s="1146"/>
      <c r="O322" s="1146"/>
    </row>
    <row r="323" spans="2:15" ht="14.25">
      <c r="D323" s="2284"/>
      <c r="E323" s="1152"/>
      <c r="F323" s="959"/>
      <c r="G323" s="1038"/>
      <c r="H323" s="1082"/>
      <c r="I323" s="1082"/>
      <c r="J323" s="1082"/>
      <c r="K323" s="1082"/>
      <c r="L323" s="1038"/>
      <c r="M323" s="1082"/>
      <c r="N323" s="1082"/>
      <c r="O323" s="1146"/>
    </row>
    <row r="324" spans="2:15" ht="15.75">
      <c r="D324" s="949">
        <v>3.3</v>
      </c>
      <c r="E324" s="960" t="s">
        <v>980</v>
      </c>
      <c r="F324" s="1101"/>
      <c r="G324" s="1038"/>
      <c r="H324" s="1038"/>
      <c r="I324" s="1083"/>
      <c r="J324" s="1041" t="str">
        <f>IF(OR(F326=0,AND(J325=0,O325=0)),$R$3,"")</f>
        <v/>
      </c>
      <c r="K324" s="1004"/>
      <c r="L324" s="1004"/>
      <c r="M324" s="1037"/>
      <c r="N324" s="1004"/>
      <c r="O324" s="1004"/>
    </row>
    <row r="325" spans="2:15" ht="16.5" thickBot="1">
      <c r="D325" s="953"/>
      <c r="E325" s="155"/>
      <c r="F325" s="2259" t="s">
        <v>1508</v>
      </c>
      <c r="G325" s="1103"/>
      <c r="H325" s="1104"/>
      <c r="I325" s="968" t="s">
        <v>1358</v>
      </c>
      <c r="J325" s="966">
        <f>重み!M43</f>
        <v>0.16034482758620688</v>
      </c>
      <c r="K325" s="1103"/>
      <c r="L325" s="1105"/>
      <c r="M325" s="2260" t="s">
        <v>1961</v>
      </c>
      <c r="N325" s="968" t="s">
        <v>1358</v>
      </c>
      <c r="O325" s="970">
        <f>重み!N43</f>
        <v>2.5862068965517241E-2</v>
      </c>
    </row>
    <row r="326" spans="2:15" ht="16.5" thickBot="1">
      <c r="D326" s="953"/>
      <c r="E326" s="155"/>
      <c r="F326" s="972">
        <v>3</v>
      </c>
      <c r="G326" s="1084" t="s">
        <v>3391</v>
      </c>
      <c r="H326" s="978"/>
      <c r="I326" s="1089" t="s">
        <v>1509</v>
      </c>
      <c r="J326" s="1107" t="s">
        <v>1510</v>
      </c>
      <c r="K326" s="1107" t="s">
        <v>1511</v>
      </c>
      <c r="L326" s="1108" t="s">
        <v>1893</v>
      </c>
      <c r="M326" s="972">
        <v>3</v>
      </c>
      <c r="N326" s="1084" t="s">
        <v>1512</v>
      </c>
      <c r="O326" s="1109" t="s">
        <v>497</v>
      </c>
    </row>
    <row r="327" spans="2:15" ht="22.5" customHeight="1">
      <c r="B327" s="1">
        <v>1</v>
      </c>
      <c r="C327" s="1">
        <v>1</v>
      </c>
      <c r="D327" s="953"/>
      <c r="E327" s="155"/>
      <c r="F327" s="979" t="str">
        <f>IF(F326=$S$15,$T$10,IF(ROUNDDOWN(F326,0)=$S$10,$U$10,$T$10))</f>
        <v>　レベル　1</v>
      </c>
      <c r="G327" s="2731" t="s">
        <v>1811</v>
      </c>
      <c r="H327" s="2732"/>
      <c r="I327" s="1153" t="s">
        <v>1068</v>
      </c>
      <c r="J327" s="1045" t="s">
        <v>1069</v>
      </c>
      <c r="K327" s="1153" t="s">
        <v>1070</v>
      </c>
      <c r="L327" s="1153" t="s">
        <v>1070</v>
      </c>
      <c r="M327" s="979" t="str">
        <f>IF(M326=$S$15,$T$10,IF(ROUNDDOWN(M326,0)=$S$10,$U$10,$T$10))</f>
        <v>　レベル　1</v>
      </c>
      <c r="N327" s="980" t="s">
        <v>1071</v>
      </c>
      <c r="O327" s="1154" t="s">
        <v>1070</v>
      </c>
    </row>
    <row r="328" spans="2:15" ht="32.25" customHeight="1">
      <c r="B328" s="1">
        <v>2</v>
      </c>
      <c r="C328" s="1" t="s">
        <v>2845</v>
      </c>
      <c r="D328" s="953"/>
      <c r="E328" s="155"/>
      <c r="F328" s="984" t="str">
        <f>IF(F326=$S$15,$T$11,IF(ROUNDDOWN(F326,0)=$S$11,$U$11,$T$11))</f>
        <v>　レベル　2</v>
      </c>
      <c r="G328" s="2727" t="s">
        <v>16</v>
      </c>
      <c r="H328" s="2729"/>
      <c r="I328" s="1155" t="s">
        <v>2168</v>
      </c>
      <c r="J328" s="1155" t="s">
        <v>2168</v>
      </c>
      <c r="K328" s="1155" t="s">
        <v>2168</v>
      </c>
      <c r="L328" s="1155" t="s">
        <v>2168</v>
      </c>
      <c r="M328" s="984" t="str">
        <f>IF(M326=$S$15,$T$11,IF(ROUNDDOWN(M326,0)=$S$11,$U$11,$T$11))</f>
        <v>　レベル　2</v>
      </c>
      <c r="N328" s="1155" t="s">
        <v>2168</v>
      </c>
      <c r="O328" s="1155" t="s">
        <v>2168</v>
      </c>
    </row>
    <row r="329" spans="2:15" ht="93.75" customHeight="1">
      <c r="B329" s="1">
        <v>3</v>
      </c>
      <c r="C329" s="1">
        <v>3</v>
      </c>
      <c r="D329" s="953"/>
      <c r="E329" s="155"/>
      <c r="F329" s="984" t="str">
        <f>IF(F326=$S$15,$T$12,IF(ROUNDDOWN(F326,0)=$S$12,$U$12,$T$12))</f>
        <v>■レベル　3</v>
      </c>
      <c r="G329" s="2727" t="s">
        <v>365</v>
      </c>
      <c r="H329" s="2729"/>
      <c r="I329" s="1156" t="s">
        <v>1072</v>
      </c>
      <c r="J329" s="987" t="s">
        <v>1073</v>
      </c>
      <c r="K329" s="1156" t="s">
        <v>1074</v>
      </c>
      <c r="L329" s="1156" t="s">
        <v>1074</v>
      </c>
      <c r="M329" s="984" t="str">
        <f>IF(M326=$S$15,$T$12,IF(ROUNDDOWN(M326,0)=$S$12,$U$12,$T$12))</f>
        <v>■レベル　3</v>
      </c>
      <c r="N329" s="987" t="s">
        <v>1073</v>
      </c>
      <c r="O329" s="991" t="s">
        <v>1074</v>
      </c>
    </row>
    <row r="330" spans="2:15" ht="99" customHeight="1">
      <c r="B330" s="1">
        <v>4</v>
      </c>
      <c r="C330" s="1">
        <v>4</v>
      </c>
      <c r="D330" s="953"/>
      <c r="E330" s="155"/>
      <c r="F330" s="984" t="str">
        <f>IF(F326=$S$15,$T$13,IF(ROUNDDOWN(F326,0)=$S$13,$U$13,$T$13))</f>
        <v>　レベル　4</v>
      </c>
      <c r="G330" s="2727" t="s">
        <v>364</v>
      </c>
      <c r="H330" s="2729"/>
      <c r="I330" s="1157" t="s">
        <v>1075</v>
      </c>
      <c r="J330" s="992" t="s">
        <v>498</v>
      </c>
      <c r="K330" s="1155" t="s">
        <v>2168</v>
      </c>
      <c r="L330" s="1157" t="s">
        <v>499</v>
      </c>
      <c r="M330" s="984" t="str">
        <f>IF(M326=$S$15,$T$13,IF(ROUNDDOWN(M326,0)=$S$13,$U$13,$T$13))</f>
        <v>　レベル　4</v>
      </c>
      <c r="N330" s="987" t="s">
        <v>499</v>
      </c>
      <c r="O330" s="1155" t="s">
        <v>2168</v>
      </c>
    </row>
    <row r="331" spans="2:15" ht="94.5" customHeight="1">
      <c r="B331" s="1">
        <v>5</v>
      </c>
      <c r="C331" s="1">
        <v>5</v>
      </c>
      <c r="D331" s="953"/>
      <c r="E331" s="155"/>
      <c r="F331" s="995" t="str">
        <f>IF(F326=$S$15,$T$14,IF(ROUNDDOWN(F326,0)=$S$14,$U$14,$T$14))</f>
        <v>　レベル　5</v>
      </c>
      <c r="G331" s="2724" t="s">
        <v>363</v>
      </c>
      <c r="H331" s="2730"/>
      <c r="I331" s="1158" t="s">
        <v>2168</v>
      </c>
      <c r="J331" s="1158" t="s">
        <v>2168</v>
      </c>
      <c r="K331" s="1158" t="s">
        <v>2168</v>
      </c>
      <c r="L331" s="1158" t="s">
        <v>2168</v>
      </c>
      <c r="M331" s="995" t="str">
        <f>IF(M326=$S$15,$T$14,IF(ROUNDDOWN(M326,0)=$S$14,$U$14,$T$14))</f>
        <v>　レベル　5</v>
      </c>
      <c r="N331" s="1158" t="s">
        <v>2168</v>
      </c>
      <c r="O331" s="1127" t="s">
        <v>2866</v>
      </c>
    </row>
    <row r="332" spans="2:15" ht="15.75" hidden="1">
      <c r="B332" s="1002">
        <v>0</v>
      </c>
      <c r="C332" s="1002">
        <v>0</v>
      </c>
      <c r="D332" s="953"/>
      <c r="E332" s="246"/>
      <c r="F332" s="246"/>
      <c r="G332" s="1146"/>
      <c r="H332" s="1146"/>
      <c r="I332" s="1146"/>
      <c r="J332" s="1146"/>
      <c r="K332" s="1159"/>
      <c r="L332" s="1159"/>
      <c r="M332" s="1159"/>
      <c r="N332" s="1159"/>
      <c r="O332" s="1159"/>
    </row>
    <row r="333" spans="2:15" ht="15.75" hidden="1">
      <c r="D333" s="953"/>
      <c r="E333" s="246"/>
      <c r="F333" s="1101" t="s">
        <v>2867</v>
      </c>
      <c r="G333" s="1160"/>
      <c r="H333" s="1161"/>
      <c r="I333" s="1162" t="s">
        <v>1358</v>
      </c>
      <c r="J333" s="970">
        <f>重み!M45</f>
        <v>0</v>
      </c>
      <c r="K333" s="1004"/>
      <c r="L333" s="1160"/>
      <c r="M333" s="1161"/>
      <c r="N333" s="1162" t="s">
        <v>1358</v>
      </c>
      <c r="O333" s="970">
        <f>重み!N45</f>
        <v>0</v>
      </c>
    </row>
    <row r="334" spans="2:15" ht="15.75" hidden="1">
      <c r="D334" s="953"/>
      <c r="E334" s="246"/>
      <c r="F334" s="2783">
        <v>3</v>
      </c>
      <c r="G334" s="1163" t="s">
        <v>2000</v>
      </c>
      <c r="H334" s="967"/>
      <c r="I334" s="967"/>
      <c r="J334" s="1163"/>
      <c r="K334" s="2783">
        <v>3</v>
      </c>
      <c r="L334" s="1164" t="s">
        <v>1961</v>
      </c>
      <c r="M334" s="1090"/>
      <c r="N334" s="977"/>
      <c r="O334" s="978"/>
    </row>
    <row r="335" spans="2:15" ht="16.5" hidden="1" thickBot="1">
      <c r="D335" s="953"/>
      <c r="E335" s="246"/>
      <c r="F335" s="2784"/>
      <c r="G335" s="1084" t="s">
        <v>2868</v>
      </c>
      <c r="H335" s="978"/>
      <c r="I335" s="1084"/>
      <c r="J335" s="1089"/>
      <c r="K335" s="2784"/>
      <c r="L335" s="1084" t="s">
        <v>1076</v>
      </c>
      <c r="M335" s="978"/>
      <c r="N335" s="1084"/>
      <c r="O335" s="1089"/>
    </row>
    <row r="336" spans="2:15" ht="15.75" hidden="1" customHeight="1">
      <c r="D336" s="953"/>
      <c r="E336" s="246"/>
      <c r="F336" s="1165" t="str">
        <f>IF(F334=$S$15,$T$10,IF(ROUNDDOWN(F334,0)=$S$10,$U$10,$T$10))</f>
        <v>　レベル　1</v>
      </c>
      <c r="G336" s="2731" t="s">
        <v>1884</v>
      </c>
      <c r="H336" s="2757"/>
      <c r="I336" s="2757"/>
      <c r="J336" s="2732"/>
      <c r="K336" s="979" t="str">
        <f>IF(K334=$S$15,$T$10,IF(ROUNDDOWN(K334,0)=$S$10,$U$10,$T$10))</f>
        <v>　レベル　1</v>
      </c>
      <c r="L336" s="2731" t="s">
        <v>1884</v>
      </c>
      <c r="M336" s="2757"/>
      <c r="N336" s="2757"/>
      <c r="O336" s="2732"/>
    </row>
    <row r="337" spans="2:15" ht="15.75" hidden="1" customHeight="1">
      <c r="D337" s="953"/>
      <c r="E337" s="246"/>
      <c r="F337" s="1166" t="str">
        <f>IF(F334=$S$15,$T$11,IF(ROUNDDOWN(F334,0)=$S$11,$U$11,$T$11))</f>
        <v>　レベル　2</v>
      </c>
      <c r="G337" s="2758" t="s">
        <v>2437</v>
      </c>
      <c r="H337" s="2759"/>
      <c r="I337" s="2759"/>
      <c r="J337" s="2760"/>
      <c r="K337" s="984" t="str">
        <f>IF(K334=$S$15,$T$11,IF(ROUNDDOWN(K334,0)=$S$11,$U$11,$T$11))</f>
        <v>　レベル　2</v>
      </c>
      <c r="L337" s="2758" t="s">
        <v>2437</v>
      </c>
      <c r="M337" s="2759"/>
      <c r="N337" s="2759"/>
      <c r="O337" s="2760"/>
    </row>
    <row r="338" spans="2:15" ht="36.75" hidden="1" customHeight="1">
      <c r="D338" s="953"/>
      <c r="E338" s="246"/>
      <c r="F338" s="1166" t="str">
        <f>IF(F334=$S$15,$T$12,IF(ROUNDDOWN(F334,0)=$S$12,$U$12,$T$12))</f>
        <v>■レベル　3</v>
      </c>
      <c r="G338" s="2758" t="s">
        <v>2869</v>
      </c>
      <c r="H338" s="2759"/>
      <c r="I338" s="2759"/>
      <c r="J338" s="2760"/>
      <c r="K338" s="984" t="str">
        <f>IF(K334=$S$15,$T$12,IF(ROUNDDOWN(K334,0)=$S$12,$U$12,$T$12))</f>
        <v>■レベル　3</v>
      </c>
      <c r="L338" s="2758" t="s">
        <v>2869</v>
      </c>
      <c r="M338" s="2759"/>
      <c r="N338" s="2759"/>
      <c r="O338" s="2760"/>
    </row>
    <row r="339" spans="2:15" ht="15.75" hidden="1">
      <c r="D339" s="953"/>
      <c r="E339" s="246"/>
      <c r="F339" s="1166" t="str">
        <f>IF(F334=$S$15,$T$13,IF(ROUNDDOWN(F334,0)=$S$13,$U$13,$T$13))</f>
        <v>　レベル　4</v>
      </c>
      <c r="G339" s="2758" t="s">
        <v>2438</v>
      </c>
      <c r="H339" s="2759"/>
      <c r="I339" s="2759"/>
      <c r="J339" s="2760"/>
      <c r="K339" s="984" t="str">
        <f>IF(K334=$S$15,$T$13,IF(ROUNDDOWN(K334,0)=$S$13,$U$13,$T$13))</f>
        <v>　レベル　4</v>
      </c>
      <c r="L339" s="2758" t="s">
        <v>2438</v>
      </c>
      <c r="M339" s="2759"/>
      <c r="N339" s="2759"/>
      <c r="O339" s="2760"/>
    </row>
    <row r="340" spans="2:15" ht="36.75" hidden="1" customHeight="1">
      <c r="D340" s="953"/>
      <c r="E340" s="246"/>
      <c r="F340" s="1167" t="str">
        <f>IF(F334=$S$15,$T$14,IF(ROUNDDOWN(F334,0)=$S$14,$U$14,$T$14))</f>
        <v>　レベル　5</v>
      </c>
      <c r="G340" s="2754" t="s">
        <v>2870</v>
      </c>
      <c r="H340" s="2755"/>
      <c r="I340" s="2755"/>
      <c r="J340" s="2756"/>
      <c r="K340" s="995" t="str">
        <f>IF(K334=$S$15,$T$14,IF(ROUNDDOWN(K334,0)=$S$14,$U$14,$T$14))</f>
        <v>　レベル　5</v>
      </c>
      <c r="L340" s="2754" t="s">
        <v>2870</v>
      </c>
      <c r="M340" s="2755"/>
      <c r="N340" s="2755"/>
      <c r="O340" s="2756"/>
    </row>
    <row r="341" spans="2:15" ht="15.75">
      <c r="D341" s="953"/>
      <c r="E341" s="246"/>
      <c r="F341" s="246"/>
      <c r="G341" s="1146"/>
      <c r="H341" s="1146"/>
      <c r="I341" s="1146"/>
      <c r="J341" s="1146"/>
      <c r="K341" s="1159"/>
      <c r="L341" s="1146"/>
      <c r="M341" s="1146"/>
      <c r="N341" s="1146"/>
      <c r="O341" s="1146"/>
    </row>
    <row r="342" spans="2:15" ht="15.75">
      <c r="D342" s="949">
        <v>3.4</v>
      </c>
      <c r="E342" s="958" t="s">
        <v>982</v>
      </c>
      <c r="F342" s="961"/>
      <c r="G342" s="1038"/>
      <c r="H342" s="1083"/>
      <c r="I342" s="1004"/>
      <c r="J342" s="1041" t="str">
        <f>IF(OR(F344=0,AND(J343=0,O343=0)),$R$3,"")</f>
        <v/>
      </c>
      <c r="K342" s="1121"/>
      <c r="L342" s="1038"/>
      <c r="M342" s="1083"/>
      <c r="N342" s="1004"/>
      <c r="O342" s="1041"/>
    </row>
    <row r="343" spans="2:15" ht="16.5" thickBot="1">
      <c r="D343" s="953"/>
      <c r="E343" s="950"/>
      <c r="F343" s="965" t="s">
        <v>1314</v>
      </c>
      <c r="G343" s="966"/>
      <c r="H343" s="967"/>
      <c r="I343" s="968" t="s">
        <v>1358</v>
      </c>
      <c r="J343" s="971">
        <f>重み!M46</f>
        <v>0.30172413793103448</v>
      </c>
      <c r="K343" s="965" t="s">
        <v>1961</v>
      </c>
      <c r="L343" s="966"/>
      <c r="M343" s="967"/>
      <c r="N343" s="968" t="s">
        <v>1358</v>
      </c>
      <c r="O343" s="971">
        <f>重み!N46</f>
        <v>4.3103448275862072E-2</v>
      </c>
    </row>
    <row r="344" spans="2:15" ht="24" customHeight="1" thickBot="1">
      <c r="D344" s="953"/>
      <c r="E344" s="950"/>
      <c r="F344" s="972">
        <v>3</v>
      </c>
      <c r="G344" s="2781" t="s">
        <v>3392</v>
      </c>
      <c r="H344" s="2782"/>
      <c r="I344" s="2537" t="s">
        <v>1360</v>
      </c>
      <c r="J344" s="2539" t="s">
        <v>1316</v>
      </c>
      <c r="K344" s="972">
        <v>3</v>
      </c>
      <c r="L344" s="1084" t="s">
        <v>2439</v>
      </c>
      <c r="M344" s="978"/>
      <c r="N344" s="1084" t="s">
        <v>497</v>
      </c>
      <c r="O344" s="1089"/>
    </row>
    <row r="345" spans="2:15" ht="15.75" hidden="1" customHeight="1">
      <c r="B345" s="1">
        <v>1</v>
      </c>
      <c r="C345" s="1">
        <v>1</v>
      </c>
      <c r="D345" s="953"/>
      <c r="E345" s="950"/>
      <c r="F345" s="1122"/>
      <c r="G345" s="1084" t="s">
        <v>1261</v>
      </c>
      <c r="H345" s="977"/>
      <c r="I345" s="1043"/>
      <c r="J345" s="2540" t="s">
        <v>3387</v>
      </c>
      <c r="K345" s="1122"/>
      <c r="L345" s="977" t="s">
        <v>1261</v>
      </c>
      <c r="M345" s="1090"/>
      <c r="N345" s="1090"/>
      <c r="O345" s="1091"/>
    </row>
    <row r="346" spans="2:15" ht="36.75" hidden="1" customHeight="1">
      <c r="B346" s="1" t="s">
        <v>2845</v>
      </c>
      <c r="C346" s="1" t="s">
        <v>2845</v>
      </c>
      <c r="D346" s="953"/>
      <c r="E346" s="950"/>
      <c r="F346" s="984" t="str">
        <f>IF(F344=$S$15,$T$10,IF(AND($O$3=$U$3,ROUNDDOWN(F344,0)=$S$10),$U$10,$T$10))</f>
        <v>　レベル　1</v>
      </c>
      <c r="G346" s="2731" t="s">
        <v>2440</v>
      </c>
      <c r="H346" s="2757"/>
      <c r="I346" s="1045" t="s">
        <v>2871</v>
      </c>
      <c r="J346" s="2535"/>
      <c r="K346" s="984" t="str">
        <f>IF(K344=$S$15,$T$10,IF(AND($O$3=$U$3,ROUNDDOWN(K344,0)=$S$10),$U$10,$T$10))</f>
        <v>　レベル　1</v>
      </c>
      <c r="L346" s="2731" t="s">
        <v>2872</v>
      </c>
      <c r="M346" s="2732"/>
      <c r="N346" s="2731" t="s">
        <v>2872</v>
      </c>
      <c r="O346" s="2733"/>
    </row>
    <row r="347" spans="2:15" ht="15.75" hidden="1" customHeight="1">
      <c r="B347" s="1">
        <v>3</v>
      </c>
      <c r="C347" s="1">
        <v>3</v>
      </c>
      <c r="D347" s="953"/>
      <c r="E347" s="950"/>
      <c r="F347" s="984" t="str">
        <f>IF(F344=$S$15,$T$11,IF(AND($O$3=$U$3,ROUNDDOWN(F344,0)=$S$11),$U$11,$T$11))</f>
        <v>　レベル　2</v>
      </c>
      <c r="G347" s="2727" t="s">
        <v>2168</v>
      </c>
      <c r="H347" s="2728"/>
      <c r="I347" s="992" t="s">
        <v>2168</v>
      </c>
      <c r="J347" s="2535"/>
      <c r="K347" s="984" t="str">
        <f>IF(K344=$S$15,$T$11,IF(AND($O$3=$U$3,ROUNDDOWN(K344,0)=$S$11),$U$11,$T$11))</f>
        <v>　レベル　2</v>
      </c>
      <c r="L347" s="2727" t="s">
        <v>2168</v>
      </c>
      <c r="M347" s="2734"/>
      <c r="N347" s="2727" t="s">
        <v>2168</v>
      </c>
      <c r="O347" s="2734"/>
    </row>
    <row r="348" spans="2:15" ht="42" hidden="1" customHeight="1">
      <c r="B348" s="1" t="s">
        <v>2845</v>
      </c>
      <c r="C348" s="1" t="s">
        <v>2845</v>
      </c>
      <c r="D348" s="953"/>
      <c r="E348" s="950"/>
      <c r="F348" s="984" t="str">
        <f>IF(F344=$S$15,$T$12,IF(AND($O$3=$U$3,ROUNDDOWN(F344,0)=$S$12),$U$12,$T$12))</f>
        <v>　レベル　3</v>
      </c>
      <c r="G348" s="2727" t="s">
        <v>2441</v>
      </c>
      <c r="H348" s="2728"/>
      <c r="I348" s="992" t="s">
        <v>3393</v>
      </c>
      <c r="J348" s="2535"/>
      <c r="K348" s="984" t="str">
        <f>IF(K344=$S$15,$T$12,IF(AND($O$3=$U$3,ROUNDDOWN(K344,0)=$S$12),$U$12,$T$12))</f>
        <v>　レベル　3</v>
      </c>
      <c r="L348" s="2727" t="s">
        <v>2873</v>
      </c>
      <c r="M348" s="2734"/>
      <c r="N348" s="2727" t="s">
        <v>2874</v>
      </c>
      <c r="O348" s="2734"/>
    </row>
    <row r="349" spans="2:15" ht="15.75" hidden="1" customHeight="1">
      <c r="B349" s="1">
        <v>5</v>
      </c>
      <c r="C349" s="1">
        <v>5</v>
      </c>
      <c r="D349" s="953"/>
      <c r="E349" s="950"/>
      <c r="F349" s="984" t="str">
        <f>IF(F344=$S$15,$T$13,IF(AND($O$3=$U$3,ROUNDDOWN(F344,0)=$S$13),$U$13,$T$13))</f>
        <v>　レベル　4</v>
      </c>
      <c r="G349" s="2727" t="s">
        <v>2168</v>
      </c>
      <c r="H349" s="2728"/>
      <c r="I349" s="992" t="s">
        <v>2168</v>
      </c>
      <c r="J349" s="2536"/>
      <c r="K349" s="984" t="str">
        <f>IF(K344=$S$15,$T$13,IF(AND($O$3=$U$3,ROUNDDOWN(K344,0)=$S$13),$U$13,$T$13))</f>
        <v>　レベル　4</v>
      </c>
      <c r="L349" s="2727" t="s">
        <v>2168</v>
      </c>
      <c r="M349" s="2734"/>
      <c r="N349" s="2727" t="s">
        <v>2168</v>
      </c>
      <c r="O349" s="2734"/>
    </row>
    <row r="350" spans="2:15" ht="45" hidden="1" customHeight="1">
      <c r="B350" s="1002">
        <v>0</v>
      </c>
      <c r="C350" s="1002">
        <v>0</v>
      </c>
      <c r="D350" s="953"/>
      <c r="E350" s="950"/>
      <c r="F350" s="995" t="str">
        <f>IF(F344=$S$15,$T$14,IF(AND($O$3=$U$3,ROUNDDOWN(F344,0)=$S$14),$U$14,$T$14))</f>
        <v>　レベル　5</v>
      </c>
      <c r="G350" s="2724" t="s">
        <v>2442</v>
      </c>
      <c r="H350" s="2780"/>
      <c r="I350" s="996" t="s">
        <v>2104</v>
      </c>
      <c r="J350" s="2517"/>
      <c r="K350" s="995" t="str">
        <f>IF(K344=$S$15,$T$14,IF(AND($O$3=$U$3,ROUNDDOWN(K344,0)=$S$14),$U$14,$T$14))</f>
        <v>　レベル　5</v>
      </c>
      <c r="L350" s="2724" t="s">
        <v>2875</v>
      </c>
      <c r="M350" s="2743"/>
      <c r="N350" s="2724" t="s">
        <v>2876</v>
      </c>
      <c r="O350" s="2743"/>
    </row>
    <row r="351" spans="2:15" ht="15.75" hidden="1" customHeight="1">
      <c r="D351" s="953"/>
      <c r="E351" s="950"/>
      <c r="F351" s="1086"/>
      <c r="G351" s="1084" t="s">
        <v>1260</v>
      </c>
      <c r="H351" s="978"/>
      <c r="I351" s="2538"/>
      <c r="J351" s="2541"/>
      <c r="K351" s="1086"/>
      <c r="L351" s="1104" t="s">
        <v>1260</v>
      </c>
      <c r="M351" s="1104"/>
      <c r="N351" s="1084"/>
      <c r="O351" s="978"/>
    </row>
    <row r="352" spans="2:15" ht="46.5" customHeight="1">
      <c r="D352" s="953"/>
      <c r="E352" s="950"/>
      <c r="F352" s="1087" t="str">
        <f>IF(F344=$S$15,$T$10,IF(AND($O$3&lt;&gt;$U$3,ROUNDDOWN(F344,0)=$S$10),$U$10,$T$10))</f>
        <v>　レベル　1</v>
      </c>
      <c r="G352" s="2731" t="s">
        <v>2443</v>
      </c>
      <c r="H352" s="2733"/>
      <c r="I352" s="1045" t="s">
        <v>2444</v>
      </c>
      <c r="J352" s="2542"/>
      <c r="K352" s="1087" t="str">
        <f>IF(K344=$S$15,$T$10,IF(AND($O$3&lt;&gt;$U$3,ROUNDDOWN(K344,0)=$S$10),$U$10,$T$10))</f>
        <v>　レベル　1</v>
      </c>
      <c r="L352" s="2731" t="s">
        <v>2872</v>
      </c>
      <c r="M352" s="2732"/>
      <c r="N352" s="2731" t="s">
        <v>2445</v>
      </c>
      <c r="O352" s="2733"/>
    </row>
    <row r="353" spans="2:15" ht="15.75" customHeight="1">
      <c r="D353" s="953"/>
      <c r="E353" s="950"/>
      <c r="F353" s="984" t="str">
        <f>IF(F344=$S$15,$T$11,IF(AND($O$3&lt;&gt;$U$3,ROUNDDOWN(F344,0)=$S$11),$U$11,$T$11))</f>
        <v>　レベル　2</v>
      </c>
      <c r="G353" s="2727" t="s">
        <v>2168</v>
      </c>
      <c r="H353" s="2734"/>
      <c r="I353" s="2546" t="s">
        <v>2168</v>
      </c>
      <c r="J353" s="2535"/>
      <c r="K353" s="984" t="str">
        <f>IF(K344=$S$15,$T$11,IF(AND($O$3&lt;&gt;$U$3,ROUNDDOWN(K344,0)=$S$11),$U$11,$T$11))</f>
        <v>　レベル　2</v>
      </c>
      <c r="L353" s="2727" t="s">
        <v>2168</v>
      </c>
      <c r="M353" s="2734"/>
      <c r="N353" s="2727" t="s">
        <v>2168</v>
      </c>
      <c r="O353" s="2734"/>
    </row>
    <row r="354" spans="2:15" ht="76.5" customHeight="1">
      <c r="D354" s="953"/>
      <c r="E354" s="950"/>
      <c r="F354" s="984" t="str">
        <f>IF(F344=$S$15,$T$12,IF(AND($O$3&lt;&gt;$U$3,ROUNDDOWN(F344,0)=$S$12),$U$12,$T$12))</f>
        <v>■レベル　3</v>
      </c>
      <c r="G354" s="2727" t="s">
        <v>2877</v>
      </c>
      <c r="H354" s="2734"/>
      <c r="I354" s="992" t="s">
        <v>3393</v>
      </c>
      <c r="J354" s="2779" t="s">
        <v>3394</v>
      </c>
      <c r="K354" s="984" t="str">
        <f>IF(K344=$S$15,$T$12,IF(AND($O$3&lt;&gt;$U$3,ROUNDDOWN(K344,0)=$S$12),$U$12,$T$12))</f>
        <v>■レベル　3</v>
      </c>
      <c r="L354" s="2727" t="s">
        <v>212</v>
      </c>
      <c r="M354" s="2734"/>
      <c r="N354" s="2727" t="s">
        <v>2103</v>
      </c>
      <c r="O354" s="2734"/>
    </row>
    <row r="355" spans="2:15" ht="15.75" customHeight="1">
      <c r="D355" s="953"/>
      <c r="E355" s="950"/>
      <c r="F355" s="984" t="str">
        <f>IF(F344=$S$15,$T$13,IF(AND($O$3&lt;&gt;$U$3,ROUNDDOWN(F344,0)=$S$13),$U$13,$T$13))</f>
        <v>　レベル　4</v>
      </c>
      <c r="G355" s="2727" t="s">
        <v>2168</v>
      </c>
      <c r="H355" s="2734"/>
      <c r="I355" s="2546" t="s">
        <v>2168</v>
      </c>
      <c r="J355" s="2779"/>
      <c r="K355" s="984" t="str">
        <f>IF(K344=$S$15,$T$13,IF(AND($O$3&lt;&gt;$U$3,ROUNDDOWN(K344,0)=$S$13),$U$13,$T$13))</f>
        <v>　レベル　4</v>
      </c>
      <c r="L355" s="2727" t="s">
        <v>2168</v>
      </c>
      <c r="M355" s="2734"/>
      <c r="N355" s="2727" t="s">
        <v>2168</v>
      </c>
      <c r="O355" s="2734"/>
    </row>
    <row r="356" spans="2:15" ht="54" customHeight="1">
      <c r="D356" s="953"/>
      <c r="E356" s="950"/>
      <c r="F356" s="995" t="str">
        <f>IF(F344=$S$15,$T$14,IF(AND($O$3&lt;&gt;$U$3,ROUNDDOWN(F344,0)=$S$14),$U$14,$T$14))</f>
        <v>　レベル　5</v>
      </c>
      <c r="G356" s="2724" t="s">
        <v>3119</v>
      </c>
      <c r="H356" s="2743"/>
      <c r="I356" s="996" t="s">
        <v>2104</v>
      </c>
      <c r="J356" s="2536"/>
      <c r="K356" s="995" t="str">
        <f>IF(K344=$S$15,$T$14,IF(AND($O$3&lt;&gt;$U$3,ROUNDDOWN(K344,0)=$S$14),$U$14,$T$14))</f>
        <v>　レベル　5</v>
      </c>
      <c r="L356" s="2724" t="s">
        <v>3120</v>
      </c>
      <c r="M356" s="2743"/>
      <c r="N356" s="2724" t="s">
        <v>3121</v>
      </c>
      <c r="O356" s="2743"/>
    </row>
    <row r="357" spans="2:15" ht="15.75">
      <c r="D357" s="953"/>
      <c r="E357" s="246"/>
      <c r="F357" s="246"/>
      <c r="G357" s="1146"/>
      <c r="H357" s="1146"/>
      <c r="I357" s="1146"/>
      <c r="J357" s="1146"/>
      <c r="K357" s="1146"/>
      <c r="L357" s="1146"/>
      <c r="M357" s="1146"/>
      <c r="N357" s="1146"/>
      <c r="O357" s="1146"/>
    </row>
    <row r="358" spans="2:15" ht="15.75">
      <c r="D358" s="949">
        <v>4</v>
      </c>
      <c r="E358" s="960" t="s">
        <v>983</v>
      </c>
      <c r="F358" s="960"/>
      <c r="G358" s="1082"/>
      <c r="H358" s="1082"/>
      <c r="I358" s="1082"/>
      <c r="J358" s="1082"/>
      <c r="K358" s="1082"/>
      <c r="L358" s="1082"/>
      <c r="M358" s="1082"/>
      <c r="N358" s="1082"/>
      <c r="O358" s="1082"/>
    </row>
    <row r="359" spans="2:15" ht="15.75">
      <c r="D359" s="949">
        <v>4.0999999999999996</v>
      </c>
      <c r="E359" s="960" t="s">
        <v>1975</v>
      </c>
      <c r="F359" s="959"/>
      <c r="G359" s="1038"/>
      <c r="H359" s="1082"/>
      <c r="I359" s="1082"/>
      <c r="J359" s="1082"/>
      <c r="K359" s="1082"/>
      <c r="L359" s="1082"/>
      <c r="M359" s="1082"/>
      <c r="N359" s="1082"/>
      <c r="O359" s="1082"/>
    </row>
    <row r="360" spans="2:15" ht="15.75">
      <c r="D360" s="953"/>
      <c r="E360" s="155"/>
      <c r="F360" s="961" t="s">
        <v>1976</v>
      </c>
      <c r="G360" s="1038"/>
      <c r="H360" s="1083"/>
      <c r="I360" s="1004"/>
      <c r="J360" s="1041" t="str">
        <f>IF(OR(F362=0,AND(J361=0,O361=0)),$R$3,"")</f>
        <v/>
      </c>
      <c r="K360" s="1121"/>
      <c r="L360" s="1038"/>
      <c r="M360" s="1083"/>
      <c r="N360" s="1004"/>
      <c r="O360" s="1041"/>
    </row>
    <row r="361" spans="2:15" ht="16.5" thickBot="1">
      <c r="D361" s="953"/>
      <c r="E361" s="155"/>
      <c r="F361" s="965" t="s">
        <v>1489</v>
      </c>
      <c r="G361" s="966"/>
      <c r="H361" s="967"/>
      <c r="I361" s="968" t="s">
        <v>1358</v>
      </c>
      <c r="J361" s="971">
        <f>重み!M49</f>
        <v>0.26379310344827589</v>
      </c>
      <c r="K361" s="965" t="s">
        <v>1961</v>
      </c>
      <c r="L361" s="966"/>
      <c r="M361" s="967"/>
      <c r="N361" s="968" t="s">
        <v>1358</v>
      </c>
      <c r="O361" s="971">
        <f>重み!N49</f>
        <v>4.3103448275862072E-2</v>
      </c>
    </row>
    <row r="362" spans="2:15" ht="23.25" thickBot="1">
      <c r="D362" s="953"/>
      <c r="E362" s="155"/>
      <c r="F362" s="972">
        <v>3</v>
      </c>
      <c r="G362" s="2543" t="s">
        <v>3122</v>
      </c>
      <c r="H362" s="2545"/>
      <c r="I362" s="1084" t="s">
        <v>24</v>
      </c>
      <c r="J362" s="977"/>
      <c r="K362" s="972">
        <v>3</v>
      </c>
      <c r="L362" s="1084" t="s">
        <v>1977</v>
      </c>
      <c r="M362" s="978"/>
      <c r="N362" s="1084"/>
      <c r="O362" s="1089"/>
    </row>
    <row r="363" spans="2:15" ht="19.5" customHeight="1">
      <c r="B363" s="1" t="s">
        <v>2167</v>
      </c>
      <c r="C363" s="1" t="s">
        <v>2167</v>
      </c>
      <c r="D363" s="953"/>
      <c r="E363" s="155"/>
      <c r="F363" s="979" t="str">
        <f>IF(F362=$S$15,$T$10,IF(ROUNDDOWN(F362,0)=$S$10,$U$10,$T$10))</f>
        <v>　レベル　1</v>
      </c>
      <c r="G363" s="2731" t="s">
        <v>3123</v>
      </c>
      <c r="H363" s="2733"/>
      <c r="I363" s="2731" t="s">
        <v>3123</v>
      </c>
      <c r="J363" s="2733"/>
      <c r="K363" s="979" t="str">
        <f>IF(K362=$S$15,$T$10,IF(ROUNDDOWN(K362,0)=$S$10,$U$10,$T$10))</f>
        <v>　レベル　1</v>
      </c>
      <c r="L363" s="2731" t="s">
        <v>3123</v>
      </c>
      <c r="M363" s="2777"/>
      <c r="N363" s="2777"/>
      <c r="O363" s="2778"/>
    </row>
    <row r="364" spans="2:15" ht="19.5" customHeight="1">
      <c r="B364" s="1" t="s">
        <v>2167</v>
      </c>
      <c r="C364" s="1" t="s">
        <v>2167</v>
      </c>
      <c r="D364" s="953"/>
      <c r="E364" s="155"/>
      <c r="F364" s="984" t="str">
        <f>IF(F362=$S$15,$T$11,IF(ROUNDDOWN(F362,0)=$S$11,$U$11,$T$11))</f>
        <v>　レベル　2</v>
      </c>
      <c r="G364" s="2727" t="s">
        <v>3104</v>
      </c>
      <c r="H364" s="2734"/>
      <c r="I364" s="2727" t="s">
        <v>2168</v>
      </c>
      <c r="J364" s="2728"/>
      <c r="K364" s="984" t="str">
        <f>IF(K362=$S$15,$T$11,IF(ROUNDDOWN(K362,0)=$S$11,$U$11,$T$11))</f>
        <v>　レベル　2</v>
      </c>
      <c r="L364" s="2727" t="s">
        <v>2168</v>
      </c>
      <c r="M364" s="2728"/>
      <c r="N364" s="2728"/>
      <c r="O364" s="2729"/>
    </row>
    <row r="365" spans="2:15" ht="53.25" customHeight="1">
      <c r="B365" s="1">
        <v>3</v>
      </c>
      <c r="C365" s="1">
        <v>3</v>
      </c>
      <c r="D365" s="953"/>
      <c r="E365" s="155"/>
      <c r="F365" s="984" t="str">
        <f>IF(F362=$S$15,$T$12,IF(ROUNDDOWN(F362,0)=$S$12,$U$12,$T$12))</f>
        <v>■レベル　3</v>
      </c>
      <c r="G365" s="2727" t="s">
        <v>3124</v>
      </c>
      <c r="H365" s="2734"/>
      <c r="I365" s="2727" t="s">
        <v>3344</v>
      </c>
      <c r="J365" s="2771"/>
      <c r="K365" s="984" t="str">
        <f>IF(K362=$S$15,$T$12,IF(ROUNDDOWN(K362,0)=$S$12,$U$12,$T$12))</f>
        <v>■レベル　3</v>
      </c>
      <c r="L365" s="2758" t="s">
        <v>3124</v>
      </c>
      <c r="M365" s="2775"/>
      <c r="N365" s="2775"/>
      <c r="O365" s="2776"/>
    </row>
    <row r="366" spans="2:15" ht="53.25" customHeight="1">
      <c r="B366" s="1">
        <v>4</v>
      </c>
      <c r="C366" s="1">
        <v>4</v>
      </c>
      <c r="D366" s="953"/>
      <c r="E366" s="155"/>
      <c r="F366" s="984" t="str">
        <f>IF(F362=$S$15,$T$13,IF(ROUNDDOWN(F362,0)=$S$13,$U$13,$T$13))</f>
        <v>　レベル　4</v>
      </c>
      <c r="G366" s="2727" t="s">
        <v>3125</v>
      </c>
      <c r="H366" s="2734"/>
      <c r="I366" s="2727" t="s">
        <v>3126</v>
      </c>
      <c r="J366" s="2771"/>
      <c r="K366" s="984" t="str">
        <f>IF(K362=$S$15,$T$13,IF(ROUNDDOWN(K362,0)=$S$13,$U$13,$T$13))</f>
        <v>　レベル　4</v>
      </c>
      <c r="L366" s="2758" t="s">
        <v>3125</v>
      </c>
      <c r="M366" s="2775"/>
      <c r="N366" s="2775"/>
      <c r="O366" s="2776"/>
    </row>
    <row r="367" spans="2:15" ht="53.25" customHeight="1">
      <c r="B367" s="1">
        <v>5</v>
      </c>
      <c r="C367" s="1">
        <v>5</v>
      </c>
      <c r="D367" s="953"/>
      <c r="E367" s="155"/>
      <c r="F367" s="995" t="str">
        <f>IF(F362=$S$15,$T$14,IF(ROUNDDOWN(F362,0)=$S$14,$U$14,$T$14))</f>
        <v>　レベル　5</v>
      </c>
      <c r="G367" s="2724" t="s">
        <v>3127</v>
      </c>
      <c r="H367" s="2772"/>
      <c r="I367" s="2724" t="s">
        <v>3128</v>
      </c>
      <c r="J367" s="2772"/>
      <c r="K367" s="995" t="str">
        <f>IF(K362=$S$15,$T$14,IF(ROUNDDOWN(K362,0)=$S$14,$U$14,$T$14))</f>
        <v>　レベル　5</v>
      </c>
      <c r="L367" s="2754" t="s">
        <v>3127</v>
      </c>
      <c r="M367" s="2773"/>
      <c r="N367" s="2773"/>
      <c r="O367" s="2774"/>
    </row>
    <row r="368" spans="2:15" ht="15.75">
      <c r="B368" s="1002">
        <v>0</v>
      </c>
      <c r="C368" s="1002">
        <v>0</v>
      </c>
      <c r="D368" s="953"/>
      <c r="E368" s="537"/>
      <c r="F368" s="537"/>
      <c r="G368" s="1037"/>
      <c r="H368" s="1037"/>
      <c r="I368" s="1037"/>
      <c r="J368" s="1037"/>
      <c r="K368" s="1037"/>
      <c r="L368" s="1037"/>
      <c r="M368" s="1037"/>
      <c r="N368" s="1037"/>
      <c r="O368" s="1037"/>
    </row>
    <row r="369" spans="2:15" ht="15.75">
      <c r="D369" s="953"/>
      <c r="E369" s="1096"/>
      <c r="F369" s="961" t="s">
        <v>1979</v>
      </c>
      <c r="G369" s="1038"/>
      <c r="H369" s="1083"/>
      <c r="I369" s="1004"/>
      <c r="J369" s="1041" t="str">
        <f>IF(OR(F371=0,AND(J370=0,O370=0)),$R$3,"")</f>
        <v/>
      </c>
      <c r="K369" s="1121"/>
      <c r="L369" s="1038"/>
      <c r="M369" s="1083"/>
      <c r="N369" s="1004"/>
      <c r="O369" s="1041"/>
    </row>
    <row r="370" spans="2:15" ht="16.5" thickBot="1">
      <c r="B370" s="1147" t="s">
        <v>1980</v>
      </c>
      <c r="C370" s="1147"/>
      <c r="D370" s="953"/>
      <c r="E370" s="1096"/>
      <c r="F370" s="965" t="s">
        <v>2830</v>
      </c>
      <c r="G370" s="966"/>
      <c r="H370" s="967"/>
      <c r="I370" s="968" t="s">
        <v>1358</v>
      </c>
      <c r="J370" s="971">
        <f>重み!M50</f>
        <v>0.26379310344827589</v>
      </c>
      <c r="K370" s="965" t="s">
        <v>1961</v>
      </c>
      <c r="L370" s="966"/>
      <c r="M370" s="967"/>
      <c r="N370" s="968" t="s">
        <v>1358</v>
      </c>
      <c r="O370" s="971">
        <f>重み!N50</f>
        <v>4.3103448275862072E-2</v>
      </c>
    </row>
    <row r="371" spans="2:15" ht="16.5" thickBot="1">
      <c r="D371" s="953"/>
      <c r="E371" s="1096"/>
      <c r="F371" s="972">
        <v>3</v>
      </c>
      <c r="G371" s="1084" t="s">
        <v>1490</v>
      </c>
      <c r="H371" s="977"/>
      <c r="I371" s="1109"/>
      <c r="J371" s="978"/>
      <c r="K371" s="972">
        <v>3</v>
      </c>
      <c r="L371" s="1084" t="s">
        <v>1977</v>
      </c>
      <c r="M371" s="978"/>
      <c r="N371" s="1084"/>
      <c r="O371" s="1089"/>
    </row>
    <row r="372" spans="2:15" ht="27.75" customHeight="1">
      <c r="B372" s="1">
        <v>1</v>
      </c>
      <c r="C372" s="1">
        <v>1</v>
      </c>
      <c r="D372" s="953"/>
      <c r="E372" s="1097"/>
      <c r="F372" s="979" t="str">
        <f>IF(F371=$S$15,$T$10,IF(ROUNDDOWN(F371,0)=$S$10,$U$10,$T$10))</f>
        <v>　レベル　1</v>
      </c>
      <c r="G372" s="2727" t="s">
        <v>217</v>
      </c>
      <c r="H372" s="2752"/>
      <c r="I372" s="2752"/>
      <c r="J372" s="2734"/>
      <c r="K372" s="979" t="str">
        <f>IF(K371=$S$15,$T$10,IF(ROUNDDOWN(K371,0)=$S$10,$U$10,$T$10))</f>
        <v>　レベル　1</v>
      </c>
      <c r="L372" s="2727" t="s">
        <v>217</v>
      </c>
      <c r="M372" s="2752"/>
      <c r="N372" s="2752"/>
      <c r="O372" s="2734"/>
    </row>
    <row r="373" spans="2:15" ht="27.75" customHeight="1">
      <c r="B373" s="1">
        <v>2</v>
      </c>
      <c r="C373" s="1">
        <v>2</v>
      </c>
      <c r="D373" s="953"/>
      <c r="E373" s="1097"/>
      <c r="F373" s="984" t="str">
        <f>IF(F371=$S$15,$T$11,IF(ROUNDDOWN(F371,0)=$S$11,$U$11,$T$11))</f>
        <v>　レベル　2</v>
      </c>
      <c r="G373" s="2727" t="s">
        <v>1981</v>
      </c>
      <c r="H373" s="2752"/>
      <c r="I373" s="2752"/>
      <c r="J373" s="2734"/>
      <c r="K373" s="984" t="str">
        <f>IF(K371=$S$15,$T$11,IF(ROUNDDOWN(K371,0)=$S$11,$U$11,$T$11))</f>
        <v>　レベル　2</v>
      </c>
      <c r="L373" s="2727" t="s">
        <v>1981</v>
      </c>
      <c r="M373" s="2752"/>
      <c r="N373" s="2752"/>
      <c r="O373" s="2734"/>
    </row>
    <row r="374" spans="2:15" ht="27.75" customHeight="1">
      <c r="B374" s="1">
        <v>3</v>
      </c>
      <c r="C374" s="1">
        <v>3</v>
      </c>
      <c r="D374" s="953"/>
      <c r="E374" s="1097"/>
      <c r="F374" s="984" t="str">
        <f>IF(F371=$S$15,$T$12,IF(ROUNDDOWN(F371,0)=$S$12,$U$12,$T$12))</f>
        <v>■レベル　3</v>
      </c>
      <c r="G374" s="2727" t="s">
        <v>1982</v>
      </c>
      <c r="H374" s="2752"/>
      <c r="I374" s="2752"/>
      <c r="J374" s="2734"/>
      <c r="K374" s="984" t="str">
        <f>IF(K371=$S$15,$T$12,IF(ROUNDDOWN(K371,0)=$S$12,$U$12,$T$12))</f>
        <v>■レベル　3</v>
      </c>
      <c r="L374" s="2727" t="s">
        <v>1982</v>
      </c>
      <c r="M374" s="2728"/>
      <c r="N374" s="2728"/>
      <c r="O374" s="2729"/>
    </row>
    <row r="375" spans="2:15" ht="27.75" customHeight="1">
      <c r="B375" s="1" t="s">
        <v>2167</v>
      </c>
      <c r="C375" s="1" t="s">
        <v>2167</v>
      </c>
      <c r="D375" s="953"/>
      <c r="E375" s="1097"/>
      <c r="F375" s="984" t="str">
        <f>IF(F371=$S$15,$T$13,IF(ROUNDDOWN(F371,0)=$S$13,$U$13,$T$13))</f>
        <v>　レベル　4</v>
      </c>
      <c r="G375" s="2727" t="s">
        <v>2168</v>
      </c>
      <c r="H375" s="2752"/>
      <c r="I375" s="2752"/>
      <c r="J375" s="2734"/>
      <c r="K375" s="984" t="str">
        <f>IF(K371=$S$15,$T$13,IF(ROUNDDOWN(K371,0)=$S$13,$U$13,$T$13))</f>
        <v>　レベル　4</v>
      </c>
      <c r="L375" s="2727" t="s">
        <v>2168</v>
      </c>
      <c r="M375" s="2752"/>
      <c r="N375" s="2752"/>
      <c r="O375" s="2734"/>
    </row>
    <row r="376" spans="2:15" ht="27.75" customHeight="1">
      <c r="B376" s="1" t="s">
        <v>2167</v>
      </c>
      <c r="C376" s="1" t="s">
        <v>2167</v>
      </c>
      <c r="D376" s="953"/>
      <c r="E376" s="1097"/>
      <c r="F376" s="995" t="str">
        <f>IF(F371=$S$15,$T$14,IF(ROUNDDOWN(F371,0)=$S$14,$U$14,$T$14))</f>
        <v>　レベル　5</v>
      </c>
      <c r="G376" s="2724" t="s">
        <v>2168</v>
      </c>
      <c r="H376" s="2753"/>
      <c r="I376" s="2753"/>
      <c r="J376" s="2743"/>
      <c r="K376" s="995" t="str">
        <f>IF(K371=$S$15,$T$14,IF(ROUNDDOWN(K371,0)=$S$14,$U$14,$T$14))</f>
        <v>　レベル　5</v>
      </c>
      <c r="L376" s="2724" t="s">
        <v>2168</v>
      </c>
      <c r="M376" s="2753"/>
      <c r="N376" s="2753"/>
      <c r="O376" s="2743"/>
    </row>
    <row r="377" spans="2:15" ht="15.75">
      <c r="B377" s="1002">
        <v>0</v>
      </c>
      <c r="C377" s="1002">
        <v>0</v>
      </c>
      <c r="D377" s="953"/>
      <c r="E377" s="537"/>
      <c r="F377" s="537"/>
      <c r="G377" s="1037"/>
      <c r="H377" s="1037"/>
      <c r="I377" s="1037"/>
      <c r="J377" s="1037"/>
      <c r="K377" s="1037"/>
      <c r="L377" s="1037"/>
      <c r="M377" s="1037"/>
      <c r="N377" s="1037"/>
      <c r="O377" s="1037"/>
    </row>
    <row r="378" spans="2:15" ht="15.75" hidden="1">
      <c r="D378" s="953"/>
      <c r="E378" s="537"/>
      <c r="F378" s="2241" t="s">
        <v>1983</v>
      </c>
      <c r="G378" s="1038"/>
      <c r="H378" s="1083"/>
      <c r="I378" s="1004"/>
      <c r="J378" s="1041" t="str">
        <f>IF(OR(F380=0,AND(J379=0,O379=0)),$R$3,"")</f>
        <v>&lt;評価しない&gt;</v>
      </c>
      <c r="K378" s="1121"/>
      <c r="L378" s="1038"/>
      <c r="M378" s="1083"/>
      <c r="N378" s="1004"/>
      <c r="O378" s="1041"/>
    </row>
    <row r="379" spans="2:15" ht="16.5" hidden="1" thickBot="1">
      <c r="D379" s="953"/>
      <c r="E379" s="537"/>
      <c r="F379" s="965" t="s">
        <v>1508</v>
      </c>
      <c r="G379" s="966"/>
      <c r="H379" s="967"/>
      <c r="I379" s="968" t="s">
        <v>1358</v>
      </c>
      <c r="J379" s="971">
        <f>重み!M51</f>
        <v>0.26379310344827589</v>
      </c>
      <c r="K379" s="965" t="s">
        <v>1961</v>
      </c>
      <c r="L379" s="966"/>
      <c r="M379" s="967"/>
      <c r="N379" s="968" t="s">
        <v>1358</v>
      </c>
      <c r="O379" s="971">
        <f>重み!N51</f>
        <v>4.3103448275862072E-2</v>
      </c>
    </row>
    <row r="380" spans="2:15" ht="16.5" hidden="1" thickBot="1">
      <c r="D380" s="953"/>
      <c r="E380" s="537"/>
      <c r="F380" s="972">
        <v>0</v>
      </c>
      <c r="G380" s="1089" t="s">
        <v>1984</v>
      </c>
      <c r="H380" s="1089"/>
      <c r="I380" s="1168" t="s">
        <v>218</v>
      </c>
      <c r="J380" s="1169"/>
      <c r="K380" s="972">
        <v>0</v>
      </c>
      <c r="L380" s="1084" t="s">
        <v>901</v>
      </c>
      <c r="M380" s="978"/>
      <c r="N380" s="1084"/>
      <c r="O380" s="1089"/>
    </row>
    <row r="381" spans="2:15" ht="15.75" hidden="1">
      <c r="B381" s="1">
        <v>1</v>
      </c>
      <c r="C381" s="1">
        <v>1</v>
      </c>
      <c r="D381" s="953"/>
      <c r="E381" s="537"/>
      <c r="F381" s="979" t="str">
        <f>IF(F380=$S$15,$T$10,IF(ROUNDDOWN(F380,0)=$S$10,$U$10,$T$10))</f>
        <v>　レベル　1</v>
      </c>
      <c r="G381" s="2769" t="s">
        <v>219</v>
      </c>
      <c r="H381" s="2770"/>
      <c r="I381" s="2735" t="s">
        <v>219</v>
      </c>
      <c r="J381" s="2767"/>
      <c r="K381" s="979" t="str">
        <f>IF(K380=$S$15,$T$10,IF(ROUNDDOWN(K380,0)=$S$10,$U$10,$T$10))</f>
        <v>　レベル　1</v>
      </c>
      <c r="L381" s="2731" t="s">
        <v>409</v>
      </c>
      <c r="M381" s="2757"/>
      <c r="N381" s="2757"/>
      <c r="O381" s="2732"/>
    </row>
    <row r="382" spans="2:15" ht="15.75" hidden="1">
      <c r="B382" s="1" t="s">
        <v>220</v>
      </c>
      <c r="C382" s="1" t="s">
        <v>220</v>
      </c>
      <c r="D382" s="953"/>
      <c r="E382" s="537"/>
      <c r="F382" s="984" t="str">
        <f>IF(F380=$S$15,$T$11,IF(ROUNDDOWN(F380,0)=$S$11,$U$11,$T$11))</f>
        <v>　レベル　2</v>
      </c>
      <c r="G382" s="2727" t="s">
        <v>2168</v>
      </c>
      <c r="H382" s="2729"/>
      <c r="I382" s="2735" t="s">
        <v>2168</v>
      </c>
      <c r="J382" s="2768"/>
      <c r="K382" s="984" t="str">
        <f>IF(K380=$S$15,$T$11,IF(ROUNDDOWN(K380,0)=$S$11,$U$11,$T$11))</f>
        <v>　レベル　2</v>
      </c>
      <c r="L382" s="2758" t="s">
        <v>2168</v>
      </c>
      <c r="M382" s="2759"/>
      <c r="N382" s="2759"/>
      <c r="O382" s="2760"/>
    </row>
    <row r="383" spans="2:15" ht="15.75" hidden="1">
      <c r="B383" s="1">
        <v>3</v>
      </c>
      <c r="C383" s="1">
        <v>3</v>
      </c>
      <c r="D383" s="953"/>
      <c r="E383" s="537"/>
      <c r="F383" s="984" t="str">
        <f>IF(F380=$S$15,$T$12,IF(ROUNDDOWN(F380,0)=$S$12,$U$12,$T$12))</f>
        <v>　レベル　3</v>
      </c>
      <c r="G383" s="2727" t="s">
        <v>1985</v>
      </c>
      <c r="H383" s="2729"/>
      <c r="I383" s="2735" t="s">
        <v>221</v>
      </c>
      <c r="J383" s="2767"/>
      <c r="K383" s="984" t="str">
        <f>IF(K380=$S$15,$T$12,IF(ROUNDDOWN(K380,0)=$S$12,$U$12,$T$12))</f>
        <v>　レベル　3</v>
      </c>
      <c r="L383" s="2758" t="s">
        <v>222</v>
      </c>
      <c r="M383" s="2759"/>
      <c r="N383" s="2759"/>
      <c r="O383" s="2760"/>
    </row>
    <row r="384" spans="2:15" ht="15.75" hidden="1">
      <c r="B384" s="1">
        <v>4</v>
      </c>
      <c r="C384" s="1">
        <v>4</v>
      </c>
      <c r="D384" s="953"/>
      <c r="E384" s="537"/>
      <c r="F384" s="984" t="str">
        <f>IF(F380=$S$15,$T$13,IF(ROUNDDOWN(F380,0)=$S$13,$U$13,$T$13))</f>
        <v>　レベル　4</v>
      </c>
      <c r="G384" s="2727" t="s">
        <v>223</v>
      </c>
      <c r="H384" s="2729"/>
      <c r="I384" s="2735" t="s">
        <v>2168</v>
      </c>
      <c r="J384" s="2767"/>
      <c r="K384" s="984" t="str">
        <f>IF(K380=$S$15,$T$13,IF(ROUNDDOWN(K380,0)=$S$13,$U$13,$T$13))</f>
        <v>　レベル　4</v>
      </c>
      <c r="L384" s="2758" t="s">
        <v>223</v>
      </c>
      <c r="M384" s="2759"/>
      <c r="N384" s="2759"/>
      <c r="O384" s="2760"/>
    </row>
    <row r="385" spans="2:15" ht="15.75" hidden="1">
      <c r="B385" s="1">
        <v>5</v>
      </c>
      <c r="C385" s="1">
        <v>5</v>
      </c>
      <c r="D385" s="953"/>
      <c r="E385" s="537"/>
      <c r="F385" s="995" t="str">
        <f>IF(F380=$S$15,$T$14,IF(ROUNDDOWN(F380,0)=$S$14,$U$14,$T$14))</f>
        <v>　レベル　5</v>
      </c>
      <c r="G385" s="2761" t="s">
        <v>224</v>
      </c>
      <c r="H385" s="2762"/>
      <c r="I385" s="2765" t="s">
        <v>1026</v>
      </c>
      <c r="J385" s="2766"/>
      <c r="K385" s="995" t="str">
        <f>IF(K380=$S$15,$T$14,IF(ROUNDDOWN(K380,0)=$S$14,$U$14,$T$14))</f>
        <v>　レベル　5</v>
      </c>
      <c r="L385" s="2754" t="s">
        <v>224</v>
      </c>
      <c r="M385" s="2755"/>
      <c r="N385" s="2755"/>
      <c r="O385" s="2756"/>
    </row>
    <row r="386" spans="2:15" ht="15.75" hidden="1">
      <c r="B386" s="1002">
        <v>0</v>
      </c>
      <c r="C386" s="1002">
        <v>0</v>
      </c>
      <c r="D386" s="953"/>
      <c r="E386" s="155"/>
      <c r="F386" s="155"/>
      <c r="G386" s="1088"/>
      <c r="H386" s="1088"/>
      <c r="I386" s="1088"/>
      <c r="J386" s="1088"/>
      <c r="K386" s="1088"/>
      <c r="L386" s="1088"/>
      <c r="M386" s="1088"/>
      <c r="N386" s="1088"/>
      <c r="O386" s="1088"/>
    </row>
    <row r="387" spans="2:15" ht="15.75" hidden="1">
      <c r="D387" s="953"/>
      <c r="E387" s="1096"/>
      <c r="F387" s="2241" t="s">
        <v>1986</v>
      </c>
      <c r="G387" s="1038"/>
      <c r="H387" s="1083"/>
      <c r="I387" s="1004"/>
      <c r="J387" s="1041" t="str">
        <f>IF(OR(F389=0,AND(J388=0,O388=0)),$R$3,"")</f>
        <v>&lt;評価しない&gt;</v>
      </c>
      <c r="K387" s="1121"/>
      <c r="L387" s="1038"/>
      <c r="M387" s="1083"/>
      <c r="N387" s="1004"/>
      <c r="O387" s="1041"/>
    </row>
    <row r="388" spans="2:15" ht="16.5" hidden="1" thickBot="1">
      <c r="D388" s="953"/>
      <c r="E388" s="1096"/>
      <c r="F388" s="965" t="s">
        <v>313</v>
      </c>
      <c r="G388" s="966"/>
      <c r="H388" s="967"/>
      <c r="I388" s="968" t="s">
        <v>1358</v>
      </c>
      <c r="J388" s="971">
        <f>重み!M52</f>
        <v>0.20689655172413793</v>
      </c>
      <c r="K388" s="965" t="s">
        <v>1961</v>
      </c>
      <c r="L388" s="966"/>
      <c r="M388" s="967"/>
      <c r="N388" s="968" t="s">
        <v>1358</v>
      </c>
      <c r="O388" s="971">
        <f>重み!N52</f>
        <v>4.3103448275862072E-2</v>
      </c>
    </row>
    <row r="389" spans="2:15" ht="16.5" hidden="1" thickBot="1">
      <c r="D389" s="953"/>
      <c r="E389" s="1096"/>
      <c r="F389" s="972">
        <v>0</v>
      </c>
      <c r="G389" s="1084" t="s">
        <v>1987</v>
      </c>
      <c r="H389" s="977"/>
      <c r="I389" s="1109"/>
      <c r="J389" s="978"/>
      <c r="K389" s="972">
        <v>0</v>
      </c>
      <c r="L389" s="1084" t="s">
        <v>901</v>
      </c>
      <c r="M389" s="978"/>
      <c r="N389" s="1084"/>
      <c r="O389" s="1089"/>
    </row>
    <row r="390" spans="2:15" ht="15.75" hidden="1">
      <c r="B390" s="1">
        <v>1</v>
      </c>
      <c r="C390" s="1">
        <v>1</v>
      </c>
      <c r="D390" s="953"/>
      <c r="E390" s="1097"/>
      <c r="F390" s="979" t="str">
        <f>IF(F389=$S$15,$T$10,IF(ROUNDDOWN(F389,0)=$S$10,$U$10,$T$10))</f>
        <v>　レベル　1</v>
      </c>
      <c r="G390" s="2731" t="s">
        <v>409</v>
      </c>
      <c r="H390" s="2757"/>
      <c r="I390" s="2757"/>
      <c r="J390" s="2732"/>
      <c r="K390" s="979" t="str">
        <f>IF(K389=$S$15,$T$10,IF(ROUNDDOWN(K389,0)=$S$10,$U$10,$T$10))</f>
        <v>　レベル　1</v>
      </c>
      <c r="L390" s="2731" t="s">
        <v>409</v>
      </c>
      <c r="M390" s="2757"/>
      <c r="N390" s="2757"/>
      <c r="O390" s="2732"/>
    </row>
    <row r="391" spans="2:15" ht="15.75" hidden="1">
      <c r="B391" s="1" t="s">
        <v>220</v>
      </c>
      <c r="C391" s="1" t="s">
        <v>220</v>
      </c>
      <c r="D391" s="953"/>
      <c r="E391" s="1097"/>
      <c r="F391" s="984" t="str">
        <f>IF(F389=$S$15,$T$11,IF(ROUNDDOWN(F389,0)=$S$11,$U$11,$T$11))</f>
        <v>　レベル　2</v>
      </c>
      <c r="G391" s="2727" t="s">
        <v>2168</v>
      </c>
      <c r="H391" s="2752"/>
      <c r="I391" s="2752"/>
      <c r="J391" s="2734"/>
      <c r="K391" s="984" t="str">
        <f>IF(K389=$S$15,$T$11,IF(ROUNDDOWN(K389,0)=$S$11,$U$11,$T$11))</f>
        <v>　レベル　2</v>
      </c>
      <c r="L391" s="2758" t="s">
        <v>2168</v>
      </c>
      <c r="M391" s="2759"/>
      <c r="N391" s="2759"/>
      <c r="O391" s="2760"/>
    </row>
    <row r="392" spans="2:15" ht="15.75" hidden="1">
      <c r="B392" s="1">
        <v>3</v>
      </c>
      <c r="C392" s="1">
        <v>3</v>
      </c>
      <c r="D392" s="953"/>
      <c r="E392" s="1097"/>
      <c r="F392" s="984" t="str">
        <f>IF(F389=$S$15,$T$12,IF(ROUNDDOWN(F389,0)=$S$12,$U$12,$T$12))</f>
        <v>　レベル　3</v>
      </c>
      <c r="G392" s="2727" t="s">
        <v>1988</v>
      </c>
      <c r="H392" s="2752"/>
      <c r="I392" s="2752"/>
      <c r="J392" s="2734"/>
      <c r="K392" s="984" t="str">
        <f>IF(K389=$S$15,$T$12,IF(ROUNDDOWN(K389,0)=$S$12,$U$12,$T$12))</f>
        <v>　レベル　3</v>
      </c>
      <c r="L392" s="2758" t="s">
        <v>1027</v>
      </c>
      <c r="M392" s="2759"/>
      <c r="N392" s="2759"/>
      <c r="O392" s="2760"/>
    </row>
    <row r="393" spans="2:15" ht="15.75" hidden="1">
      <c r="B393" s="1">
        <v>4</v>
      </c>
      <c r="C393" s="1">
        <v>4</v>
      </c>
      <c r="D393" s="953"/>
      <c r="E393" s="1097"/>
      <c r="F393" s="984" t="str">
        <f>IF(F389=$S$15,$T$13,IF(ROUNDDOWN(F389,0)=$S$13,$U$13,$T$13))</f>
        <v>　レベル　4</v>
      </c>
      <c r="G393" s="2727" t="s">
        <v>1307</v>
      </c>
      <c r="H393" s="2752"/>
      <c r="I393" s="2752"/>
      <c r="J393" s="2734"/>
      <c r="K393" s="984" t="str">
        <f>IF(K389=$S$15,$T$13,IF(ROUNDDOWN(K389,0)=$S$13,$U$13,$T$13))</f>
        <v>　レベル　4</v>
      </c>
      <c r="L393" s="2758" t="s">
        <v>1028</v>
      </c>
      <c r="M393" s="2759"/>
      <c r="N393" s="2759"/>
      <c r="O393" s="2760"/>
    </row>
    <row r="394" spans="2:15" ht="15.75" hidden="1">
      <c r="B394" s="1">
        <v>5</v>
      </c>
      <c r="C394" s="1">
        <v>5</v>
      </c>
      <c r="D394" s="953"/>
      <c r="E394" s="1097"/>
      <c r="F394" s="995" t="str">
        <f>IF(F389=$S$15,$T$14,IF(ROUNDDOWN(F389,0)=$S$14,$U$14,$T$14))</f>
        <v>　レベル　5</v>
      </c>
      <c r="G394" s="2724" t="s">
        <v>18</v>
      </c>
      <c r="H394" s="2753"/>
      <c r="I394" s="2753"/>
      <c r="J394" s="2743"/>
      <c r="K394" s="995" t="str">
        <f>IF(K389=$S$15,$T$14,IF(ROUNDDOWN(K389,0)=$S$14,$U$14,$T$14))</f>
        <v>　レベル　5</v>
      </c>
      <c r="L394" s="2754" t="s">
        <v>18</v>
      </c>
      <c r="M394" s="2755"/>
      <c r="N394" s="2755"/>
      <c r="O394" s="2756"/>
    </row>
    <row r="395" spans="2:15" ht="15.75" hidden="1">
      <c r="B395" s="1002">
        <v>0</v>
      </c>
      <c r="C395" s="1002">
        <v>0</v>
      </c>
      <c r="D395" s="953"/>
      <c r="E395" s="537"/>
      <c r="F395" s="537"/>
      <c r="G395" s="1037"/>
      <c r="H395" s="1037"/>
      <c r="I395" s="1037"/>
      <c r="J395" s="1037"/>
      <c r="K395" s="1037"/>
      <c r="L395" s="1037"/>
      <c r="M395" s="1037"/>
      <c r="N395" s="1037"/>
      <c r="O395" s="1037"/>
    </row>
    <row r="396" spans="2:15" ht="15.75">
      <c r="D396" s="949">
        <v>4.2</v>
      </c>
      <c r="E396" s="960" t="s">
        <v>1308</v>
      </c>
      <c r="F396" s="959"/>
      <c r="G396" s="1038" t="str">
        <f>IF(AND(J407="対象外",J407&gt;0.001),"★入力エラー：レベル１～５を選択し直してください！","")</f>
        <v/>
      </c>
      <c r="H396" s="1082"/>
      <c r="I396" s="1082"/>
      <c r="J396" s="1082"/>
      <c r="K396" s="1082"/>
      <c r="L396" s="1038"/>
      <c r="M396" s="1082"/>
      <c r="N396" s="1082"/>
      <c r="O396" s="1082"/>
    </row>
    <row r="397" spans="2:15" ht="15.75">
      <c r="D397" s="953"/>
      <c r="E397" s="1096"/>
      <c r="F397" s="961" t="s">
        <v>1309</v>
      </c>
      <c r="G397" s="1038"/>
      <c r="H397" s="1083"/>
      <c r="I397" s="1004"/>
      <c r="J397" s="1041" t="str">
        <f>IF(OR(F399=0,AND(J398=0,O398=0)),$R$3,"")</f>
        <v/>
      </c>
      <c r="K397" s="1121"/>
      <c r="L397" s="1038"/>
      <c r="M397" s="1083"/>
      <c r="N397" s="1004"/>
      <c r="O397" s="1041"/>
    </row>
    <row r="398" spans="2:15" ht="16.5" thickBot="1">
      <c r="D398" s="953"/>
      <c r="E398" s="1096"/>
      <c r="F398" s="965" t="s">
        <v>1357</v>
      </c>
      <c r="G398" s="966"/>
      <c r="H398" s="967"/>
      <c r="I398" s="968" t="s">
        <v>1358</v>
      </c>
      <c r="J398" s="971">
        <f>重み!M54</f>
        <v>0.20689655172413793</v>
      </c>
      <c r="K398" s="965" t="s">
        <v>1961</v>
      </c>
      <c r="L398" s="966"/>
      <c r="M398" s="967"/>
      <c r="N398" s="968" t="s">
        <v>1358</v>
      </c>
      <c r="O398" s="971">
        <f>重み!N54</f>
        <v>0</v>
      </c>
    </row>
    <row r="399" spans="2:15" ht="23.25" thickBot="1">
      <c r="D399" s="953"/>
      <c r="E399" s="1097"/>
      <c r="F399" s="972">
        <v>3</v>
      </c>
      <c r="G399" s="2543" t="s">
        <v>1310</v>
      </c>
      <c r="H399" s="2544"/>
      <c r="I399" s="1109" t="s">
        <v>488</v>
      </c>
      <c r="J399" s="978"/>
      <c r="K399" s="972">
        <v>3</v>
      </c>
      <c r="L399" s="1084" t="s">
        <v>3137</v>
      </c>
      <c r="M399" s="978"/>
      <c r="N399" s="1084"/>
      <c r="O399" s="1089"/>
    </row>
    <row r="400" spans="2:15" ht="24" customHeight="1">
      <c r="B400" s="1">
        <v>1</v>
      </c>
      <c r="C400" s="1">
        <v>1</v>
      </c>
      <c r="D400" s="953"/>
      <c r="E400" s="155"/>
      <c r="F400" s="979" t="str">
        <f>IF(F399=$S$15,$T$10,IF(ROUNDDOWN(F399,0)=$S$10,$U$10,$T$10))</f>
        <v>　レベル　1</v>
      </c>
      <c r="G400" s="2731" t="s">
        <v>3129</v>
      </c>
      <c r="H400" s="2732"/>
      <c r="I400" s="2731" t="s">
        <v>3129</v>
      </c>
      <c r="J400" s="2732"/>
      <c r="K400" s="979" t="str">
        <f>IF(K399=$S$15,$T$10,IF(ROUNDDOWN(K399,0)=$S$10,$U$10,$T$10))</f>
        <v>　レベル　1</v>
      </c>
      <c r="L400" s="2731" t="s">
        <v>3136</v>
      </c>
      <c r="M400" s="2757"/>
      <c r="N400" s="2757"/>
      <c r="O400" s="2732"/>
    </row>
    <row r="401" spans="2:15" ht="24" customHeight="1">
      <c r="B401" s="1" t="s">
        <v>2847</v>
      </c>
      <c r="C401" s="1" t="s">
        <v>2847</v>
      </c>
      <c r="D401" s="953"/>
      <c r="E401" s="155"/>
      <c r="F401" s="984" t="str">
        <f>IF(F399=$S$15,$T$11,IF(ROUNDDOWN(F399,0)=$S$11,$U$11,$T$11))</f>
        <v>　レベル　2</v>
      </c>
      <c r="G401" s="2727" t="s">
        <v>2168</v>
      </c>
      <c r="H401" s="2728"/>
      <c r="I401" s="2727" t="s">
        <v>2168</v>
      </c>
      <c r="J401" s="2729"/>
      <c r="K401" s="984" t="str">
        <f>IF(K399=$S$15,$T$11,IF(ROUNDDOWN(K399,0)=$S$11,$U$11,$T$11))</f>
        <v>　レベル　2</v>
      </c>
      <c r="L401" s="2727" t="s">
        <v>2168</v>
      </c>
      <c r="M401" s="2763"/>
      <c r="N401" s="2763"/>
      <c r="O401" s="2764"/>
    </row>
    <row r="402" spans="2:15" ht="47.25" customHeight="1">
      <c r="B402" s="1">
        <v>3</v>
      </c>
      <c r="C402" s="1">
        <v>3</v>
      </c>
      <c r="D402" s="953"/>
      <c r="E402" s="155"/>
      <c r="F402" s="984" t="str">
        <f>IF(F399=$S$15,$T$12,IF(ROUNDDOWN(F399,0)=$S$12,$U$12,$T$12))</f>
        <v>■レベル　3</v>
      </c>
      <c r="G402" s="2727" t="s">
        <v>3130</v>
      </c>
      <c r="H402" s="2729"/>
      <c r="I402" s="2727" t="s">
        <v>3131</v>
      </c>
      <c r="J402" s="2729"/>
      <c r="K402" s="984" t="str">
        <f>IF(K399=$S$15,$T$12,IF(ROUNDDOWN(K399,0)=$S$12,$U$12,$T$12))</f>
        <v>■レベル　3</v>
      </c>
      <c r="L402" s="2758" t="s">
        <v>3130</v>
      </c>
      <c r="M402" s="2759"/>
      <c r="N402" s="2759"/>
      <c r="O402" s="2760"/>
    </row>
    <row r="403" spans="2:15" ht="47.25" customHeight="1">
      <c r="B403" s="1">
        <v>4</v>
      </c>
      <c r="C403" s="1">
        <v>4</v>
      </c>
      <c r="D403" s="953"/>
      <c r="E403" s="155"/>
      <c r="F403" s="984" t="str">
        <f>IF(F399=$S$15,$T$13,IF(ROUNDDOWN(F399,0)=$S$13,$U$13,$T$13))</f>
        <v>　レベル　4</v>
      </c>
      <c r="G403" s="2727" t="s">
        <v>3132</v>
      </c>
      <c r="H403" s="2729"/>
      <c r="I403" s="2727" t="s">
        <v>3133</v>
      </c>
      <c r="J403" s="2729"/>
      <c r="K403" s="984" t="str">
        <f>IF(K399=$S$15,$T$13,IF(ROUNDDOWN(K399,0)=$S$13,$U$13,$T$13))</f>
        <v>　レベル　4</v>
      </c>
      <c r="L403" s="2758" t="s">
        <v>3132</v>
      </c>
      <c r="M403" s="2759"/>
      <c r="N403" s="2759"/>
      <c r="O403" s="2760"/>
    </row>
    <row r="404" spans="2:15" ht="47.25" customHeight="1">
      <c r="B404" s="1">
        <v>5</v>
      </c>
      <c r="C404" s="1">
        <v>5</v>
      </c>
      <c r="D404" s="953"/>
      <c r="E404" s="155"/>
      <c r="F404" s="995" t="str">
        <f>IF(F399=$S$15,$T$14,IF(ROUNDDOWN(F399,0)=$S$14,$U$14,$T$14))</f>
        <v>　レベル　5</v>
      </c>
      <c r="G404" s="2761" t="s">
        <v>3134</v>
      </c>
      <c r="H404" s="2762"/>
      <c r="I404" s="2761" t="s">
        <v>3135</v>
      </c>
      <c r="J404" s="2762"/>
      <c r="K404" s="995" t="str">
        <f>IF(K399=$S$15,$T$14,IF(ROUNDDOWN(K399,0)=$S$14,$U$14,$T$14))</f>
        <v>　レベル　5</v>
      </c>
      <c r="L404" s="2754" t="s">
        <v>3134</v>
      </c>
      <c r="M404" s="2755"/>
      <c r="N404" s="2755"/>
      <c r="O404" s="2756"/>
    </row>
    <row r="405" spans="2:15" ht="15.75">
      <c r="B405" s="1002">
        <v>0</v>
      </c>
      <c r="C405" s="1002">
        <v>0</v>
      </c>
      <c r="D405" s="953"/>
      <c r="E405" s="155"/>
      <c r="F405" s="537"/>
      <c r="G405" s="1037"/>
      <c r="H405" s="1037"/>
      <c r="I405" s="1037"/>
      <c r="J405" s="1037"/>
      <c r="K405" s="1037"/>
      <c r="L405" s="1037"/>
      <c r="M405" s="1037"/>
      <c r="N405" s="1037"/>
      <c r="O405" s="1037"/>
    </row>
    <row r="406" spans="2:15" ht="15.75">
      <c r="D406" s="953"/>
      <c r="E406" s="155"/>
      <c r="F406" s="961" t="s">
        <v>1311</v>
      </c>
      <c r="G406" s="1038"/>
      <c r="H406" s="1083"/>
      <c r="I406" s="1004"/>
      <c r="J406" s="1041" t="str">
        <f>IF(OR(F408=0,AND(J407=0,O407=0)),$R$3,"")</f>
        <v/>
      </c>
      <c r="K406" s="1121"/>
      <c r="L406" s="1038"/>
      <c r="M406" s="1083"/>
      <c r="N406" s="1004"/>
      <c r="O406" s="1041"/>
    </row>
    <row r="407" spans="2:15" ht="16.5" thickBot="1">
      <c r="D407" s="953"/>
      <c r="E407" s="155"/>
      <c r="F407" s="965" t="s">
        <v>2481</v>
      </c>
      <c r="G407" s="966"/>
      <c r="H407" s="967"/>
      <c r="I407" s="968" t="s">
        <v>1358</v>
      </c>
      <c r="J407" s="971">
        <f>重み!M55</f>
        <v>0.20689655172413793</v>
      </c>
      <c r="K407" s="965" t="s">
        <v>1961</v>
      </c>
      <c r="L407" s="966"/>
      <c r="M407" s="967"/>
      <c r="N407" s="968" t="s">
        <v>1358</v>
      </c>
      <c r="O407" s="971">
        <f>重み!N55</f>
        <v>5.6896551724137941E-2</v>
      </c>
    </row>
    <row r="408" spans="2:15" ht="16.5" thickBot="1">
      <c r="D408" s="953"/>
      <c r="E408" s="155"/>
      <c r="F408" s="972">
        <v>3</v>
      </c>
      <c r="G408" s="1084" t="s">
        <v>3395</v>
      </c>
      <c r="H408" s="977"/>
      <c r="I408" s="1109" t="s">
        <v>24</v>
      </c>
      <c r="J408" s="978"/>
      <c r="K408" s="972">
        <v>3</v>
      </c>
      <c r="L408" s="1084" t="s">
        <v>2234</v>
      </c>
      <c r="M408" s="978"/>
      <c r="N408" s="1084" t="s">
        <v>1893</v>
      </c>
      <c r="O408" s="978"/>
    </row>
    <row r="409" spans="2:15" ht="15.75" customHeight="1">
      <c r="B409" s="1">
        <v>1</v>
      </c>
      <c r="C409" s="1">
        <v>1</v>
      </c>
      <c r="D409" s="953"/>
      <c r="E409" s="155"/>
      <c r="F409" s="979" t="str">
        <f>IF(F408=$S$15,$T$10,IF(ROUNDDOWN(F408,0)=$S$10,$U$10,$T$10))</f>
        <v>　レベル　1</v>
      </c>
      <c r="G409" s="2731" t="s">
        <v>409</v>
      </c>
      <c r="H409" s="2732"/>
      <c r="I409" s="2731" t="s">
        <v>409</v>
      </c>
      <c r="J409" s="2732"/>
      <c r="K409" s="979" t="str">
        <f>IF(K408=$S$15,$T$10,IF(ROUNDDOWN(K408,0)=$S$10,$U$10,$T$10))</f>
        <v>　レベル　1</v>
      </c>
      <c r="L409" s="2731" t="s">
        <v>1631</v>
      </c>
      <c r="M409" s="2733"/>
      <c r="N409" s="2731" t="s">
        <v>1631</v>
      </c>
      <c r="O409" s="2733"/>
    </row>
    <row r="410" spans="2:15" ht="15.75" customHeight="1">
      <c r="B410" s="1" t="s">
        <v>2845</v>
      </c>
      <c r="C410" s="1" t="s">
        <v>2845</v>
      </c>
      <c r="D410" s="953"/>
      <c r="E410" s="155"/>
      <c r="F410" s="984" t="str">
        <f>IF(F408=$S$15,$T$11,IF(ROUNDDOWN(F408,0)=$S$11,$U$11,$T$11))</f>
        <v>　レベル　2</v>
      </c>
      <c r="G410" s="2727" t="s">
        <v>2168</v>
      </c>
      <c r="H410" s="2729"/>
      <c r="I410" s="2727" t="s">
        <v>2168</v>
      </c>
      <c r="J410" s="2729"/>
      <c r="K410" s="984" t="str">
        <f>IF(K408=$S$15,$T$11,IF(ROUNDDOWN(K408,0)=$S$11,$U$11,$T$11))</f>
        <v>　レベル　2</v>
      </c>
      <c r="L410" s="2727" t="s">
        <v>2168</v>
      </c>
      <c r="M410" s="2734"/>
      <c r="N410" s="2727" t="s">
        <v>2168</v>
      </c>
      <c r="O410" s="2734"/>
    </row>
    <row r="411" spans="2:15" ht="86.25" customHeight="1">
      <c r="B411" s="1">
        <v>3</v>
      </c>
      <c r="C411" s="1">
        <v>3</v>
      </c>
      <c r="D411" s="953"/>
      <c r="E411" s="155"/>
      <c r="F411" s="984" t="str">
        <f>IF(F408=$S$15,$T$12,IF(ROUNDDOWN(F408,0)=$S$12,$U$12,$T$12))</f>
        <v>■レベル　3</v>
      </c>
      <c r="G411" s="2727" t="s">
        <v>366</v>
      </c>
      <c r="H411" s="2729"/>
      <c r="I411" s="2727" t="s">
        <v>21</v>
      </c>
      <c r="J411" s="2729"/>
      <c r="K411" s="984" t="str">
        <f>IF(K408=$S$15,$T$12,IF(ROUNDDOWN(K408,0)=$S$12,$U$12,$T$12))</f>
        <v>■レベル　3</v>
      </c>
      <c r="L411" s="2727" t="s">
        <v>367</v>
      </c>
      <c r="M411" s="2734"/>
      <c r="N411" s="2727" t="s">
        <v>2134</v>
      </c>
      <c r="O411" s="2734"/>
    </row>
    <row r="412" spans="2:15" ht="108.75" customHeight="1">
      <c r="B412" s="1">
        <v>4</v>
      </c>
      <c r="C412" s="1">
        <v>4</v>
      </c>
      <c r="D412" s="953"/>
      <c r="E412" s="155"/>
      <c r="F412" s="984" t="str">
        <f>IF(F408=$S$15,$T$13,IF(ROUNDDOWN(F408,0)=$S$13,$U$13,$T$13))</f>
        <v>　レベル　4</v>
      </c>
      <c r="G412" s="2727" t="s">
        <v>19</v>
      </c>
      <c r="H412" s="2729"/>
      <c r="I412" s="2727" t="s">
        <v>22</v>
      </c>
      <c r="J412" s="2729"/>
      <c r="K412" s="984" t="str">
        <f>IF(K408=$S$15,$T$13,IF(ROUNDDOWN(K408,0)=$S$13,$U$13,$T$13))</f>
        <v>　レベル　4</v>
      </c>
      <c r="L412" s="2727" t="s">
        <v>747</v>
      </c>
      <c r="M412" s="2734"/>
      <c r="N412" s="2727" t="s">
        <v>1682</v>
      </c>
      <c r="O412" s="2734"/>
    </row>
    <row r="413" spans="2:15" ht="135.75" customHeight="1">
      <c r="B413" s="1">
        <v>5</v>
      </c>
      <c r="C413" s="1">
        <v>5</v>
      </c>
      <c r="D413" s="953"/>
      <c r="E413" s="155"/>
      <c r="F413" s="995" t="str">
        <f>IF(F408=$S$15,$T$14,IF(ROUNDDOWN(F408,0)=$S$14,$U$14,$T$14))</f>
        <v>　レベル　5</v>
      </c>
      <c r="G413" s="2724" t="s">
        <v>20</v>
      </c>
      <c r="H413" s="2730"/>
      <c r="I413" s="2724" t="s">
        <v>23</v>
      </c>
      <c r="J413" s="2730"/>
      <c r="K413" s="995" t="str">
        <f>IF(K408=$S$15,$T$14,IF(ROUNDDOWN(K408,0)=$S$14,$U$14,$T$14))</f>
        <v>　レベル　5</v>
      </c>
      <c r="L413" s="2724" t="s">
        <v>368</v>
      </c>
      <c r="M413" s="2743"/>
      <c r="N413" s="2724" t="s">
        <v>748</v>
      </c>
      <c r="O413" s="2743"/>
    </row>
    <row r="414" spans="2:15" ht="15.75">
      <c r="B414" s="1002">
        <v>0</v>
      </c>
      <c r="C414" s="1002">
        <v>0</v>
      </c>
      <c r="D414" s="953"/>
      <c r="E414" s="155"/>
      <c r="F414" s="537"/>
      <c r="G414" s="1037"/>
      <c r="H414" s="1037"/>
      <c r="I414" s="1037"/>
      <c r="J414" s="1037"/>
      <c r="K414" s="1037"/>
      <c r="L414" s="1037"/>
      <c r="M414" s="1037"/>
      <c r="N414" s="1037"/>
      <c r="O414" s="1037"/>
    </row>
    <row r="415" spans="2:15" ht="15.75">
      <c r="D415" s="953"/>
      <c r="E415" s="1096"/>
      <c r="F415" s="961" t="s">
        <v>1789</v>
      </c>
      <c r="G415" s="1038"/>
      <c r="H415" s="1083"/>
      <c r="I415" s="1004"/>
      <c r="J415" s="1041" t="str">
        <f>IF(OR(F417=0,AND(J416=0,O416=0)),$R$3,"")</f>
        <v/>
      </c>
      <c r="K415" s="1121"/>
      <c r="L415" s="1038"/>
      <c r="M415" s="1083"/>
      <c r="N415" s="1004"/>
      <c r="O415" s="1041"/>
    </row>
    <row r="416" spans="2:15" ht="16.5" thickBot="1">
      <c r="D416" s="953"/>
      <c r="E416" s="1096"/>
      <c r="F416" s="965" t="s">
        <v>1314</v>
      </c>
      <c r="G416" s="966"/>
      <c r="H416" s="967"/>
      <c r="I416" s="968" t="s">
        <v>1358</v>
      </c>
      <c r="J416" s="971">
        <f>重み!M56</f>
        <v>0.37931034482758619</v>
      </c>
      <c r="K416" s="965" t="s">
        <v>1961</v>
      </c>
      <c r="L416" s="966"/>
      <c r="M416" s="967"/>
      <c r="N416" s="968" t="s">
        <v>1358</v>
      </c>
      <c r="O416" s="971">
        <f>重み!N56</f>
        <v>5.6896551724137941E-2</v>
      </c>
    </row>
    <row r="417" spans="2:15" ht="16.5" thickBot="1">
      <c r="D417" s="953"/>
      <c r="E417" s="1096"/>
      <c r="F417" s="972">
        <v>3</v>
      </c>
      <c r="G417" s="1084" t="s">
        <v>2795</v>
      </c>
      <c r="H417" s="977"/>
      <c r="I417" s="1084" t="s">
        <v>1893</v>
      </c>
      <c r="J417" s="978"/>
      <c r="K417" s="972">
        <v>3</v>
      </c>
      <c r="L417" s="1084" t="s">
        <v>2664</v>
      </c>
      <c r="M417" s="978"/>
      <c r="N417" s="1084" t="s">
        <v>1893</v>
      </c>
      <c r="O417" s="978"/>
    </row>
    <row r="418" spans="2:15" ht="15.75" customHeight="1">
      <c r="B418" s="1">
        <v>1</v>
      </c>
      <c r="C418" s="1">
        <v>1</v>
      </c>
      <c r="D418" s="953"/>
      <c r="E418" s="1097"/>
      <c r="F418" s="979" t="str">
        <f>IF(F417=$S$15,$T$10,IF(ROUNDDOWN(F417,0)=$S$10,$U$10,$T$10))</f>
        <v>　レベル　1</v>
      </c>
      <c r="G418" s="2731" t="s">
        <v>409</v>
      </c>
      <c r="H418" s="2732"/>
      <c r="I418" s="2731" t="s">
        <v>1631</v>
      </c>
      <c r="J418" s="2733"/>
      <c r="K418" s="979" t="str">
        <f>IF(K417=$S$15,$T$10,IF(ROUNDDOWN(K417,0)=$S$10,$U$10,$T$10))</f>
        <v>　レベル　1</v>
      </c>
      <c r="L418" s="2731" t="s">
        <v>1631</v>
      </c>
      <c r="M418" s="2733"/>
      <c r="N418" s="2731" t="s">
        <v>1631</v>
      </c>
      <c r="O418" s="2733"/>
    </row>
    <row r="419" spans="2:15" ht="15.75">
      <c r="B419" s="1" t="s">
        <v>2845</v>
      </c>
      <c r="C419" s="1" t="s">
        <v>2845</v>
      </c>
      <c r="D419" s="953"/>
      <c r="E419" s="1097"/>
      <c r="F419" s="984" t="str">
        <f>IF(F417=$S$15,$T$11,IF(ROUNDDOWN(F417,0)=$S$11,$U$11,$T$11))</f>
        <v>　レベル　2</v>
      </c>
      <c r="G419" s="2727" t="s">
        <v>2168</v>
      </c>
      <c r="H419" s="2734"/>
      <c r="I419" s="2727" t="s">
        <v>2168</v>
      </c>
      <c r="J419" s="2734"/>
      <c r="K419" s="984" t="str">
        <f>IF(K417=$S$15,$T$11,IF(ROUNDDOWN(K417,0)=$S$11,$U$11,$T$11))</f>
        <v>　レベル　2</v>
      </c>
      <c r="L419" s="2727" t="s">
        <v>2168</v>
      </c>
      <c r="M419" s="2734"/>
      <c r="N419" s="2727" t="s">
        <v>2168</v>
      </c>
      <c r="O419" s="2734"/>
    </row>
    <row r="420" spans="2:15" ht="88.5" customHeight="1">
      <c r="B420" s="1">
        <v>3</v>
      </c>
      <c r="C420" s="1">
        <v>3</v>
      </c>
      <c r="D420" s="953"/>
      <c r="E420" s="1097"/>
      <c r="F420" s="984" t="str">
        <f>IF(F417=$S$15,$T$12,IF(ROUNDDOWN(F417,0)=$S$12,$U$12,$T$12))</f>
        <v>■レベル　3</v>
      </c>
      <c r="G420" s="2727" t="s">
        <v>2796</v>
      </c>
      <c r="H420" s="2734"/>
      <c r="I420" s="2727" t="s">
        <v>2175</v>
      </c>
      <c r="J420" s="2734"/>
      <c r="K420" s="984" t="str">
        <f>IF(K417=$S$15,$T$12,IF(ROUNDDOWN(K417,0)=$S$12,$U$12,$T$12))</f>
        <v>■レベル　3</v>
      </c>
      <c r="L420" s="2727" t="s">
        <v>2176</v>
      </c>
      <c r="M420" s="2734"/>
      <c r="N420" s="2727" t="s">
        <v>2175</v>
      </c>
      <c r="O420" s="2734"/>
    </row>
    <row r="421" spans="2:15" ht="73.5" customHeight="1">
      <c r="B421" s="1">
        <v>4</v>
      </c>
      <c r="C421" s="1">
        <v>4</v>
      </c>
      <c r="D421" s="953"/>
      <c r="E421" s="1097"/>
      <c r="F421" s="984" t="str">
        <f>IF(F417=$S$15,$T$13,IF(ROUNDDOWN(F417,0)=$S$13,$U$13,$T$13))</f>
        <v>　レベル　4</v>
      </c>
      <c r="G421" s="2727" t="s">
        <v>482</v>
      </c>
      <c r="H421" s="2734"/>
      <c r="I421" s="2727" t="s">
        <v>2168</v>
      </c>
      <c r="J421" s="2734"/>
      <c r="K421" s="984" t="str">
        <f>IF(K417=$S$15,$T$13,IF(ROUNDDOWN(K417,0)=$S$13,$U$13,$T$13))</f>
        <v>　レベル　4</v>
      </c>
      <c r="L421" s="2727" t="s">
        <v>482</v>
      </c>
      <c r="M421" s="2734"/>
      <c r="N421" s="2727" t="s">
        <v>2168</v>
      </c>
      <c r="O421" s="2734"/>
    </row>
    <row r="422" spans="2:15" ht="80.25" customHeight="1">
      <c r="B422" s="1">
        <v>5</v>
      </c>
      <c r="C422" s="1">
        <v>5</v>
      </c>
      <c r="D422" s="953"/>
      <c r="E422" s="1097"/>
      <c r="F422" s="995" t="str">
        <f>IF(F417=$S$15,$T$14,IF(ROUNDDOWN(F417,0)=$S$14,$U$14,$T$14))</f>
        <v>　レベル　5</v>
      </c>
      <c r="G422" s="2724" t="s">
        <v>2214</v>
      </c>
      <c r="H422" s="2743"/>
      <c r="I422" s="2724" t="s">
        <v>2176</v>
      </c>
      <c r="J422" s="2743"/>
      <c r="K422" s="995" t="str">
        <f>IF(K417=$S$15,$T$14,IF(ROUNDDOWN(K417,0)=$S$14,$U$14,$T$14))</f>
        <v>　レベル　5</v>
      </c>
      <c r="L422" s="2724" t="s">
        <v>2177</v>
      </c>
      <c r="M422" s="2743"/>
      <c r="N422" s="2724" t="s">
        <v>2176</v>
      </c>
      <c r="O422" s="2743"/>
    </row>
    <row r="423" spans="2:15" ht="15.75" hidden="1">
      <c r="B423" s="1002">
        <v>0</v>
      </c>
      <c r="C423" s="1002">
        <v>0</v>
      </c>
      <c r="D423" s="953"/>
      <c r="E423" s="1097"/>
      <c r="F423" s="1097"/>
      <c r="G423" s="1145"/>
      <c r="H423" s="1145"/>
      <c r="I423" s="1145"/>
      <c r="J423" s="1145"/>
      <c r="K423" s="1145"/>
      <c r="L423" s="1145"/>
      <c r="M423" s="1145"/>
      <c r="N423" s="1145"/>
      <c r="O423" s="1145"/>
    </row>
    <row r="424" spans="2:15" ht="15.75" hidden="1">
      <c r="D424" s="953"/>
      <c r="E424" s="1097"/>
      <c r="F424" s="2241" t="s">
        <v>2215</v>
      </c>
      <c r="G424" s="1038"/>
      <c r="H424" s="1083"/>
      <c r="I424" s="1004"/>
      <c r="J424" s="1041" t="str">
        <f>IF(OR(F426=0,AND(J425=0,O425=0)),$R$3,"")</f>
        <v>&lt;評価しない&gt;</v>
      </c>
      <c r="K424" s="1121"/>
      <c r="L424" s="1038"/>
      <c r="M424" s="1083"/>
      <c r="N424" s="1004"/>
      <c r="O424" s="1041"/>
    </row>
    <row r="425" spans="2:15" ht="15.75" hidden="1">
      <c r="D425" s="953"/>
      <c r="E425" s="1097"/>
      <c r="F425" s="965" t="s">
        <v>2830</v>
      </c>
      <c r="G425" s="966"/>
      <c r="H425" s="967"/>
      <c r="I425" s="968" t="s">
        <v>1358</v>
      </c>
      <c r="J425" s="971">
        <f>重み!M57</f>
        <v>0.22413793103448276</v>
      </c>
      <c r="K425" s="965" t="s">
        <v>1961</v>
      </c>
      <c r="L425" s="966"/>
      <c r="M425" s="967"/>
      <c r="N425" s="968" t="s">
        <v>1358</v>
      </c>
      <c r="O425" s="971">
        <f>重み!N57</f>
        <v>5.6896551724137941E-2</v>
      </c>
    </row>
    <row r="426" spans="2:15" ht="16.5" hidden="1" thickBot="1">
      <c r="D426" s="953"/>
      <c r="E426" s="1097"/>
      <c r="F426" s="972">
        <v>0</v>
      </c>
      <c r="G426" s="1084" t="s">
        <v>2510</v>
      </c>
      <c r="H426" s="977"/>
      <c r="I426" s="1109"/>
      <c r="J426" s="978"/>
      <c r="K426" s="972">
        <v>0</v>
      </c>
      <c r="L426" s="1084" t="s">
        <v>901</v>
      </c>
      <c r="M426" s="978"/>
      <c r="N426" s="1084"/>
      <c r="O426" s="1089"/>
    </row>
    <row r="427" spans="2:15" ht="15.75" hidden="1" customHeight="1">
      <c r="B427" s="1">
        <v>1</v>
      </c>
      <c r="C427" s="1">
        <v>1</v>
      </c>
      <c r="D427" s="953"/>
      <c r="E427" s="1097"/>
      <c r="F427" s="979" t="str">
        <f>IF(F426=$S$15,$T$10,IF(ROUNDDOWN(F426,0)=$S$10,$U$10,$T$10))</f>
        <v>　レベル　1</v>
      </c>
      <c r="G427" s="2731" t="s">
        <v>409</v>
      </c>
      <c r="H427" s="2757"/>
      <c r="I427" s="2757"/>
      <c r="J427" s="2732"/>
      <c r="K427" s="979" t="str">
        <f>IF(K426=$S$15,$T$10,IF(ROUNDDOWN(K426,0)=$S$10,$U$10,$T$10))</f>
        <v>　レベル　1</v>
      </c>
      <c r="L427" s="2731" t="s">
        <v>409</v>
      </c>
      <c r="M427" s="2757"/>
      <c r="N427" s="2757"/>
      <c r="O427" s="2732"/>
    </row>
    <row r="428" spans="2:15" ht="15.75" hidden="1">
      <c r="B428" s="1" t="s">
        <v>220</v>
      </c>
      <c r="C428" s="1" t="s">
        <v>220</v>
      </c>
      <c r="D428" s="953"/>
      <c r="E428" s="1097"/>
      <c r="F428" s="984" t="str">
        <f>IF(F426=$S$15,$T$11,IF(ROUNDDOWN(F426,0)=$S$11,$U$11,$T$11))</f>
        <v>　レベル　2</v>
      </c>
      <c r="G428" s="2727" t="s">
        <v>2168</v>
      </c>
      <c r="H428" s="2752"/>
      <c r="I428" s="2752"/>
      <c r="J428" s="2734"/>
      <c r="K428" s="984" t="str">
        <f>IF(K426=$S$15,$T$11,IF(ROUNDDOWN(K426,0)=$S$11,$U$11,$T$11))</f>
        <v>　レベル　2</v>
      </c>
      <c r="L428" s="2758" t="s">
        <v>2168</v>
      </c>
      <c r="M428" s="2759"/>
      <c r="N428" s="2759"/>
      <c r="O428" s="2760"/>
    </row>
    <row r="429" spans="2:15" ht="52.5" hidden="1" customHeight="1">
      <c r="B429" s="1">
        <v>3</v>
      </c>
      <c r="C429" s="1">
        <v>3</v>
      </c>
      <c r="D429" s="953"/>
      <c r="E429" s="1097"/>
      <c r="F429" s="984" t="str">
        <f>IF(F426=$S$15,$T$12,IF(ROUNDDOWN(F426,0)=$S$12,$U$12,$T$12))</f>
        <v>　レベル　3</v>
      </c>
      <c r="G429" s="2727" t="s">
        <v>2511</v>
      </c>
      <c r="H429" s="2752"/>
      <c r="I429" s="2752"/>
      <c r="J429" s="2734"/>
      <c r="K429" s="984" t="str">
        <f>IF(K426=$S$15,$T$12,IF(ROUNDDOWN(K426,0)=$S$12,$U$12,$T$12))</f>
        <v>　レベル　3</v>
      </c>
      <c r="L429" s="2758" t="s">
        <v>2178</v>
      </c>
      <c r="M429" s="2759"/>
      <c r="N429" s="2759"/>
      <c r="O429" s="2760"/>
    </row>
    <row r="430" spans="2:15" ht="15.75" hidden="1">
      <c r="B430" s="1" t="s">
        <v>220</v>
      </c>
      <c r="C430" s="1" t="s">
        <v>220</v>
      </c>
      <c r="D430" s="953"/>
      <c r="E430" s="1097"/>
      <c r="F430" s="984" t="str">
        <f>IF(F426=$S$15,$T$13,IF(ROUNDDOWN(F426,0)=$S$13,$U$13,$T$13))</f>
        <v>　レベル　4</v>
      </c>
      <c r="G430" s="2727" t="s">
        <v>2168</v>
      </c>
      <c r="H430" s="2752"/>
      <c r="I430" s="2752"/>
      <c r="J430" s="2734"/>
      <c r="K430" s="984" t="str">
        <f>IF(K426=$S$15,$T$13,IF(ROUNDDOWN(K426,0)=$S$13,$U$13,$T$13))</f>
        <v>　レベル　4</v>
      </c>
      <c r="L430" s="2758" t="s">
        <v>2168</v>
      </c>
      <c r="M430" s="2759"/>
      <c r="N430" s="2759"/>
      <c r="O430" s="2760"/>
    </row>
    <row r="431" spans="2:15" ht="6" hidden="1" customHeight="1">
      <c r="B431" s="1">
        <v>5</v>
      </c>
      <c r="C431" s="1">
        <v>5</v>
      </c>
      <c r="D431" s="953"/>
      <c r="E431" s="1097"/>
      <c r="F431" s="995" t="str">
        <f>IF(F426=$S$15,$T$14,IF(ROUNDDOWN(F426,0)=$S$14,$U$14,$T$14))</f>
        <v>　レベル　5</v>
      </c>
      <c r="G431" s="2724" t="s">
        <v>2512</v>
      </c>
      <c r="H431" s="2753"/>
      <c r="I431" s="2753"/>
      <c r="J431" s="2743"/>
      <c r="K431" s="995" t="str">
        <f>IF(K426=$S$15,$T$14,IF(ROUNDDOWN(K426,0)=$S$14,$U$14,$T$14))</f>
        <v>　レベル　5</v>
      </c>
      <c r="L431" s="2754" t="s">
        <v>1654</v>
      </c>
      <c r="M431" s="2755"/>
      <c r="N431" s="2755"/>
      <c r="O431" s="2756"/>
    </row>
    <row r="432" spans="2:15" ht="15.75">
      <c r="B432" s="1002">
        <v>0</v>
      </c>
      <c r="C432" s="1002">
        <v>0</v>
      </c>
      <c r="D432" s="953"/>
      <c r="E432" s="155"/>
      <c r="F432" s="155"/>
      <c r="G432" s="1088"/>
      <c r="H432" s="1088"/>
      <c r="I432" s="1088"/>
      <c r="J432" s="1088"/>
      <c r="K432" s="1088"/>
      <c r="L432" s="1088"/>
      <c r="M432" s="1088"/>
      <c r="N432" s="1088"/>
      <c r="O432" s="1088"/>
    </row>
    <row r="433" spans="2:15" ht="15.75">
      <c r="D433" s="949">
        <v>4.3</v>
      </c>
      <c r="E433" s="960" t="s">
        <v>2371</v>
      </c>
      <c r="F433" s="959"/>
      <c r="G433" s="1038"/>
      <c r="H433" s="1082"/>
      <c r="I433" s="1082"/>
      <c r="J433" s="1082"/>
      <c r="K433" s="1082"/>
      <c r="L433" s="1082"/>
      <c r="M433" s="1082"/>
      <c r="N433" s="1082"/>
      <c r="O433" s="1082"/>
    </row>
    <row r="434" spans="2:15" ht="15.75">
      <c r="D434" s="953"/>
      <c r="E434" s="155"/>
      <c r="F434" s="961" t="s">
        <v>1655</v>
      </c>
      <c r="G434" s="1038"/>
      <c r="H434" s="1083"/>
      <c r="I434" s="1004"/>
      <c r="J434" s="1041" t="str">
        <f>IF(OR(F436=0,J435=0),$R$3,"")</f>
        <v/>
      </c>
      <c r="K434" s="1121" t="s">
        <v>1835</v>
      </c>
      <c r="L434" s="1038"/>
      <c r="M434" s="1083"/>
      <c r="N434" s="1004"/>
      <c r="O434" s="1041" t="str">
        <f>IF(OR(K436=0,O435=0),$R$3,"")</f>
        <v/>
      </c>
    </row>
    <row r="435" spans="2:15" ht="16.5" thickBot="1">
      <c r="D435" s="953"/>
      <c r="E435" s="155"/>
      <c r="F435" s="965" t="s">
        <v>1656</v>
      </c>
      <c r="G435" s="966"/>
      <c r="H435" s="967"/>
      <c r="I435" s="968" t="s">
        <v>1358</v>
      </c>
      <c r="J435" s="971">
        <f>重み!M59</f>
        <v>0.41379310344827586</v>
      </c>
      <c r="K435" s="965" t="s">
        <v>2000</v>
      </c>
      <c r="L435" s="966"/>
      <c r="M435" s="967"/>
      <c r="N435" s="968" t="s">
        <v>1358</v>
      </c>
      <c r="O435" s="971">
        <f>重み!M60</f>
        <v>0.41379310344827586</v>
      </c>
    </row>
    <row r="436" spans="2:15" ht="16.5" thickBot="1">
      <c r="D436" s="953"/>
      <c r="E436" s="155"/>
      <c r="F436" s="972">
        <v>3</v>
      </c>
      <c r="G436" s="1084" t="s">
        <v>1836</v>
      </c>
      <c r="H436" s="977"/>
      <c r="I436" s="1109"/>
      <c r="J436" s="978"/>
      <c r="K436" s="972">
        <v>3</v>
      </c>
      <c r="L436" s="1084" t="s">
        <v>1837</v>
      </c>
      <c r="M436" s="978"/>
      <c r="N436" s="1084"/>
      <c r="O436" s="1089"/>
    </row>
    <row r="437" spans="2:15" ht="15.75">
      <c r="B437" s="1">
        <v>1</v>
      </c>
      <c r="C437" s="1">
        <v>1</v>
      </c>
      <c r="D437" s="953"/>
      <c r="E437" s="155"/>
      <c r="F437" s="979" t="str">
        <f>IF(F436=$S$15,$T$10,IF(ROUNDDOWN(F436,0)=$S$10,$U$10,$T$10))</f>
        <v>　レベル　1</v>
      </c>
      <c r="G437" s="2731" t="s">
        <v>409</v>
      </c>
      <c r="H437" s="2757"/>
      <c r="I437" s="2757"/>
      <c r="J437" s="2732"/>
      <c r="K437" s="979" t="str">
        <f>IF(K436=$S$15,$T$10,IF(ROUNDDOWN(K436,0)=$S$10,$U$10,$T$10))</f>
        <v>　レベル　1</v>
      </c>
      <c r="L437" s="2731" t="s">
        <v>409</v>
      </c>
      <c r="M437" s="2757"/>
      <c r="N437" s="2757"/>
      <c r="O437" s="2732"/>
    </row>
    <row r="438" spans="2:15" ht="15.75">
      <c r="B438" s="1" t="s">
        <v>2167</v>
      </c>
      <c r="C438" s="1" t="s">
        <v>2167</v>
      </c>
      <c r="D438" s="953"/>
      <c r="E438" s="155"/>
      <c r="F438" s="984" t="str">
        <f>IF(F436=$S$15,$T$11,IF(ROUNDDOWN(F436,0)=$S$11,$U$11,$T$11))</f>
        <v>　レベル　2</v>
      </c>
      <c r="G438" s="2727" t="s">
        <v>2168</v>
      </c>
      <c r="H438" s="2752"/>
      <c r="I438" s="2752"/>
      <c r="J438" s="2734"/>
      <c r="K438" s="984" t="str">
        <f>IF(K436=$S$15,$T$11,IF(ROUNDDOWN(K436,0)=$S$11,$U$11,$T$11))</f>
        <v>　レベル　2</v>
      </c>
      <c r="L438" s="2727" t="s">
        <v>2168</v>
      </c>
      <c r="M438" s="2752"/>
      <c r="N438" s="2752"/>
      <c r="O438" s="2734"/>
    </row>
    <row r="439" spans="2:15" ht="45" customHeight="1">
      <c r="B439" s="1">
        <v>3</v>
      </c>
      <c r="C439" s="1">
        <v>3</v>
      </c>
      <c r="D439" s="953"/>
      <c r="E439" s="155"/>
      <c r="F439" s="984" t="str">
        <f>IF(F436=$S$15,$T$12,IF(ROUNDDOWN(F436,0)=$S$12,$U$12,$T$12))</f>
        <v>■レベル　3</v>
      </c>
      <c r="G439" s="2727" t="s">
        <v>1838</v>
      </c>
      <c r="H439" s="2752"/>
      <c r="I439" s="2752"/>
      <c r="J439" s="2734"/>
      <c r="K439" s="984" t="str">
        <f>IF(K436=$S$15,$T$12,IF(ROUNDDOWN(K436,0)=$S$12,$U$12,$T$12))</f>
        <v>■レベル　3</v>
      </c>
      <c r="L439" s="2727" t="s">
        <v>1839</v>
      </c>
      <c r="M439" s="2752"/>
      <c r="N439" s="2752"/>
      <c r="O439" s="2734"/>
    </row>
    <row r="440" spans="2:15" ht="45" customHeight="1">
      <c r="B440" s="1">
        <v>4</v>
      </c>
      <c r="C440" s="1" t="s">
        <v>2167</v>
      </c>
      <c r="D440" s="953"/>
      <c r="E440" s="155"/>
      <c r="F440" s="984" t="str">
        <f>IF(F436=$S$15,$T$13,IF(ROUNDDOWN(F436,0)=$S$13,$U$13,$T$13))</f>
        <v>　レベル　4</v>
      </c>
      <c r="G440" s="2727" t="s">
        <v>1840</v>
      </c>
      <c r="H440" s="2752"/>
      <c r="I440" s="2752"/>
      <c r="J440" s="2734"/>
      <c r="K440" s="984" t="str">
        <f>IF(K436=$S$15,$T$13,IF(ROUNDDOWN(K436,0)=$S$13,$U$13,$T$13))</f>
        <v>　レベル　4</v>
      </c>
      <c r="L440" s="2727" t="s">
        <v>2168</v>
      </c>
      <c r="M440" s="2752"/>
      <c r="N440" s="2752"/>
      <c r="O440" s="2734"/>
    </row>
    <row r="441" spans="2:15" ht="45" customHeight="1">
      <c r="B441" s="1">
        <v>5</v>
      </c>
      <c r="C441" s="1">
        <v>5</v>
      </c>
      <c r="D441" s="953"/>
      <c r="E441" s="155"/>
      <c r="F441" s="995" t="str">
        <f>IF(F436=$S$15,$T$14,IF(ROUNDDOWN(F436,0)=$S$14,$U$14,$T$14))</f>
        <v>　レベル　5</v>
      </c>
      <c r="G441" s="2724" t="s">
        <v>1657</v>
      </c>
      <c r="H441" s="2753"/>
      <c r="I441" s="2753"/>
      <c r="J441" s="2743"/>
      <c r="K441" s="995" t="str">
        <f>IF(K436=$S$15,$T$14,IF(ROUNDDOWN(K436,0)=$S$14,$U$14,$T$14))</f>
        <v>　レベル　5</v>
      </c>
      <c r="L441" s="2724" t="s">
        <v>1841</v>
      </c>
      <c r="M441" s="2753"/>
      <c r="N441" s="2753"/>
      <c r="O441" s="2743"/>
    </row>
    <row r="442" spans="2:15">
      <c r="B442" s="1002">
        <v>0</v>
      </c>
      <c r="C442" s="1002">
        <v>0</v>
      </c>
    </row>
  </sheetData>
  <sheetProtection password="B4B8" sheet="1" objects="1" scenarios="1"/>
  <mergeCells count="442">
    <mergeCell ref="F19:F20"/>
    <mergeCell ref="F28:F29"/>
    <mergeCell ref="N34:O34"/>
    <mergeCell ref="G35:H35"/>
    <mergeCell ref="I35:J35"/>
    <mergeCell ref="N181:O181"/>
    <mergeCell ref="N177:O177"/>
    <mergeCell ref="N178:O178"/>
    <mergeCell ref="N179:O179"/>
    <mergeCell ref="N180:O180"/>
    <mergeCell ref="N175:O175"/>
    <mergeCell ref="N35:O35"/>
    <mergeCell ref="I34:J34"/>
    <mergeCell ref="N38:O38"/>
    <mergeCell ref="G39:H39"/>
    <mergeCell ref="I39:J39"/>
    <mergeCell ref="N39:O39"/>
    <mergeCell ref="G38:H38"/>
    <mergeCell ref="I38:J38"/>
    <mergeCell ref="G36:H36"/>
    <mergeCell ref="I36:J36"/>
    <mergeCell ref="N52:O52"/>
    <mergeCell ref="L53:M53"/>
    <mergeCell ref="N53:O53"/>
    <mergeCell ref="N50:O50"/>
    <mergeCell ref="J51:K51"/>
    <mergeCell ref="L51:M51"/>
    <mergeCell ref="N51:O51"/>
    <mergeCell ref="N36:O36"/>
    <mergeCell ref="G37:H37"/>
    <mergeCell ref="I37:J37"/>
    <mergeCell ref="N37:O37"/>
    <mergeCell ref="H46:I46"/>
    <mergeCell ref="J46:K46"/>
    <mergeCell ref="J61:K61"/>
    <mergeCell ref="J62:K62"/>
    <mergeCell ref="J63:K63"/>
    <mergeCell ref="G57:G58"/>
    <mergeCell ref="H59:I59"/>
    <mergeCell ref="J59:K59"/>
    <mergeCell ref="J60:K60"/>
    <mergeCell ref="J50:K50"/>
    <mergeCell ref="L50:M50"/>
    <mergeCell ref="L52:M52"/>
    <mergeCell ref="N171:O171"/>
    <mergeCell ref="L172:M172"/>
    <mergeCell ref="N172:O172"/>
    <mergeCell ref="L173:M173"/>
    <mergeCell ref="N173:O173"/>
    <mergeCell ref="G150:J150"/>
    <mergeCell ref="N154:O154"/>
    <mergeCell ref="N156:O156"/>
    <mergeCell ref="L174:M174"/>
    <mergeCell ref="N174:O174"/>
    <mergeCell ref="G175:J175"/>
    <mergeCell ref="L175:M175"/>
    <mergeCell ref="G177:J177"/>
    <mergeCell ref="L177:M177"/>
    <mergeCell ref="G178:J178"/>
    <mergeCell ref="G179:J179"/>
    <mergeCell ref="L179:M179"/>
    <mergeCell ref="G171:J171"/>
    <mergeCell ref="G173:J173"/>
    <mergeCell ref="L171:M171"/>
    <mergeCell ref="G186:I186"/>
    <mergeCell ref="J186:L186"/>
    <mergeCell ref="M186:N186"/>
    <mergeCell ref="G188:I188"/>
    <mergeCell ref="J188:L188"/>
    <mergeCell ref="M188:N188"/>
    <mergeCell ref="G180:J180"/>
    <mergeCell ref="G181:J181"/>
    <mergeCell ref="L181:M181"/>
    <mergeCell ref="G195:J195"/>
    <mergeCell ref="L195:O195"/>
    <mergeCell ref="G196:J196"/>
    <mergeCell ref="L196:O196"/>
    <mergeCell ref="G189:I189"/>
    <mergeCell ref="J189:L189"/>
    <mergeCell ref="M189:N189"/>
    <mergeCell ref="G190:I190"/>
    <mergeCell ref="J190:L190"/>
    <mergeCell ref="M190:N190"/>
    <mergeCell ref="G203:H203"/>
    <mergeCell ref="I203:J203"/>
    <mergeCell ref="G204:H204"/>
    <mergeCell ref="I204:J204"/>
    <mergeCell ref="G197:J197"/>
    <mergeCell ref="L197:O197"/>
    <mergeCell ref="L198:O198"/>
    <mergeCell ref="G199:J199"/>
    <mergeCell ref="L199:O199"/>
    <mergeCell ref="G215:J215"/>
    <mergeCell ref="L215:O215"/>
    <mergeCell ref="G216:J216"/>
    <mergeCell ref="L216:O216"/>
    <mergeCell ref="G213:J213"/>
    <mergeCell ref="L213:O213"/>
    <mergeCell ref="G214:J214"/>
    <mergeCell ref="L214:O214"/>
    <mergeCell ref="G206:H206"/>
    <mergeCell ref="I206:J206"/>
    <mergeCell ref="G208:H208"/>
    <mergeCell ref="I208:J208"/>
    <mergeCell ref="G224:H224"/>
    <mergeCell ref="L224:M224"/>
    <mergeCell ref="N224:O224"/>
    <mergeCell ref="G225:H225"/>
    <mergeCell ref="L225:M225"/>
    <mergeCell ref="N225:O225"/>
    <mergeCell ref="G217:J217"/>
    <mergeCell ref="L217:O217"/>
    <mergeCell ref="G223:H223"/>
    <mergeCell ref="L223:M223"/>
    <mergeCell ref="N223:O223"/>
    <mergeCell ref="G221:H221"/>
    <mergeCell ref="I241:J241"/>
    <mergeCell ref="G242:H242"/>
    <mergeCell ref="I242:J242"/>
    <mergeCell ref="L242:M242"/>
    <mergeCell ref="N242:O242"/>
    <mergeCell ref="N233:O233"/>
    <mergeCell ref="G240:H240"/>
    <mergeCell ref="I240:J240"/>
    <mergeCell ref="L240:M240"/>
    <mergeCell ref="N240:O240"/>
    <mergeCell ref="G233:H233"/>
    <mergeCell ref="L233:M233"/>
    <mergeCell ref="I233:J233"/>
    <mergeCell ref="G248:H248"/>
    <mergeCell ref="I248:J248"/>
    <mergeCell ref="L248:M248"/>
    <mergeCell ref="N248:O248"/>
    <mergeCell ref="G246:H246"/>
    <mergeCell ref="I246:J246"/>
    <mergeCell ref="L246:M246"/>
    <mergeCell ref="N246:O246"/>
    <mergeCell ref="I243:J243"/>
    <mergeCell ref="N243:O243"/>
    <mergeCell ref="G244:H244"/>
    <mergeCell ref="I244:J244"/>
    <mergeCell ref="L244:M244"/>
    <mergeCell ref="N244:O244"/>
    <mergeCell ref="G258:J258"/>
    <mergeCell ref="L258:O258"/>
    <mergeCell ref="G259:J259"/>
    <mergeCell ref="L259:O259"/>
    <mergeCell ref="G256:J256"/>
    <mergeCell ref="L256:O256"/>
    <mergeCell ref="G257:J257"/>
    <mergeCell ref="L257:O257"/>
    <mergeCell ref="N249:O249"/>
    <mergeCell ref="G250:H250"/>
    <mergeCell ref="I250:J250"/>
    <mergeCell ref="L250:M250"/>
    <mergeCell ref="N250:O250"/>
    <mergeCell ref="G268:J268"/>
    <mergeCell ref="L268:M268"/>
    <mergeCell ref="N268:O268"/>
    <mergeCell ref="G269:J269"/>
    <mergeCell ref="L269:M269"/>
    <mergeCell ref="N269:O269"/>
    <mergeCell ref="G260:J260"/>
    <mergeCell ref="L260:O260"/>
    <mergeCell ref="G267:J267"/>
    <mergeCell ref="L267:M267"/>
    <mergeCell ref="N267:O267"/>
    <mergeCell ref="G276:J276"/>
    <mergeCell ref="G277:J277"/>
    <mergeCell ref="G278:J278"/>
    <mergeCell ref="G279:J279"/>
    <mergeCell ref="G270:J270"/>
    <mergeCell ref="L270:M270"/>
    <mergeCell ref="N270:O270"/>
    <mergeCell ref="G271:J271"/>
    <mergeCell ref="L271:M271"/>
    <mergeCell ref="N271:O271"/>
    <mergeCell ref="G286:H286"/>
    <mergeCell ref="I286:J286"/>
    <mergeCell ref="L286:O286"/>
    <mergeCell ref="G287:H287"/>
    <mergeCell ref="I287:J287"/>
    <mergeCell ref="L287:O287"/>
    <mergeCell ref="G280:J280"/>
    <mergeCell ref="G285:H285"/>
    <mergeCell ref="I285:J285"/>
    <mergeCell ref="L285:O285"/>
    <mergeCell ref="G295:J295"/>
    <mergeCell ref="L295:O295"/>
    <mergeCell ref="G296:J296"/>
    <mergeCell ref="L296:O296"/>
    <mergeCell ref="G288:H288"/>
    <mergeCell ref="I288:J288"/>
    <mergeCell ref="L288:O288"/>
    <mergeCell ref="G289:H289"/>
    <mergeCell ref="I289:J289"/>
    <mergeCell ref="L289:O289"/>
    <mergeCell ref="G299:J299"/>
    <mergeCell ref="L299:O299"/>
    <mergeCell ref="L304:O304"/>
    <mergeCell ref="G304:H304"/>
    <mergeCell ref="I304:J304"/>
    <mergeCell ref="G297:J297"/>
    <mergeCell ref="L297:O297"/>
    <mergeCell ref="G298:J298"/>
    <mergeCell ref="L298:O298"/>
    <mergeCell ref="L307:O307"/>
    <mergeCell ref="L308:O308"/>
    <mergeCell ref="G307:H307"/>
    <mergeCell ref="I307:J307"/>
    <mergeCell ref="G308:H308"/>
    <mergeCell ref="I308:J308"/>
    <mergeCell ref="L305:O305"/>
    <mergeCell ref="L306:O306"/>
    <mergeCell ref="G305:H305"/>
    <mergeCell ref="I305:J305"/>
    <mergeCell ref="G306:H306"/>
    <mergeCell ref="I306:J306"/>
    <mergeCell ref="F334:F335"/>
    <mergeCell ref="K334:K335"/>
    <mergeCell ref="G317:J317"/>
    <mergeCell ref="G327:H327"/>
    <mergeCell ref="G328:H328"/>
    <mergeCell ref="G329:H329"/>
    <mergeCell ref="G313:J313"/>
    <mergeCell ref="G314:J314"/>
    <mergeCell ref="G315:J315"/>
    <mergeCell ref="G316:J316"/>
    <mergeCell ref="G338:J338"/>
    <mergeCell ref="L338:O338"/>
    <mergeCell ref="G339:J339"/>
    <mergeCell ref="L339:O339"/>
    <mergeCell ref="G336:J336"/>
    <mergeCell ref="L336:O336"/>
    <mergeCell ref="G337:J337"/>
    <mergeCell ref="L337:O337"/>
    <mergeCell ref="G330:H330"/>
    <mergeCell ref="G331:H331"/>
    <mergeCell ref="G348:H348"/>
    <mergeCell ref="L348:M348"/>
    <mergeCell ref="N348:O348"/>
    <mergeCell ref="G347:H347"/>
    <mergeCell ref="L347:M347"/>
    <mergeCell ref="N347:O347"/>
    <mergeCell ref="G340:J340"/>
    <mergeCell ref="L340:O340"/>
    <mergeCell ref="G346:H346"/>
    <mergeCell ref="L346:M346"/>
    <mergeCell ref="N346:O346"/>
    <mergeCell ref="G344:H344"/>
    <mergeCell ref="G352:H352"/>
    <mergeCell ref="L352:M352"/>
    <mergeCell ref="N352:O352"/>
    <mergeCell ref="G350:H350"/>
    <mergeCell ref="L350:M350"/>
    <mergeCell ref="N350:O350"/>
    <mergeCell ref="G349:H349"/>
    <mergeCell ref="L349:M349"/>
    <mergeCell ref="N349:O349"/>
    <mergeCell ref="G355:H355"/>
    <mergeCell ref="L355:M355"/>
    <mergeCell ref="N355:O355"/>
    <mergeCell ref="G356:H356"/>
    <mergeCell ref="L356:M356"/>
    <mergeCell ref="N356:O356"/>
    <mergeCell ref="G353:H353"/>
    <mergeCell ref="L353:M353"/>
    <mergeCell ref="N353:O353"/>
    <mergeCell ref="G354:H354"/>
    <mergeCell ref="L354:M354"/>
    <mergeCell ref="N354:O354"/>
    <mergeCell ref="J354:J355"/>
    <mergeCell ref="G363:H363"/>
    <mergeCell ref="I363:J363"/>
    <mergeCell ref="L363:O363"/>
    <mergeCell ref="G364:H364"/>
    <mergeCell ref="I364:J364"/>
    <mergeCell ref="L364:O364"/>
    <mergeCell ref="G365:H365"/>
    <mergeCell ref="I365:J365"/>
    <mergeCell ref="L365:O365"/>
    <mergeCell ref="G366:H366"/>
    <mergeCell ref="I366:J366"/>
    <mergeCell ref="G375:J375"/>
    <mergeCell ref="L375:O375"/>
    <mergeCell ref="G367:H367"/>
    <mergeCell ref="I367:J367"/>
    <mergeCell ref="L367:O367"/>
    <mergeCell ref="G372:J372"/>
    <mergeCell ref="L372:O372"/>
    <mergeCell ref="L366:O366"/>
    <mergeCell ref="I381:J381"/>
    <mergeCell ref="L381:O381"/>
    <mergeCell ref="G382:H382"/>
    <mergeCell ref="I382:J382"/>
    <mergeCell ref="L382:O382"/>
    <mergeCell ref="G384:H384"/>
    <mergeCell ref="I384:J384"/>
    <mergeCell ref="L384:O384"/>
    <mergeCell ref="G373:J373"/>
    <mergeCell ref="L373:O373"/>
    <mergeCell ref="G374:J374"/>
    <mergeCell ref="L374:O374"/>
    <mergeCell ref="G383:H383"/>
    <mergeCell ref="I383:J383"/>
    <mergeCell ref="L383:O383"/>
    <mergeCell ref="G376:J376"/>
    <mergeCell ref="L376:O376"/>
    <mergeCell ref="G381:H381"/>
    <mergeCell ref="G394:J394"/>
    <mergeCell ref="L394:O394"/>
    <mergeCell ref="G391:J391"/>
    <mergeCell ref="L391:O391"/>
    <mergeCell ref="G392:J392"/>
    <mergeCell ref="L392:O392"/>
    <mergeCell ref="G393:J393"/>
    <mergeCell ref="L393:O393"/>
    <mergeCell ref="G385:H385"/>
    <mergeCell ref="I385:J385"/>
    <mergeCell ref="L385:O385"/>
    <mergeCell ref="G390:J390"/>
    <mergeCell ref="L390:O390"/>
    <mergeCell ref="G402:H402"/>
    <mergeCell ref="I402:J402"/>
    <mergeCell ref="L402:O402"/>
    <mergeCell ref="G403:H403"/>
    <mergeCell ref="I403:J403"/>
    <mergeCell ref="L403:O403"/>
    <mergeCell ref="G400:H400"/>
    <mergeCell ref="I400:J400"/>
    <mergeCell ref="L400:O400"/>
    <mergeCell ref="G401:H401"/>
    <mergeCell ref="I401:J401"/>
    <mergeCell ref="L401:O401"/>
    <mergeCell ref="L410:M410"/>
    <mergeCell ref="N410:O410"/>
    <mergeCell ref="L411:M411"/>
    <mergeCell ref="N411:O411"/>
    <mergeCell ref="G410:H410"/>
    <mergeCell ref="G411:H411"/>
    <mergeCell ref="I410:J410"/>
    <mergeCell ref="I411:J411"/>
    <mergeCell ref="G404:H404"/>
    <mergeCell ref="I404:J404"/>
    <mergeCell ref="L404:O404"/>
    <mergeCell ref="L409:M409"/>
    <mergeCell ref="N409:O409"/>
    <mergeCell ref="G409:H409"/>
    <mergeCell ref="I409:J409"/>
    <mergeCell ref="G418:H418"/>
    <mergeCell ref="I418:J418"/>
    <mergeCell ref="L418:M418"/>
    <mergeCell ref="N418:O418"/>
    <mergeCell ref="L412:M412"/>
    <mergeCell ref="N412:O412"/>
    <mergeCell ref="L413:M413"/>
    <mergeCell ref="N413:O413"/>
    <mergeCell ref="G412:H412"/>
    <mergeCell ref="G413:H413"/>
    <mergeCell ref="I412:J412"/>
    <mergeCell ref="I413:J413"/>
    <mergeCell ref="G421:H421"/>
    <mergeCell ref="I421:J421"/>
    <mergeCell ref="L421:M421"/>
    <mergeCell ref="N421:O421"/>
    <mergeCell ref="G420:H420"/>
    <mergeCell ref="I420:J420"/>
    <mergeCell ref="L420:M420"/>
    <mergeCell ref="N420:O420"/>
    <mergeCell ref="G419:H419"/>
    <mergeCell ref="I419:J419"/>
    <mergeCell ref="L419:M419"/>
    <mergeCell ref="N419:O419"/>
    <mergeCell ref="G429:J429"/>
    <mergeCell ref="L429:O429"/>
    <mergeCell ref="G430:J430"/>
    <mergeCell ref="L430:O430"/>
    <mergeCell ref="G427:J427"/>
    <mergeCell ref="L427:O427"/>
    <mergeCell ref="G428:J428"/>
    <mergeCell ref="L428:O428"/>
    <mergeCell ref="G422:H422"/>
    <mergeCell ref="I422:J422"/>
    <mergeCell ref="L422:M422"/>
    <mergeCell ref="N422:O422"/>
    <mergeCell ref="G440:J440"/>
    <mergeCell ref="L440:O440"/>
    <mergeCell ref="G441:J441"/>
    <mergeCell ref="L441:O441"/>
    <mergeCell ref="G438:J438"/>
    <mergeCell ref="L438:O438"/>
    <mergeCell ref="G439:J439"/>
    <mergeCell ref="L439:O439"/>
    <mergeCell ref="G431:J431"/>
    <mergeCell ref="L431:O431"/>
    <mergeCell ref="G437:J437"/>
    <mergeCell ref="L437:O437"/>
    <mergeCell ref="I95:J95"/>
    <mergeCell ref="I96:J96"/>
    <mergeCell ref="G97:H97"/>
    <mergeCell ref="I97:J97"/>
    <mergeCell ref="L93:M93"/>
    <mergeCell ref="N93:O93"/>
    <mergeCell ref="L95:M95"/>
    <mergeCell ref="N95:O95"/>
    <mergeCell ref="L97:M97"/>
    <mergeCell ref="N97:O97"/>
    <mergeCell ref="I93:J93"/>
    <mergeCell ref="G110:J110"/>
    <mergeCell ref="G111:J111"/>
    <mergeCell ref="G112:J112"/>
    <mergeCell ref="G113:J113"/>
    <mergeCell ref="L109:O109"/>
    <mergeCell ref="L110:O110"/>
    <mergeCell ref="L111:O111"/>
    <mergeCell ref="L112:O112"/>
    <mergeCell ref="L113:O113"/>
    <mergeCell ref="G109:J109"/>
    <mergeCell ref="L129:O129"/>
    <mergeCell ref="G154:I154"/>
    <mergeCell ref="G156:H156"/>
    <mergeCell ref="H152:I152"/>
    <mergeCell ref="I229:J229"/>
    <mergeCell ref="G230:H230"/>
    <mergeCell ref="I230:J230"/>
    <mergeCell ref="I231:J231"/>
    <mergeCell ref="G232:H232"/>
    <mergeCell ref="I232:J232"/>
    <mergeCell ref="G231:H231"/>
    <mergeCell ref="L231:M231"/>
    <mergeCell ref="N231:O231"/>
    <mergeCell ref="N232:O232"/>
    <mergeCell ref="G229:H229"/>
    <mergeCell ref="L229:M229"/>
    <mergeCell ref="N229:O229"/>
    <mergeCell ref="N230:O230"/>
    <mergeCell ref="G226:H226"/>
    <mergeCell ref="L226:M226"/>
    <mergeCell ref="N226:O226"/>
    <mergeCell ref="G227:H227"/>
    <mergeCell ref="L227:M227"/>
    <mergeCell ref="N227:O227"/>
  </mergeCells>
  <phoneticPr fontId="21"/>
  <conditionalFormatting sqref="F9 F69 F85 F101 F117 F133 F144 F160 F169 F185 F194 F203 F212 F221 F238 F255 F266 F275 F284 F294 F303 F312 F326 F344 F362 F371 F380 F389 F399 F408 F417 F426 F436">
    <cfRule type="expression" dxfId="135" priority="15" stopIfTrue="1">
      <formula>AND(OR(F9&lt;1,F9&gt;5),F9&lt;&gt;0)</formula>
    </cfRule>
    <cfRule type="expression" dxfId="134" priority="16" stopIfTrue="1">
      <formula>$J8&gt;0</formula>
    </cfRule>
  </conditionalFormatting>
  <conditionalFormatting sqref="F41">
    <cfRule type="expression" dxfId="133" priority="24" stopIfTrue="1">
      <formula>$M$45&lt;2000</formula>
    </cfRule>
  </conditionalFormatting>
  <conditionalFormatting sqref="F44">
    <cfRule type="expression" dxfId="132" priority="13" stopIfTrue="1">
      <formula>AND(OR($F$44&lt;1,$F$44&gt;5),$F$44&lt;&gt;$R$40)</formula>
    </cfRule>
    <cfRule type="expression" dxfId="131" priority="14" stopIfTrue="1">
      <formula>AND(J33&gt;0,$M$45&gt;0,I44=$T$4)</formula>
    </cfRule>
  </conditionalFormatting>
  <conditionalFormatting sqref="F334 K334">
    <cfRule type="expression" dxfId="130" priority="5" stopIfTrue="1">
      <formula>AND(OR(F334&lt;1,F334&gt;5),F334&lt;&gt;R341)</formula>
    </cfRule>
    <cfRule type="expression" dxfId="129" priority="6" stopIfTrue="1">
      <formula>J333&gt;0</formula>
    </cfRule>
  </conditionalFormatting>
  <conditionalFormatting sqref="F335 K335">
    <cfRule type="expression" dxfId="128" priority="7" stopIfTrue="1">
      <formula>AND(OR(F335&lt;1,F335&gt;5),F335&lt;&gt;#REF!)</formula>
    </cfRule>
    <cfRule type="expression" dxfId="127" priority="8" stopIfTrue="1">
      <formula>J334&gt;0</formula>
    </cfRule>
  </conditionalFormatting>
  <conditionalFormatting sqref="F46:G49">
    <cfRule type="expression" dxfId="126" priority="22" stopIfTrue="1">
      <formula>AND($J$33&gt;0,$M$45&gt;2000)</formula>
    </cfRule>
    <cfRule type="expression" dxfId="125" priority="23" stopIfTrue="1">
      <formula>AND($J$33&gt;0,$M$45&lt;2000,$F$41=$S$3)</formula>
    </cfRule>
  </conditionalFormatting>
  <conditionalFormatting sqref="F50:G53">
    <cfRule type="expression" dxfId="124" priority="21" stopIfTrue="1">
      <formula>$J$33&gt;0</formula>
    </cfRule>
  </conditionalFormatting>
  <conditionalFormatting sqref="G44">
    <cfRule type="expression" dxfId="123" priority="9" stopIfTrue="1">
      <formula>AND(OR($G$44&lt;1,$G$44&gt;5),$G$44&lt;&gt;$R$40)</formula>
    </cfRule>
    <cfRule type="expression" dxfId="122" priority="10" stopIfTrue="1">
      <formula>AND(O33&gt;0,O$45&gt;0,I44=$T$4)</formula>
    </cfRule>
  </conditionalFormatting>
  <conditionalFormatting sqref="G56">
    <cfRule type="expression" dxfId="121" priority="11" stopIfTrue="1">
      <formula>AND(OR($G$56&lt;1,$G$56&gt;5),$G$56&lt;&gt;$W$40)</formula>
    </cfRule>
    <cfRule type="expression" dxfId="120" priority="12" stopIfTrue="1">
      <formula>AND(O33&gt;0,K57&gt;0,I56=$T$4)</formula>
    </cfRule>
  </conditionalFormatting>
  <conditionalFormatting sqref="G59:G63">
    <cfRule type="expression" dxfId="119" priority="17" stopIfTrue="1">
      <formula>$I$56=$T$4</formula>
    </cfRule>
    <cfRule type="expression" dxfId="118" priority="18" stopIfTrue="1">
      <formula>AND($O$33&gt;0,$K$57&gt;0)</formula>
    </cfRule>
  </conditionalFormatting>
  <conditionalFormatting sqref="I44">
    <cfRule type="expression" dxfId="117" priority="1" stopIfTrue="1">
      <formula>AND(J33&gt;0,$M$45&gt;0)</formula>
    </cfRule>
  </conditionalFormatting>
  <conditionalFormatting sqref="I56">
    <cfRule type="expression" dxfId="116" priority="2" stopIfTrue="1">
      <formula>AND(O33&gt;0,K57&gt;0)</formula>
    </cfRule>
  </conditionalFormatting>
  <conditionalFormatting sqref="L9 K69 K85 K101 K117 K133 M144 K169 K194 K212 K221 K238 K255 K266 K284 K294 K303 M326 K344 K362 K371 K380 K389 K399 K408 K417 K426 K436">
    <cfRule type="expression" dxfId="115" priority="3" stopIfTrue="1">
      <formula>AND(OR(K9&lt;1,K9&gt;5),K9&lt;&gt;0)</formula>
    </cfRule>
    <cfRule type="expression" dxfId="114" priority="4" stopIfTrue="1">
      <formula>$O8&gt;0</formula>
    </cfRule>
  </conditionalFormatting>
  <dataValidations count="10">
    <dataValidation type="list" allowBlank="1" showInputMessage="1" sqref="K334 F334" xr:uid="{00000000-0002-0000-0600-000000000000}">
      <formula1>R336:R341</formula1>
    </dataValidation>
    <dataValidation type="list" allowBlank="1" showInputMessage="1" sqref="L9 M144 K69 K117 K101 K85 K133 K194 K212 K169 K238 K266 K284 K294 K303 M326 K344 K362 K371 K380 K389 K399 K408 K417 K426 K436 K255 K221" xr:uid="{00000000-0002-0000-0600-000001000000}">
      <formula1>$C10:$C15</formula1>
    </dataValidation>
    <dataValidation type="list" allowBlank="1" showInputMessage="1" sqref="K335 F335" xr:uid="{00000000-0002-0000-0600-000002000000}">
      <formula1>R337:R341</formula1>
    </dataValidation>
    <dataValidation type="list" allowBlank="1" showInputMessage="1" sqref="F9 F144 F169 F133 F117 F101 F85 F69 F203 F212 F221 F266 F275 F284 F294 F303 F326 F344 F185 F380 F399 F408 F426 F436 F371 F312 F238 F417 F389 F255 F194 F160 F362" xr:uid="{00000000-0002-0000-0600-000003000000}">
      <formula1>$B10:$B15</formula1>
    </dataValidation>
    <dataValidation type="list" allowBlank="1" showInputMessage="1" showErrorMessage="1" sqref="I56 I44" xr:uid="{00000000-0002-0000-0600-000004000000}">
      <formula1>$T$3:$T$4</formula1>
    </dataValidation>
    <dataValidation type="list" allowBlank="1" showInputMessage="1" showErrorMessage="1" sqref="G59:G63 F46:G53" xr:uid="{00000000-0002-0000-0600-000005000000}">
      <formula1>"○,　"</formula1>
    </dataValidation>
    <dataValidation type="list" allowBlank="1" sqref="G56" xr:uid="{00000000-0002-0000-0600-000006000000}">
      <formula1>$B$57:$B$62</formula1>
    </dataValidation>
    <dataValidation type="list" allowBlank="1" showInputMessage="1" sqref="G44" xr:uid="{00000000-0002-0000-0600-000007000000}">
      <formula1>$C$45:$C$50</formula1>
    </dataValidation>
    <dataValidation type="list" allowBlank="1" showInputMessage="1" showErrorMessage="1" sqref="F41" xr:uid="{00000000-0002-0000-0600-000008000000}">
      <formula1>$S$3:$S$4</formula1>
    </dataValidation>
    <dataValidation type="list" allowBlank="1" showInputMessage="1" sqref="F44" xr:uid="{00000000-0002-0000-0600-000009000000}">
      <formula1>$B$45:$B$50</formula1>
    </dataValidation>
  </dataValidations>
  <printOptions horizontalCentered="1"/>
  <pageMargins left="0.59055118110236227" right="0.59055118110236227" top="0.78740157480314965" bottom="0.59055118110236227" header="0.51181102362204722" footer="0.51181102362204722"/>
  <pageSetup paperSize="9" scale="68" fitToHeight="10" orientation="portrait" verticalDpi="4294967293" r:id="rId1"/>
  <headerFooter alignWithMargins="0">
    <oddHeader>&amp;L&amp;F&amp;R&amp;A</oddHeader>
    <oddFooter>&amp;C&amp;P/&amp;N</oddFooter>
  </headerFooter>
  <rowBreaks count="6" manualBreakCount="6">
    <brk id="139" max="16383" man="1"/>
    <brk id="166" min="3" max="15" man="1"/>
    <brk id="261" min="3" max="15" man="1"/>
    <brk id="323" min="3" max="15" man="1"/>
    <brk id="357" min="3" max="15" man="1"/>
    <brk id="413" min="3" max="15" man="1"/>
  </row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autoPageBreaks="0"/>
  </sheetPr>
  <dimension ref="B1:AA401"/>
  <sheetViews>
    <sheetView showGridLines="0" topLeftCell="A183" zoomScaleNormal="100" zoomScaleSheetLayoutView="100" workbookViewId="0">
      <selection activeCell="F193" sqref="F193"/>
    </sheetView>
  </sheetViews>
  <sheetFormatPr defaultColWidth="9" defaultRowHeight="13.5" zeroHeight="1"/>
  <cols>
    <col min="1" max="1" width="1.25" customWidth="1"/>
    <col min="2" max="2" width="21.375" hidden="1" customWidth="1"/>
    <col min="3" max="3" width="6" hidden="1" customWidth="1"/>
    <col min="4" max="4" width="5" style="2283" customWidth="1"/>
    <col min="5" max="5" width="1.5" style="136" customWidth="1"/>
    <col min="6" max="15" width="12.5" style="136" customWidth="1"/>
    <col min="16" max="16" width="2.875" customWidth="1"/>
    <col min="17" max="17" width="8.625" hidden="1" customWidth="1"/>
    <col min="18" max="18" width="5.875" hidden="1" customWidth="1"/>
    <col min="19" max="19" width="9.75" hidden="1" customWidth="1"/>
    <col min="20" max="20" width="14.375" hidden="1" customWidth="1"/>
    <col min="21" max="21" width="10.25" hidden="1" customWidth="1"/>
    <col min="22" max="22" width="27.25" hidden="1" customWidth="1"/>
    <col min="23" max="23" width="2.5" hidden="1" customWidth="1"/>
    <col min="24" max="24" width="6" hidden="1" customWidth="1"/>
    <col min="25" max="25" width="14.375" hidden="1" customWidth="1"/>
    <col min="26" max="26" width="11.125" hidden="1" customWidth="1"/>
    <col min="27" max="27" width="2.5" hidden="1" customWidth="1"/>
  </cols>
  <sheetData>
    <row r="1" spans="2:22" ht="15.75">
      <c r="D1" s="949"/>
      <c r="E1" s="950"/>
      <c r="F1" s="950"/>
      <c r="G1" s="950"/>
      <c r="H1" s="950"/>
      <c r="I1" s="950"/>
      <c r="J1" s="950"/>
      <c r="K1" s="950"/>
      <c r="L1" s="950"/>
      <c r="M1" s="951" t="s">
        <v>2697</v>
      </c>
      <c r="N1" s="952" t="str">
        <f>メイン!C11</f>
        <v>○○ビル</v>
      </c>
      <c r="O1" s="952"/>
      <c r="R1" t="s">
        <v>1326</v>
      </c>
    </row>
    <row r="2" spans="2:22" ht="16.5" thickBot="1">
      <c r="D2" s="949"/>
      <c r="E2" s="950"/>
      <c r="F2" s="950"/>
      <c r="G2" s="950"/>
      <c r="H2" s="950"/>
      <c r="I2" s="950"/>
      <c r="J2" s="950"/>
      <c r="K2" s="950"/>
      <c r="L2" s="950"/>
      <c r="M2" s="950"/>
      <c r="N2" s="950"/>
      <c r="O2" s="950"/>
    </row>
    <row r="3" spans="2:22" ht="18.75" thickBot="1">
      <c r="D3" s="1396" t="s">
        <v>1658</v>
      </c>
      <c r="E3" s="954"/>
      <c r="F3" s="537"/>
      <c r="G3" s="537"/>
      <c r="H3" s="537"/>
      <c r="I3" s="955"/>
      <c r="J3" s="956" t="s">
        <v>2589</v>
      </c>
      <c r="K3" s="155"/>
      <c r="L3" s="155"/>
      <c r="M3" s="537"/>
      <c r="N3" s="537"/>
      <c r="O3" s="957" t="str">
        <f>IF(メイン!E39=0,"",メイン!E39)</f>
        <v/>
      </c>
      <c r="R3" t="s">
        <v>1354</v>
      </c>
      <c r="S3" t="s">
        <v>1956</v>
      </c>
      <c r="U3" t="str">
        <f>メイン!I39</f>
        <v>基本設計段階</v>
      </c>
    </row>
    <row r="4" spans="2:22" ht="6" customHeight="1">
      <c r="D4" s="953"/>
      <c r="E4" s="954"/>
      <c r="F4" s="537"/>
      <c r="G4" s="537"/>
      <c r="H4" s="537"/>
      <c r="I4" s="537"/>
      <c r="J4" s="537"/>
      <c r="K4" s="155"/>
      <c r="L4" s="155"/>
      <c r="M4" s="537"/>
      <c r="N4" s="537"/>
      <c r="O4" s="537"/>
      <c r="T4" t="s">
        <v>1957</v>
      </c>
      <c r="U4" t="str">
        <f>メイン!I40</f>
        <v>実施設計段階</v>
      </c>
      <c r="V4" t="s">
        <v>1842</v>
      </c>
    </row>
    <row r="5" spans="2:22" ht="15.75">
      <c r="D5" s="949">
        <v>1</v>
      </c>
      <c r="E5" s="958" t="s">
        <v>932</v>
      </c>
      <c r="F5" s="958"/>
      <c r="G5" s="958"/>
      <c r="H5" s="958"/>
      <c r="I5" s="958"/>
      <c r="J5" s="958"/>
      <c r="K5" s="958"/>
      <c r="L5" s="958"/>
      <c r="M5" s="958"/>
      <c r="N5" s="958"/>
      <c r="O5" s="958"/>
      <c r="U5" t="str">
        <f>メイン!I41</f>
        <v>竣工段階</v>
      </c>
    </row>
    <row r="6" spans="2:22" ht="15.75">
      <c r="D6" s="949">
        <v>1.1000000000000001</v>
      </c>
      <c r="E6" s="958" t="s">
        <v>2375</v>
      </c>
      <c r="F6" s="958"/>
      <c r="G6" s="962"/>
      <c r="H6" s="958"/>
      <c r="I6" s="958"/>
      <c r="J6" s="958"/>
      <c r="K6" s="958"/>
      <c r="L6" s="962"/>
      <c r="M6" s="958"/>
      <c r="N6" s="958"/>
      <c r="O6" s="958"/>
      <c r="S6" t="s">
        <v>1659</v>
      </c>
      <c r="U6">
        <f>メイン!Q42</f>
        <v>0</v>
      </c>
    </row>
    <row r="7" spans="2:22" ht="15.75">
      <c r="D7" s="953"/>
      <c r="E7" s="155"/>
      <c r="F7" s="961" t="s">
        <v>1843</v>
      </c>
      <c r="G7" s="962"/>
      <c r="H7" s="958"/>
      <c r="I7" s="950"/>
      <c r="J7" s="1041" t="str">
        <f>IF(OR(F9=0,AND(J8=0,O8=0)),$R$3,"")</f>
        <v/>
      </c>
      <c r="K7" s="961"/>
      <c r="L7" s="962"/>
      <c r="M7" s="958"/>
      <c r="N7" s="950"/>
      <c r="O7" s="963"/>
      <c r="S7" t="s">
        <v>1660</v>
      </c>
    </row>
    <row r="8" spans="2:22" ht="16.5" thickBot="1">
      <c r="D8" s="953"/>
      <c r="E8" s="155"/>
      <c r="F8" s="965" t="s">
        <v>487</v>
      </c>
      <c r="G8" s="966"/>
      <c r="H8" s="967"/>
      <c r="I8" s="968" t="s">
        <v>1358</v>
      </c>
      <c r="J8" s="971">
        <f>重み!M64</f>
        <v>0.25287356321839083</v>
      </c>
      <c r="K8" s="965" t="s">
        <v>1961</v>
      </c>
      <c r="L8" s="966"/>
      <c r="M8" s="967"/>
      <c r="N8" s="968" t="s">
        <v>1358</v>
      </c>
      <c r="O8" s="971">
        <f>重み!N64</f>
        <v>0</v>
      </c>
    </row>
    <row r="9" spans="2:22" ht="16.5" thickBot="1">
      <c r="D9" s="953"/>
      <c r="E9" s="155"/>
      <c r="F9" s="972">
        <v>3</v>
      </c>
      <c r="G9" s="1084" t="s">
        <v>1844</v>
      </c>
      <c r="H9" s="978"/>
      <c r="I9" s="1168" t="s">
        <v>1772</v>
      </c>
      <c r="J9" s="1410"/>
      <c r="K9" s="972">
        <v>3</v>
      </c>
      <c r="L9" s="1084" t="s">
        <v>1845</v>
      </c>
      <c r="M9" s="978"/>
      <c r="N9" s="1084" t="s">
        <v>1661</v>
      </c>
      <c r="O9" s="978"/>
    </row>
    <row r="10" spans="2:22" ht="30.75" customHeight="1">
      <c r="B10" s="1170">
        <v>1</v>
      </c>
      <c r="C10" s="1">
        <v>1</v>
      </c>
      <c r="D10" s="953"/>
      <c r="E10" s="155"/>
      <c r="F10" s="979" t="str">
        <f>IF(F9=$S$15,$T$10,IF(ROUNDDOWN(F9,0)=$S$10,$U$10,$T$10))</f>
        <v>　レベル　1</v>
      </c>
      <c r="G10" s="2731" t="s">
        <v>2287</v>
      </c>
      <c r="H10" s="2732"/>
      <c r="I10" s="2738" t="s">
        <v>2288</v>
      </c>
      <c r="J10" s="2739"/>
      <c r="K10" s="979" t="str">
        <f>IF(K9=$S$15,$T$10,IF(ROUNDDOWN(K9,0)=$S$10,$U$10,$T$10))</f>
        <v>　レベル　1</v>
      </c>
      <c r="L10" s="2731" t="s">
        <v>1631</v>
      </c>
      <c r="M10" s="2733"/>
      <c r="N10" s="2731" t="s">
        <v>1631</v>
      </c>
      <c r="O10" s="2733"/>
      <c r="S10">
        <v>1</v>
      </c>
      <c r="T10" t="s">
        <v>1662</v>
      </c>
      <c r="U10" t="s">
        <v>2650</v>
      </c>
    </row>
    <row r="11" spans="2:22" ht="30.75" customHeight="1">
      <c r="B11" s="1170" t="s">
        <v>2845</v>
      </c>
      <c r="C11" s="1" t="s">
        <v>2845</v>
      </c>
      <c r="D11" s="953"/>
      <c r="E11" s="155"/>
      <c r="F11" s="984" t="str">
        <f>IF(F9=$S$15,$T$11,IF(ROUNDDOWN(F9,0)=$S$11,$U$11,$T$11))</f>
        <v>　レベル　2</v>
      </c>
      <c r="G11" s="2727" t="s">
        <v>2168</v>
      </c>
      <c r="H11" s="2729"/>
      <c r="I11" s="2735" t="s">
        <v>2289</v>
      </c>
      <c r="J11" s="2736"/>
      <c r="K11" s="984" t="str">
        <f>IF(K9=$S$15,$T$11,IF(ROUNDDOWN(K9,0)=$S$11,$U$11,$T$11))</f>
        <v>　レベル　2</v>
      </c>
      <c r="L11" s="2727" t="s">
        <v>2168</v>
      </c>
      <c r="M11" s="2734"/>
      <c r="N11" s="2727" t="s">
        <v>2168</v>
      </c>
      <c r="O11" s="2734"/>
      <c r="S11">
        <v>2</v>
      </c>
      <c r="T11" t="s">
        <v>1327</v>
      </c>
      <c r="U11" t="s">
        <v>1328</v>
      </c>
    </row>
    <row r="12" spans="2:22" ht="30.75" customHeight="1">
      <c r="B12" s="1">
        <v>3</v>
      </c>
      <c r="C12" s="1">
        <v>3</v>
      </c>
      <c r="D12" s="953"/>
      <c r="E12" s="155"/>
      <c r="F12" s="984" t="str">
        <f>IF(F9=$S$15,$T$12,IF(ROUNDDOWN(F9,0)=$S$12,$U$12,$T$12))</f>
        <v>■レベル　3</v>
      </c>
      <c r="G12" s="2727" t="s">
        <v>2290</v>
      </c>
      <c r="H12" s="2729"/>
      <c r="I12" s="2735" t="s">
        <v>2291</v>
      </c>
      <c r="J12" s="2736"/>
      <c r="K12" s="984" t="str">
        <f>IF(K9=$S$15,$T$12,IF(ROUNDDOWN(K9,0)=$S$12,$U$12,$T$12))</f>
        <v>■レベル　3</v>
      </c>
      <c r="L12" s="2727" t="s">
        <v>2651</v>
      </c>
      <c r="M12" s="2734"/>
      <c r="N12" s="2727" t="s">
        <v>2652</v>
      </c>
      <c r="O12" s="2734"/>
      <c r="S12">
        <v>3</v>
      </c>
      <c r="T12" t="s">
        <v>1332</v>
      </c>
      <c r="U12" t="s">
        <v>1333</v>
      </c>
    </row>
    <row r="13" spans="2:22" ht="30.75" customHeight="1">
      <c r="B13" s="1170">
        <v>4</v>
      </c>
      <c r="C13" s="1">
        <v>4</v>
      </c>
      <c r="D13" s="953"/>
      <c r="E13" s="155"/>
      <c r="F13" s="984" t="str">
        <f>IF(F9=$S$15,$T$13,IF(ROUNDDOWN(F9,0)=$S$13,$U$13,$T$13))</f>
        <v>　レベル　4</v>
      </c>
      <c r="G13" s="2727" t="s">
        <v>1832</v>
      </c>
      <c r="H13" s="2729"/>
      <c r="I13" s="2735" t="s">
        <v>2292</v>
      </c>
      <c r="J13" s="2736"/>
      <c r="K13" s="984" t="str">
        <f>IF(K9=$S$15,$T$13,IF(ROUNDDOWN(K9,0)=$S$13,$U$13,$T$13))</f>
        <v>　レベル　4</v>
      </c>
      <c r="L13" s="2727" t="s">
        <v>2168</v>
      </c>
      <c r="M13" s="2734"/>
      <c r="N13" s="2727" t="s">
        <v>2653</v>
      </c>
      <c r="O13" s="2734"/>
      <c r="S13">
        <v>4</v>
      </c>
      <c r="T13" t="s">
        <v>1216</v>
      </c>
      <c r="U13" t="s">
        <v>1217</v>
      </c>
    </row>
    <row r="14" spans="2:22" ht="30.75" customHeight="1">
      <c r="B14" s="1170">
        <v>5</v>
      </c>
      <c r="C14" s="1">
        <v>5</v>
      </c>
      <c r="D14" s="953"/>
      <c r="E14" s="155"/>
      <c r="F14" s="995" t="str">
        <f>IF(F9=$S$15,$T$14,IF(ROUNDDOWN(F9,0)=$S$14,$U$14,$T$14))</f>
        <v>　レベル　5</v>
      </c>
      <c r="G14" s="2724" t="s">
        <v>2293</v>
      </c>
      <c r="H14" s="2730"/>
      <c r="I14" s="2765" t="s">
        <v>2292</v>
      </c>
      <c r="J14" s="2788"/>
      <c r="K14" s="995" t="str">
        <f>IF(K9=$S$15,$T$14,IF(ROUNDDOWN(K9,0)=$S$14,$U$14,$T$14))</f>
        <v>　レベル　5</v>
      </c>
      <c r="L14" s="2724" t="s">
        <v>2654</v>
      </c>
      <c r="M14" s="2743"/>
      <c r="N14" s="2724" t="s">
        <v>2655</v>
      </c>
      <c r="O14" s="2743"/>
      <c r="S14">
        <v>5</v>
      </c>
      <c r="T14" t="s">
        <v>1223</v>
      </c>
      <c r="U14" t="s">
        <v>1224</v>
      </c>
    </row>
    <row r="15" spans="2:22" ht="15.75">
      <c r="B15" s="1002">
        <v>0</v>
      </c>
      <c r="C15" s="1002">
        <v>0</v>
      </c>
      <c r="D15" s="953"/>
      <c r="E15" s="155"/>
      <c r="F15" s="1037"/>
      <c r="G15" s="1037"/>
      <c r="H15" s="1037"/>
      <c r="I15" s="1037"/>
      <c r="J15" s="1037"/>
      <c r="K15" s="1037"/>
      <c r="L15" s="1037"/>
      <c r="M15" s="1037"/>
      <c r="N15" s="1037"/>
      <c r="O15" s="1037"/>
      <c r="S15">
        <v>0</v>
      </c>
      <c r="T15" t="s">
        <v>2656</v>
      </c>
      <c r="U15" t="s">
        <v>2656</v>
      </c>
    </row>
    <row r="16" spans="2:22" ht="15.75">
      <c r="D16" s="953"/>
      <c r="E16" s="537"/>
      <c r="F16" s="1121" t="s">
        <v>1833</v>
      </c>
      <c r="G16" s="1038"/>
      <c r="H16" s="1083"/>
      <c r="I16" s="1004"/>
      <c r="J16" s="1041" t="str">
        <f>IF(OR(F18=0,AND(J17=0,O17=0)),$R$3,"")</f>
        <v/>
      </c>
      <c r="K16" s="1121"/>
      <c r="L16" s="1038"/>
      <c r="M16" s="1083"/>
      <c r="N16" s="1004"/>
      <c r="O16" s="1041"/>
    </row>
    <row r="17" spans="2:15" ht="16.5" thickBot="1">
      <c r="D17" s="953"/>
      <c r="E17" s="537"/>
      <c r="F17" s="965" t="s">
        <v>2657</v>
      </c>
      <c r="G17" s="966"/>
      <c r="H17" s="967"/>
      <c r="I17" s="968" t="s">
        <v>1358</v>
      </c>
      <c r="J17" s="971">
        <f>重み!M65</f>
        <v>0.11494252873563218</v>
      </c>
      <c r="K17" s="965" t="s">
        <v>1961</v>
      </c>
      <c r="L17" s="966"/>
      <c r="M17" s="967"/>
      <c r="N17" s="968" t="s">
        <v>1358</v>
      </c>
      <c r="O17" s="971">
        <f>重み!N65</f>
        <v>0.17241379310344829</v>
      </c>
    </row>
    <row r="18" spans="2:15" ht="16.5" thickBot="1">
      <c r="D18" s="953"/>
      <c r="E18" s="537"/>
      <c r="F18" s="972">
        <v>3</v>
      </c>
      <c r="G18" s="1084" t="s">
        <v>1844</v>
      </c>
      <c r="H18" s="977"/>
      <c r="I18" s="977"/>
      <c r="J18" s="978"/>
      <c r="K18" s="972">
        <v>3</v>
      </c>
      <c r="L18" s="1084" t="s">
        <v>2658</v>
      </c>
      <c r="M18" s="978"/>
      <c r="N18" s="1084"/>
      <c r="O18" s="1089"/>
    </row>
    <row r="19" spans="2:15" ht="15.75">
      <c r="B19" s="1">
        <v>1</v>
      </c>
      <c r="C19" s="1">
        <v>1</v>
      </c>
      <c r="D19" s="953"/>
      <c r="E19" s="537"/>
      <c r="F19" s="979" t="str">
        <f>IF(F18=$S$15,$T$10,IF(ROUNDDOWN(F18,0)=$S$10,$U$10,$T$10))</f>
        <v>　レベル　1</v>
      </c>
      <c r="G19" s="2731" t="s">
        <v>2010</v>
      </c>
      <c r="H19" s="2789"/>
      <c r="I19" s="2789"/>
      <c r="J19" s="2733"/>
      <c r="K19" s="1171" t="str">
        <f>IF(K18=$S$15,$T$10,IF(ROUNDDOWN(K18,0)=$S$10,$U$10,$T$10))</f>
        <v>　レベル　1</v>
      </c>
      <c r="L19" s="2731" t="s">
        <v>2010</v>
      </c>
      <c r="M19" s="2789"/>
      <c r="N19" s="2789"/>
      <c r="O19" s="2733"/>
    </row>
    <row r="20" spans="2:15" ht="41.25" customHeight="1">
      <c r="B20" s="1">
        <v>2</v>
      </c>
      <c r="C20" s="1">
        <v>2</v>
      </c>
      <c r="D20" s="953"/>
      <c r="E20" s="537"/>
      <c r="F20" s="984" t="str">
        <f>IF(F18=$S$15,$T$11,IF(ROUNDDOWN(F18,0)=$S$11,$U$11,$T$11))</f>
        <v>　レベル　2</v>
      </c>
      <c r="G20" s="2727" t="s">
        <v>1681</v>
      </c>
      <c r="H20" s="2752"/>
      <c r="I20" s="2752"/>
      <c r="J20" s="2734"/>
      <c r="K20" s="1171" t="str">
        <f>IF(K18=$S$15,$T$11,IF(ROUNDDOWN(K18,0)=$S$11,$U$11,$T$11))</f>
        <v>　レベル　2</v>
      </c>
      <c r="L20" s="2750" t="s">
        <v>2298</v>
      </c>
      <c r="M20" s="2752"/>
      <c r="N20" s="2752"/>
      <c r="O20" s="2734"/>
    </row>
    <row r="21" spans="2:15" ht="60" customHeight="1">
      <c r="B21" s="1">
        <v>3</v>
      </c>
      <c r="C21" s="1">
        <v>3</v>
      </c>
      <c r="D21" s="953"/>
      <c r="E21" s="537"/>
      <c r="F21" s="984" t="str">
        <f>IF(F18=$S$15,$T$12,IF(ROUNDDOWN(F18,0)=$S$12,$U$12,$T$12))</f>
        <v>■レベル　3</v>
      </c>
      <c r="G21" s="2727" t="s">
        <v>2299</v>
      </c>
      <c r="H21" s="2752"/>
      <c r="I21" s="2752"/>
      <c r="J21" s="2734"/>
      <c r="K21" s="1171" t="str">
        <f>IF(K18=$S$15,$T$12,IF(ROUNDDOWN(K18,0)=$S$12,$U$12,$T$12))</f>
        <v>■レベル　3</v>
      </c>
      <c r="L21" s="2750" t="s">
        <v>2300</v>
      </c>
      <c r="M21" s="2752"/>
      <c r="N21" s="2752"/>
      <c r="O21" s="2734"/>
    </row>
    <row r="22" spans="2:15" ht="69.75" customHeight="1">
      <c r="B22" s="1">
        <v>4</v>
      </c>
      <c r="C22" s="1">
        <v>4</v>
      </c>
      <c r="D22" s="953"/>
      <c r="E22" s="537"/>
      <c r="F22" s="984" t="str">
        <f>IF(F18=$S$15,$T$13,IF(ROUNDDOWN(F18,0)=$S$13,$U$13,$T$13))</f>
        <v>　レベル　4</v>
      </c>
      <c r="G22" s="2727" t="s">
        <v>3138</v>
      </c>
      <c r="H22" s="2752"/>
      <c r="I22" s="2752"/>
      <c r="J22" s="2734"/>
      <c r="K22" s="1171" t="str">
        <f>IF(K18=$S$15,$T$13,IF(ROUNDDOWN(K18,0)=$S$13,$U$13,$T$13))</f>
        <v>　レベル　4</v>
      </c>
      <c r="L22" s="2750" t="s">
        <v>3140</v>
      </c>
      <c r="M22" s="2752"/>
      <c r="N22" s="2752"/>
      <c r="O22" s="2734"/>
    </row>
    <row r="23" spans="2:15" ht="69.75" customHeight="1">
      <c r="B23" s="1">
        <v>5</v>
      </c>
      <c r="C23" s="1">
        <v>5</v>
      </c>
      <c r="D23" s="953"/>
      <c r="E23" s="537"/>
      <c r="F23" s="995" t="str">
        <f>IF(F18=$S$15,$T$14,IF(ROUNDDOWN(F18,0)=$S$14,$U$14,$T$14))</f>
        <v>　レベル　5</v>
      </c>
      <c r="G23" s="2724" t="s">
        <v>3139</v>
      </c>
      <c r="H23" s="2753"/>
      <c r="I23" s="2753"/>
      <c r="J23" s="2743"/>
      <c r="K23" s="1172" t="str">
        <f>IF(K18=$S$15,$T$14,IF(ROUNDDOWN(K18,0)=$S$14,$U$14,$T$14))</f>
        <v>　レベル　5</v>
      </c>
      <c r="L23" s="2879" t="s">
        <v>3141</v>
      </c>
      <c r="M23" s="2753"/>
      <c r="N23" s="2753"/>
      <c r="O23" s="2743"/>
    </row>
    <row r="24" spans="2:15" ht="15.75">
      <c r="B24" s="1002">
        <v>0</v>
      </c>
      <c r="C24" s="1002">
        <v>0</v>
      </c>
      <c r="D24" s="953"/>
      <c r="E24" s="537"/>
      <c r="F24" s="1037"/>
      <c r="G24" s="1037"/>
      <c r="H24" s="1037"/>
      <c r="I24" s="1037"/>
      <c r="J24" s="1037"/>
      <c r="K24" s="1037"/>
      <c r="L24" s="1037"/>
      <c r="M24" s="1037"/>
      <c r="N24" s="1037"/>
      <c r="O24" s="1037"/>
    </row>
    <row r="25" spans="2:15" ht="15.75">
      <c r="D25" s="953"/>
      <c r="E25" s="537"/>
      <c r="F25" s="1121" t="s">
        <v>1561</v>
      </c>
      <c r="G25" s="1038"/>
      <c r="H25" s="1083"/>
      <c r="I25" s="1004"/>
      <c r="J25" s="1041" t="str">
        <f>IF(OR(F27=0,AND(J26=0,O26=0)),$R$3,"")</f>
        <v/>
      </c>
      <c r="K25" s="1037"/>
      <c r="L25" s="1037"/>
      <c r="M25" s="1037"/>
      <c r="N25" s="1037"/>
      <c r="O25" s="1037"/>
    </row>
    <row r="26" spans="2:15" ht="16.5" thickBot="1">
      <c r="D26" s="953"/>
      <c r="E26" s="537"/>
      <c r="F26" s="1102" t="s">
        <v>313</v>
      </c>
      <c r="G26" s="966"/>
      <c r="H26" s="967"/>
      <c r="I26" s="968" t="s">
        <v>1358</v>
      </c>
      <c r="J26" s="969">
        <f>重み!M66</f>
        <v>0.63218390804597702</v>
      </c>
      <c r="K26" s="966"/>
      <c r="L26" s="967"/>
      <c r="M26" s="966"/>
      <c r="N26" s="1070"/>
      <c r="O26" s="1037"/>
    </row>
    <row r="27" spans="2:15" ht="16.5" thickBot="1">
      <c r="D27" s="953"/>
      <c r="E27" s="537"/>
      <c r="F27" s="972">
        <v>3</v>
      </c>
      <c r="G27" s="1084" t="s">
        <v>1562</v>
      </c>
      <c r="H27" s="978"/>
      <c r="I27" s="1084"/>
      <c r="J27" s="1089"/>
      <c r="K27" s="1173" t="s">
        <v>1563</v>
      </c>
      <c r="L27" s="1108"/>
      <c r="M27" s="1173" t="s">
        <v>1564</v>
      </c>
      <c r="N27" s="1089"/>
      <c r="O27" s="1037"/>
    </row>
    <row r="28" spans="2:15" ht="15.75">
      <c r="B28" s="1">
        <v>1</v>
      </c>
      <c r="C28" s="1">
        <v>1</v>
      </c>
      <c r="D28" s="953"/>
      <c r="E28" s="537"/>
      <c r="F28" s="979" t="str">
        <f>IF(F27=$S$15,$T$10,IF(ROUNDDOWN(F27,0)=$S$10,$U$10,$T$10))</f>
        <v>　レベル　1</v>
      </c>
      <c r="G28" s="2731" t="s">
        <v>1978</v>
      </c>
      <c r="H28" s="2757"/>
      <c r="I28" s="2757"/>
      <c r="J28" s="2732"/>
      <c r="K28" s="2731" t="s">
        <v>1978</v>
      </c>
      <c r="L28" s="2789"/>
      <c r="M28" s="2789"/>
      <c r="N28" s="2733"/>
      <c r="O28" s="1037"/>
    </row>
    <row r="29" spans="2:15" ht="15.75">
      <c r="B29" s="1" t="s">
        <v>2301</v>
      </c>
      <c r="C29" s="1" t="s">
        <v>2301</v>
      </c>
      <c r="D29" s="953"/>
      <c r="E29" s="537"/>
      <c r="F29" s="984" t="str">
        <f>IF(F27=$S$15,$T$11,IF(ROUNDDOWN(F27,0)=$S$11,$U$11,$T$11))</f>
        <v>　レベル　2</v>
      </c>
      <c r="G29" s="2758" t="s">
        <v>2168</v>
      </c>
      <c r="H29" s="2759"/>
      <c r="I29" s="2759"/>
      <c r="J29" s="2760"/>
      <c r="K29" s="2727" t="s">
        <v>2168</v>
      </c>
      <c r="L29" s="2752"/>
      <c r="M29" s="2752"/>
      <c r="N29" s="2734"/>
      <c r="O29" s="1037"/>
    </row>
    <row r="30" spans="2:15" ht="39" customHeight="1">
      <c r="B30" s="1">
        <v>3</v>
      </c>
      <c r="C30" s="1">
        <v>3</v>
      </c>
      <c r="D30" s="953"/>
      <c r="E30" s="537"/>
      <c r="F30" s="984" t="str">
        <f>IF(F27=$S$15,$T$12,IF(ROUNDDOWN(F27,0)=$S$12,$U$12,$T$12))</f>
        <v>■レベル　3</v>
      </c>
      <c r="G30" s="2758" t="s">
        <v>2302</v>
      </c>
      <c r="H30" s="2759"/>
      <c r="I30" s="2759"/>
      <c r="J30" s="2760"/>
      <c r="K30" s="2727" t="s">
        <v>1565</v>
      </c>
      <c r="L30" s="2752"/>
      <c r="M30" s="2752"/>
      <c r="N30" s="2734"/>
      <c r="O30" s="1037"/>
    </row>
    <row r="31" spans="2:15" ht="39" customHeight="1">
      <c r="B31" s="1">
        <v>4</v>
      </c>
      <c r="C31" s="1">
        <v>4</v>
      </c>
      <c r="D31" s="953"/>
      <c r="E31" s="537"/>
      <c r="F31" s="984" t="str">
        <f>IF(F27=$S$15,$T$13,IF(ROUNDDOWN(F27,0)=$S$13,$U$13,$T$13))</f>
        <v>　レベル　4</v>
      </c>
      <c r="G31" s="2758" t="s">
        <v>2303</v>
      </c>
      <c r="H31" s="2759"/>
      <c r="I31" s="2759"/>
      <c r="J31" s="2760"/>
      <c r="K31" s="2727" t="s">
        <v>1566</v>
      </c>
      <c r="L31" s="2752"/>
      <c r="M31" s="2752"/>
      <c r="N31" s="2734"/>
      <c r="O31" s="1037"/>
    </row>
    <row r="32" spans="2:15" ht="39" customHeight="1">
      <c r="B32" s="1">
        <v>5</v>
      </c>
      <c r="C32" s="1">
        <v>5</v>
      </c>
      <c r="D32" s="953"/>
      <c r="E32" s="537"/>
      <c r="F32" s="995" t="str">
        <f>IF(F27=$S$15,$T$14,IF(ROUNDDOWN(F27,0)=$S$14,$U$14,$T$14))</f>
        <v>　レベル　5</v>
      </c>
      <c r="G32" s="2754" t="s">
        <v>2304</v>
      </c>
      <c r="H32" s="2755"/>
      <c r="I32" s="2755"/>
      <c r="J32" s="2756"/>
      <c r="K32" s="2724" t="s">
        <v>1567</v>
      </c>
      <c r="L32" s="2753"/>
      <c r="M32" s="2753"/>
      <c r="N32" s="2743"/>
      <c r="O32" s="1037"/>
    </row>
    <row r="33" spans="2:15" ht="15.75">
      <c r="B33" s="1002">
        <v>0</v>
      </c>
      <c r="C33" s="1002">
        <v>0</v>
      </c>
      <c r="D33" s="953"/>
      <c r="E33" s="537"/>
      <c r="F33" s="1037"/>
      <c r="G33" s="1037"/>
      <c r="H33" s="1037"/>
      <c r="I33" s="1037"/>
      <c r="J33" s="1037"/>
      <c r="K33" s="1037"/>
      <c r="L33" s="1037"/>
      <c r="M33" s="1037"/>
      <c r="N33" s="1037"/>
      <c r="O33" s="1037"/>
    </row>
    <row r="34" spans="2:15" ht="15.75">
      <c r="D34" s="949">
        <v>1.2</v>
      </c>
      <c r="E34" s="958" t="s">
        <v>1568</v>
      </c>
      <c r="F34" s="1083"/>
      <c r="G34" s="1038"/>
      <c r="H34" s="1083"/>
      <c r="I34" s="1083"/>
      <c r="J34" s="1083"/>
      <c r="K34" s="1083"/>
      <c r="L34" s="1083"/>
      <c r="M34" s="1083"/>
      <c r="N34" s="1083"/>
      <c r="O34" s="1083"/>
    </row>
    <row r="35" spans="2:15" ht="15.75">
      <c r="D35" s="953"/>
      <c r="E35" s="155"/>
      <c r="F35" s="1121" t="s">
        <v>2305</v>
      </c>
      <c r="G35" s="1038"/>
      <c r="H35" s="1083"/>
      <c r="I35" s="1004"/>
      <c r="J35" s="1041" t="str">
        <f>IF(OR(F37=0,AND(J36=0,O36=0)),$R$3,"")</f>
        <v/>
      </c>
      <c r="K35" s="1004"/>
      <c r="L35" s="1004"/>
      <c r="M35" s="1037"/>
      <c r="N35" s="1004"/>
      <c r="O35" s="1004"/>
    </row>
    <row r="36" spans="2:15" ht="16.5" thickBot="1">
      <c r="B36" s="1147" t="s">
        <v>1569</v>
      </c>
      <c r="D36" s="953"/>
      <c r="E36" s="155"/>
      <c r="F36" s="1102" t="s">
        <v>1629</v>
      </c>
      <c r="G36" s="966"/>
      <c r="H36" s="967"/>
      <c r="I36" s="968" t="s">
        <v>1358</v>
      </c>
      <c r="J36" s="969">
        <f>重み!M68</f>
        <v>0.11494252873563218</v>
      </c>
      <c r="K36" s="1103"/>
      <c r="L36" s="1105"/>
      <c r="M36" s="1106" t="s">
        <v>1961</v>
      </c>
      <c r="N36" s="968" t="s">
        <v>1358</v>
      </c>
      <c r="O36" s="970">
        <f>重み!N68</f>
        <v>0</v>
      </c>
    </row>
    <row r="37" spans="2:15" ht="16.5" thickBot="1">
      <c r="D37" s="953"/>
      <c r="E37" s="155"/>
      <c r="F37" s="972">
        <v>3</v>
      </c>
      <c r="G37" s="1084" t="s">
        <v>3142</v>
      </c>
      <c r="H37" s="978"/>
      <c r="I37" s="1089" t="s">
        <v>1570</v>
      </c>
      <c r="J37" s="1107"/>
      <c r="K37" s="1107" t="s">
        <v>442</v>
      </c>
      <c r="L37" s="1108" t="s">
        <v>488</v>
      </c>
      <c r="M37" s="2022">
        <v>0</v>
      </c>
      <c r="N37" s="1084" t="s">
        <v>901</v>
      </c>
      <c r="O37" s="1109"/>
    </row>
    <row r="38" spans="2:15" ht="15.75">
      <c r="B38" s="1">
        <v>1</v>
      </c>
      <c r="C38" s="1">
        <v>1</v>
      </c>
      <c r="D38" s="953"/>
      <c r="E38" s="155"/>
      <c r="F38" s="979" t="str">
        <f>IF(F37=$S$15,$T$10,IF(ROUNDDOWN(F37,0)=$S$10,$U$10,$T$10))</f>
        <v>　レベル　1</v>
      </c>
      <c r="G38" s="2731" t="s">
        <v>1504</v>
      </c>
      <c r="H38" s="2733"/>
      <c r="I38" s="2735" t="s">
        <v>1504</v>
      </c>
      <c r="J38" s="2767"/>
      <c r="K38" s="2445" t="s">
        <v>2010</v>
      </c>
      <c r="L38" s="1111" t="s">
        <v>446</v>
      </c>
      <c r="M38" s="979" t="str">
        <f>IF(M37=$S$15,$T$10,IF(ROUNDDOWN(M37,0)=$S$10,$U$10,$T$10))</f>
        <v>　レベル　1</v>
      </c>
      <c r="N38" s="2735" t="s">
        <v>1504</v>
      </c>
      <c r="O38" s="2767"/>
    </row>
    <row r="39" spans="2:15" ht="32.25" customHeight="1">
      <c r="B39" s="1">
        <v>2</v>
      </c>
      <c r="C39" s="1" t="s">
        <v>2847</v>
      </c>
      <c r="D39" s="953"/>
      <c r="E39" s="155"/>
      <c r="F39" s="984" t="str">
        <f>IF(F37=$S$15,$T$11,IF(ROUNDDOWN(F37,0)=$S$11,$U$11,$T$11))</f>
        <v>　レベル　2</v>
      </c>
      <c r="G39" s="2727" t="s">
        <v>2168</v>
      </c>
      <c r="H39" s="2734"/>
      <c r="I39" s="2735" t="s">
        <v>2168</v>
      </c>
      <c r="J39" s="2767"/>
      <c r="K39" s="2446" t="s">
        <v>2676</v>
      </c>
      <c r="L39" s="987" t="s">
        <v>347</v>
      </c>
      <c r="M39" s="984" t="str">
        <f>IF(M37=$S$15,$T$11,IF(ROUNDDOWN(M37,0)=$S$11,$U$11,$T$11))</f>
        <v>　レベル　2</v>
      </c>
      <c r="N39" s="2735" t="s">
        <v>2168</v>
      </c>
      <c r="O39" s="2767"/>
    </row>
    <row r="40" spans="2:15" ht="57" customHeight="1">
      <c r="B40" s="1">
        <v>3</v>
      </c>
      <c r="C40" s="1">
        <v>3</v>
      </c>
      <c r="D40" s="953"/>
      <c r="E40" s="155"/>
      <c r="F40" s="984" t="str">
        <f>IF(F37=$S$15,$T$12,IF(ROUNDDOWN(F37,0)=$S$12,$U$12,$T$12))</f>
        <v>■レベル　3</v>
      </c>
      <c r="G40" s="2727" t="s">
        <v>2809</v>
      </c>
      <c r="H40" s="2734"/>
      <c r="I40" s="2735" t="s">
        <v>2810</v>
      </c>
      <c r="J40" s="2767"/>
      <c r="K40" s="2446" t="s">
        <v>2677</v>
      </c>
      <c r="L40" s="987" t="s">
        <v>906</v>
      </c>
      <c r="M40" s="984" t="str">
        <f>IF(M37=$S$15,$T$12,IF(ROUNDDOWN(M37,0)=$S$12,$U$12,$T$12))</f>
        <v>　レベル　3</v>
      </c>
      <c r="N40" s="2735" t="s">
        <v>2811</v>
      </c>
      <c r="O40" s="2767"/>
    </row>
    <row r="41" spans="2:15" ht="57" customHeight="1">
      <c r="B41" s="1">
        <v>4</v>
      </c>
      <c r="C41" s="1">
        <v>4</v>
      </c>
      <c r="D41" s="953"/>
      <c r="E41" s="155"/>
      <c r="F41" s="984" t="str">
        <f>IF(F37=$S$15,$T$13,IF(ROUNDDOWN(F37,0)=$S$13,$U$13,$T$13))</f>
        <v>　レベル　4</v>
      </c>
      <c r="G41" s="2727" t="s">
        <v>2812</v>
      </c>
      <c r="H41" s="2734"/>
      <c r="I41" s="2735" t="s">
        <v>2813</v>
      </c>
      <c r="J41" s="2767"/>
      <c r="K41" s="2446" t="s">
        <v>2678</v>
      </c>
      <c r="L41" s="987" t="s">
        <v>347</v>
      </c>
      <c r="M41" s="984" t="str">
        <f>IF(M37=$S$15,$T$13,IF(ROUNDDOWN(M37,0)=$S$13,$U$13,$T$13))</f>
        <v>　レベル　4</v>
      </c>
      <c r="N41" s="2735" t="s">
        <v>2814</v>
      </c>
      <c r="O41" s="2767"/>
    </row>
    <row r="42" spans="2:15" ht="57" customHeight="1">
      <c r="B42" s="1">
        <v>5</v>
      </c>
      <c r="C42" s="1">
        <v>5</v>
      </c>
      <c r="D42" s="953"/>
      <c r="E42" s="155"/>
      <c r="F42" s="995" t="str">
        <f>IF(F37=$S$15,$T$14,IF(ROUNDDOWN(F37,0)=$S$14,$U$14,$T$14))</f>
        <v>　レベル　5</v>
      </c>
      <c r="G42" s="2724" t="s">
        <v>1286</v>
      </c>
      <c r="H42" s="2743"/>
      <c r="I42" s="2765" t="s">
        <v>1287</v>
      </c>
      <c r="J42" s="2766"/>
      <c r="K42" s="2447" t="s">
        <v>2679</v>
      </c>
      <c r="L42" s="996" t="s">
        <v>907</v>
      </c>
      <c r="M42" s="995" t="str">
        <f>IF(M37=$S$15,$T$14,IF(ROUNDDOWN(M37,0)=$S$14,$U$14,$T$14))</f>
        <v>　レベル　5</v>
      </c>
      <c r="N42" s="2765" t="s">
        <v>1288</v>
      </c>
      <c r="O42" s="2766"/>
    </row>
    <row r="43" spans="2:15" ht="15.75">
      <c r="B43" s="1002">
        <v>0</v>
      </c>
      <c r="C43" s="1002">
        <v>0</v>
      </c>
      <c r="D43" s="953"/>
      <c r="E43" s="537"/>
      <c r="F43" s="1037"/>
      <c r="G43" s="1037"/>
      <c r="H43" s="1099"/>
      <c r="I43" s="1099"/>
      <c r="J43" s="1099"/>
      <c r="K43" s="1037"/>
      <c r="L43" s="1037"/>
      <c r="M43" s="1037"/>
      <c r="N43" s="1037"/>
      <c r="O43" s="1037"/>
    </row>
    <row r="44" spans="2:15" ht="15.75">
      <c r="D44" s="953"/>
      <c r="E44" s="1097"/>
      <c r="F44" s="1121" t="s">
        <v>1289</v>
      </c>
      <c r="G44" s="1038"/>
      <c r="H44" s="1083"/>
      <c r="I44" s="1004"/>
      <c r="J44" s="1041" t="str">
        <f>IF(OR(F46=0,J45=0),$R$3,"")</f>
        <v/>
      </c>
      <c r="K44" s="1004"/>
      <c r="L44" s="1004"/>
      <c r="M44" s="1004"/>
      <c r="N44" s="1004"/>
      <c r="O44" s="1004"/>
    </row>
    <row r="45" spans="2:15" ht="16.5" thickBot="1">
      <c r="D45" s="953"/>
      <c r="E45" s="1097"/>
      <c r="F45" s="1102" t="s">
        <v>1107</v>
      </c>
      <c r="G45" s="966"/>
      <c r="H45" s="967"/>
      <c r="I45" s="968" t="s">
        <v>1358</v>
      </c>
      <c r="J45" s="969">
        <f>重み!M69</f>
        <v>0.11494252873563218</v>
      </c>
      <c r="K45" s="966"/>
      <c r="L45" s="967"/>
      <c r="M45" s="966"/>
      <c r="N45" s="1070"/>
      <c r="O45" s="1004"/>
    </row>
    <row r="46" spans="2:15" ht="16.5" thickBot="1">
      <c r="D46" s="953"/>
      <c r="E46" s="1097"/>
      <c r="F46" s="972">
        <v>3</v>
      </c>
      <c r="G46" s="1173" t="s">
        <v>1844</v>
      </c>
      <c r="H46" s="1108"/>
      <c r="I46" s="1108"/>
      <c r="J46" s="1089"/>
      <c r="K46" s="1173" t="s">
        <v>2680</v>
      </c>
      <c r="L46" s="1108"/>
      <c r="M46" s="1108"/>
      <c r="N46" s="1089"/>
      <c r="O46" s="1004"/>
    </row>
    <row r="47" spans="2:15" ht="15.75" customHeight="1">
      <c r="B47" s="1" t="s">
        <v>1037</v>
      </c>
      <c r="C47" s="1">
        <v>1</v>
      </c>
      <c r="D47" s="953"/>
      <c r="E47" s="1174"/>
      <c r="F47" s="979" t="str">
        <f>IF(F46=$S$15,$T$10,IF(ROUNDDOWN(F46,0)=$S$10,$U$10,$T$10))</f>
        <v>　レベル　1</v>
      </c>
      <c r="G47" s="2731" t="s">
        <v>1811</v>
      </c>
      <c r="H47" s="2757"/>
      <c r="I47" s="2757"/>
      <c r="J47" s="2732"/>
      <c r="K47" s="2731" t="s">
        <v>347</v>
      </c>
      <c r="L47" s="2789"/>
      <c r="M47" s="2789"/>
      <c r="N47" s="2733"/>
      <c r="O47" s="1004"/>
    </row>
    <row r="48" spans="2:15" ht="15.75" customHeight="1">
      <c r="B48" s="1">
        <v>2</v>
      </c>
      <c r="C48" s="1">
        <v>2</v>
      </c>
      <c r="D48" s="953"/>
      <c r="E48" s="1174"/>
      <c r="F48" s="984" t="str">
        <f>IF(F46=$S$15,$T$11,IF(ROUNDDOWN(F46,0)=$S$11,$U$11,$T$11))</f>
        <v>　レベル　2</v>
      </c>
      <c r="G48" s="2727" t="s">
        <v>25</v>
      </c>
      <c r="H48" s="2728"/>
      <c r="I48" s="2728"/>
      <c r="J48" s="2729"/>
      <c r="K48" s="2727" t="s">
        <v>28</v>
      </c>
      <c r="L48" s="2752"/>
      <c r="M48" s="2752"/>
      <c r="N48" s="2734"/>
      <c r="O48" s="1004"/>
    </row>
    <row r="49" spans="2:15" ht="15.75" customHeight="1">
      <c r="B49" s="1">
        <v>3</v>
      </c>
      <c r="C49" s="1">
        <v>3</v>
      </c>
      <c r="D49" s="953"/>
      <c r="E49" s="1174"/>
      <c r="F49" s="984" t="str">
        <f>IF(F46=$S$15,$T$12,IF(ROUNDDOWN(F46,0)=$S$12,$U$12,$T$12))</f>
        <v>■レベル　3</v>
      </c>
      <c r="G49" s="2727" t="s">
        <v>369</v>
      </c>
      <c r="H49" s="2728"/>
      <c r="I49" s="2728"/>
      <c r="J49" s="2729"/>
      <c r="K49" s="2727" t="s">
        <v>1291</v>
      </c>
      <c r="L49" s="2752"/>
      <c r="M49" s="2752"/>
      <c r="N49" s="2734"/>
      <c r="O49" s="1004"/>
    </row>
    <row r="50" spans="2:15" ht="13.5" customHeight="1">
      <c r="B50" s="1">
        <v>4</v>
      </c>
      <c r="C50" s="1">
        <v>4</v>
      </c>
      <c r="D50" s="953"/>
      <c r="E50" s="1174"/>
      <c r="F50" s="984" t="str">
        <f>IF(F46=$S$15,$T$13,IF(ROUNDDOWN(F46,0)=$S$13,$U$13,$T$13))</f>
        <v>　レベル　4</v>
      </c>
      <c r="G50" s="2727" t="s">
        <v>26</v>
      </c>
      <c r="H50" s="2728"/>
      <c r="I50" s="2728"/>
      <c r="J50" s="2729"/>
      <c r="K50" s="2727" t="s">
        <v>1292</v>
      </c>
      <c r="L50" s="2752"/>
      <c r="M50" s="2752"/>
      <c r="N50" s="2734"/>
      <c r="O50" s="1004"/>
    </row>
    <row r="51" spans="2:15" ht="13.5" customHeight="1">
      <c r="B51" s="1">
        <v>5</v>
      </c>
      <c r="C51" s="1">
        <v>5</v>
      </c>
      <c r="D51" s="953"/>
      <c r="E51" s="1174"/>
      <c r="F51" s="995" t="str">
        <f>IF(F46=$S$15,$T$14,IF(ROUNDDOWN(F46,0)=$S$14,$U$14,$T$14))</f>
        <v>　レベル　5</v>
      </c>
      <c r="G51" s="2724" t="s">
        <v>27</v>
      </c>
      <c r="H51" s="2780"/>
      <c r="I51" s="2780"/>
      <c r="J51" s="2730"/>
      <c r="K51" s="2724" t="s">
        <v>1293</v>
      </c>
      <c r="L51" s="2753"/>
      <c r="M51" s="2753"/>
      <c r="N51" s="2743"/>
      <c r="O51" s="1004"/>
    </row>
    <row r="52" spans="2:15" ht="15.75">
      <c r="B52" s="1002">
        <v>0</v>
      </c>
      <c r="C52" s="1002">
        <v>0</v>
      </c>
      <c r="D52" s="953"/>
      <c r="E52" s="537"/>
      <c r="F52" s="1098"/>
      <c r="G52" s="1037"/>
      <c r="H52" s="1037"/>
      <c r="I52" s="1037"/>
      <c r="J52" s="1037"/>
      <c r="K52" s="1037"/>
      <c r="L52" s="1037"/>
      <c r="M52" s="1037"/>
      <c r="N52" s="1037"/>
      <c r="O52" s="1037"/>
    </row>
    <row r="53" spans="2:15" ht="15.75">
      <c r="D53" s="953"/>
      <c r="E53" s="537"/>
      <c r="F53" s="1121" t="s">
        <v>2681</v>
      </c>
      <c r="G53" s="1038"/>
      <c r="H53" s="1083"/>
      <c r="I53" s="1004"/>
      <c r="J53" s="1041" t="str">
        <f>IF(OR(F55=0,AND(J54=0,O54=0)),$R$3,"")</f>
        <v/>
      </c>
      <c r="K53" s="1121"/>
      <c r="L53" s="1038"/>
      <c r="M53" s="1083"/>
      <c r="N53" s="1004"/>
      <c r="O53" s="1041"/>
    </row>
    <row r="54" spans="2:15" ht="16.5" thickBot="1">
      <c r="D54" s="953"/>
      <c r="E54" s="537"/>
      <c r="F54" s="965" t="s">
        <v>2830</v>
      </c>
      <c r="G54" s="966"/>
      <c r="H54" s="967"/>
      <c r="I54" s="968" t="s">
        <v>1358</v>
      </c>
      <c r="J54" s="971">
        <f>重み!M70</f>
        <v>0.77011494252873558</v>
      </c>
      <c r="K54" s="965" t="s">
        <v>1961</v>
      </c>
      <c r="L54" s="966"/>
      <c r="M54" s="967"/>
      <c r="N54" s="968" t="s">
        <v>1358</v>
      </c>
      <c r="O54" s="971">
        <f>重み!N70</f>
        <v>0.17241379310344829</v>
      </c>
    </row>
    <row r="55" spans="2:15" ht="16.5" thickBot="1">
      <c r="D55" s="953"/>
      <c r="E55" s="537"/>
      <c r="F55" s="1042">
        <f>IF(H62=S3,F62,IF(J54=0,0,F63))</f>
        <v>3</v>
      </c>
      <c r="G55" s="1084" t="s">
        <v>1490</v>
      </c>
      <c r="H55" s="977"/>
      <c r="I55" s="977"/>
      <c r="J55" s="978"/>
      <c r="K55" s="1042">
        <f>IF(O54=0,0,K63)</f>
        <v>3</v>
      </c>
      <c r="L55" s="1084" t="s">
        <v>901</v>
      </c>
      <c r="M55" s="978"/>
      <c r="N55" s="1084"/>
      <c r="O55" s="1089"/>
    </row>
    <row r="56" spans="2:15" ht="15.75">
      <c r="B56" s="1">
        <v>1</v>
      </c>
      <c r="C56" s="1">
        <v>1</v>
      </c>
      <c r="D56" s="953"/>
      <c r="E56" s="537"/>
      <c r="F56" s="979" t="str">
        <f>IF(F55=$S$15,$T$10,IF(ROUNDDOWN(F55,0)=$S$10,$U$10,$T$10))</f>
        <v>　レベル　1</v>
      </c>
      <c r="G56" s="2731" t="s">
        <v>409</v>
      </c>
      <c r="H56" s="2757"/>
      <c r="I56" s="2757"/>
      <c r="J56" s="2732"/>
      <c r="K56" s="979" t="str">
        <f>IF(K55=$S$15,$T$10,IF(ROUNDDOWN(K55,0)=$S$10,$U$10,$T$10))</f>
        <v>　レベル　1</v>
      </c>
      <c r="L56" s="2731" t="s">
        <v>409</v>
      </c>
      <c r="M56" s="2757"/>
      <c r="N56" s="2757"/>
      <c r="O56" s="2732"/>
    </row>
    <row r="57" spans="2:15" ht="15.75">
      <c r="B57" s="1" t="s">
        <v>2167</v>
      </c>
      <c r="C57" s="1" t="s">
        <v>2167</v>
      </c>
      <c r="D57" s="953"/>
      <c r="E57" s="537"/>
      <c r="F57" s="984" t="str">
        <f>IF(F55=$S$15,$T$11,IF(ROUNDDOWN(F55,0)=$S$11,$U$11,$T$11))</f>
        <v>　レベル　2</v>
      </c>
      <c r="G57" s="2727" t="s">
        <v>2168</v>
      </c>
      <c r="H57" s="2752"/>
      <c r="I57" s="2752"/>
      <c r="J57" s="2734"/>
      <c r="K57" s="984" t="str">
        <f>IF(K55=$S$15,$T$11,IF(ROUNDDOWN(K55,0)=$S$11,$U$11,$T$11))</f>
        <v>　レベル　2</v>
      </c>
      <c r="L57" s="2758" t="s">
        <v>2168</v>
      </c>
      <c r="M57" s="2759"/>
      <c r="N57" s="2759"/>
      <c r="O57" s="2760"/>
    </row>
    <row r="58" spans="2:15" ht="15.75">
      <c r="B58" s="1">
        <v>3</v>
      </c>
      <c r="C58" s="1">
        <v>3</v>
      </c>
      <c r="D58" s="953"/>
      <c r="E58" s="537"/>
      <c r="F58" s="984" t="str">
        <f>IF(F55=$S$15,$T$12,IF(ROUNDDOWN(F55,0)=$S$12,$U$12,$T$12))</f>
        <v>■レベル　3</v>
      </c>
      <c r="G58" s="2727" t="s">
        <v>1294</v>
      </c>
      <c r="H58" s="2752"/>
      <c r="I58" s="2752"/>
      <c r="J58" s="2734"/>
      <c r="K58" s="984" t="str">
        <f>IF(K55=$S$15,$T$12,IF(ROUNDDOWN(K55,0)=$S$12,$U$12,$T$12))</f>
        <v>■レベル　3</v>
      </c>
      <c r="L58" s="2758" t="s">
        <v>1294</v>
      </c>
      <c r="M58" s="2759"/>
      <c r="N58" s="2759"/>
      <c r="O58" s="2760"/>
    </row>
    <row r="59" spans="2:15" ht="15.75">
      <c r="B59" s="1">
        <v>4</v>
      </c>
      <c r="C59" s="1">
        <v>4</v>
      </c>
      <c r="D59" s="953"/>
      <c r="E59" s="537"/>
      <c r="F59" s="984" t="str">
        <f>IF(F55=$S$15,$T$13,IF(ROUNDDOWN(F55,0)=$S$13,$U$13,$T$13))</f>
        <v>　レベル　4</v>
      </c>
      <c r="G59" s="2727" t="s">
        <v>1295</v>
      </c>
      <c r="H59" s="2752"/>
      <c r="I59" s="2752"/>
      <c r="J59" s="2734"/>
      <c r="K59" s="984" t="str">
        <f>IF(K55=$S$15,$T$13,IF(ROUNDDOWN(K55,0)=$S$13,$U$13,$T$13))</f>
        <v>　レベル　4</v>
      </c>
      <c r="L59" s="2758" t="s">
        <v>1295</v>
      </c>
      <c r="M59" s="2759"/>
      <c r="N59" s="2759"/>
      <c r="O59" s="2760"/>
    </row>
    <row r="60" spans="2:15" ht="15.75">
      <c r="B60" s="1">
        <v>5</v>
      </c>
      <c r="C60" s="1">
        <v>5</v>
      </c>
      <c r="D60" s="953"/>
      <c r="E60" s="537"/>
      <c r="F60" s="995" t="str">
        <f>IF(F55=$S$15,$T$14,IF(ROUNDDOWN(F55,0)=$S$14,$U$14,$T$14))</f>
        <v>　レベル　5</v>
      </c>
      <c r="G60" s="2724" t="s">
        <v>1296</v>
      </c>
      <c r="H60" s="2753"/>
      <c r="I60" s="2753"/>
      <c r="J60" s="2743"/>
      <c r="K60" s="995" t="str">
        <f>IF(K55=$S$15,$T$14,IF(ROUNDDOWN(K55,0)=$S$14,$U$14,$T$14))</f>
        <v>　レベル　5</v>
      </c>
      <c r="L60" s="2754" t="s">
        <v>1296</v>
      </c>
      <c r="M60" s="2755"/>
      <c r="N60" s="2755"/>
      <c r="O60" s="2756"/>
    </row>
    <row r="61" spans="2:15" ht="16.5" thickBot="1">
      <c r="B61" s="1002">
        <v>0</v>
      </c>
      <c r="C61" s="1002">
        <v>0</v>
      </c>
      <c r="D61" s="953"/>
      <c r="E61" s="537"/>
      <c r="F61" s="1175" t="s">
        <v>2682</v>
      </c>
      <c r="G61" s="1004"/>
      <c r="H61" s="1037"/>
      <c r="I61" s="1037"/>
      <c r="J61" s="1037"/>
      <c r="K61" s="1037"/>
      <c r="L61" s="1037"/>
      <c r="M61" s="1037"/>
      <c r="N61" s="1076"/>
      <c r="O61" s="1076"/>
    </row>
    <row r="62" spans="2:15" ht="16.5" thickBot="1">
      <c r="D62" s="953"/>
      <c r="E62" s="953"/>
      <c r="F62" s="972">
        <v>3</v>
      </c>
      <c r="G62" s="1176" t="s">
        <v>2670</v>
      </c>
      <c r="H62" s="1177"/>
      <c r="I62" s="1178"/>
      <c r="J62" s="1080"/>
      <c r="K62" s="972">
        <v>3</v>
      </c>
      <c r="L62" s="1176" t="s">
        <v>2670</v>
      </c>
      <c r="M62" s="1177"/>
      <c r="N62" s="1178"/>
      <c r="O62" s="1080"/>
    </row>
    <row r="63" spans="2:15" ht="16.5" thickBot="1">
      <c r="D63" s="953"/>
      <c r="E63" s="953"/>
      <c r="F63" s="1179">
        <f>IF(H62=$T$4,F62,IF(COUNTIF(F64:F67,"○")&lt;2,1,IF(COUNTIF(F64:F67,"○")=2,3,IF(COUNTIF(F64:F67,"○")=3,4,IF(COUNTIF(F64:F67,"○")=4,5)))))</f>
        <v>3</v>
      </c>
      <c r="G63" s="568" t="s">
        <v>1582</v>
      </c>
      <c r="H63" s="1180"/>
      <c r="I63" s="1180"/>
      <c r="J63" s="1180"/>
      <c r="K63" s="1179">
        <f>IF(M62=$T$4,K62,IF(COUNTIF(K64:K67,"○")&lt;2,1,IF(COUNTIF(K64:K67,"○")=2,3,IF(COUNTIF(K64:K67,"○")=3,4,IF(COUNTIF(K64:K67,"○")=4,5)))))</f>
        <v>3</v>
      </c>
      <c r="L63" s="568" t="s">
        <v>1297</v>
      </c>
      <c r="M63" s="1180"/>
      <c r="N63" s="1180"/>
      <c r="O63" s="1181"/>
    </row>
    <row r="64" spans="2:15" ht="48.75" customHeight="1">
      <c r="D64" s="953"/>
      <c r="E64" s="537"/>
      <c r="F64" s="1065" t="s">
        <v>2675</v>
      </c>
      <c r="G64" s="2894" t="s">
        <v>2683</v>
      </c>
      <c r="H64" s="2895"/>
      <c r="I64" s="2895"/>
      <c r="J64" s="2896"/>
      <c r="K64" s="1065" t="s">
        <v>2675</v>
      </c>
      <c r="L64" s="2894" t="s">
        <v>2684</v>
      </c>
      <c r="M64" s="2895"/>
      <c r="N64" s="2895"/>
      <c r="O64" s="2896"/>
    </row>
    <row r="65" spans="2:15" ht="65.25" customHeight="1">
      <c r="D65" s="953"/>
      <c r="E65" s="537"/>
      <c r="F65" s="1066" t="s">
        <v>2675</v>
      </c>
      <c r="G65" s="2894" t="s">
        <v>1997</v>
      </c>
      <c r="H65" s="2897"/>
      <c r="I65" s="2897"/>
      <c r="J65" s="2807"/>
      <c r="K65" s="1066" t="s">
        <v>2675</v>
      </c>
      <c r="L65" s="2894" t="s">
        <v>1997</v>
      </c>
      <c r="M65" s="2897"/>
      <c r="N65" s="2897"/>
      <c r="O65" s="2807"/>
    </row>
    <row r="66" spans="2:15" ht="54" customHeight="1">
      <c r="D66" s="953"/>
      <c r="E66" s="537"/>
      <c r="F66" s="1066"/>
      <c r="G66" s="2894" t="s">
        <v>1313</v>
      </c>
      <c r="H66" s="2897"/>
      <c r="I66" s="2897"/>
      <c r="J66" s="2807"/>
      <c r="K66" s="1066" t="s">
        <v>2672</v>
      </c>
      <c r="L66" s="2894" t="s">
        <v>1313</v>
      </c>
      <c r="M66" s="2897"/>
      <c r="N66" s="2897"/>
      <c r="O66" s="2807"/>
    </row>
    <row r="67" spans="2:15" ht="48.75" customHeight="1" thickBot="1">
      <c r="D67" s="953"/>
      <c r="E67" s="537"/>
      <c r="F67" s="1073"/>
      <c r="G67" s="2894" t="s">
        <v>1298</v>
      </c>
      <c r="H67" s="2897"/>
      <c r="I67" s="2897"/>
      <c r="J67" s="2807"/>
      <c r="K67" s="1073" t="s">
        <v>2672</v>
      </c>
      <c r="L67" s="2894" t="s">
        <v>1298</v>
      </c>
      <c r="M67" s="2897"/>
      <c r="N67" s="2897"/>
      <c r="O67" s="2807"/>
    </row>
    <row r="68" spans="2:15" ht="15.75">
      <c r="D68" s="953"/>
      <c r="E68" s="537"/>
      <c r="F68" s="1037"/>
      <c r="G68" s="1037"/>
      <c r="H68" s="1037"/>
      <c r="I68" s="1037"/>
      <c r="J68" s="1037"/>
      <c r="K68" s="1080"/>
      <c r="L68" s="1080"/>
      <c r="M68" s="1004"/>
      <c r="N68" s="1004"/>
      <c r="O68" s="1004"/>
    </row>
    <row r="69" spans="2:15" ht="15.75">
      <c r="D69" s="949">
        <v>1.3</v>
      </c>
      <c r="E69" s="958" t="s">
        <v>1</v>
      </c>
      <c r="F69" s="1083"/>
      <c r="G69" s="1038"/>
      <c r="H69" s="1083"/>
      <c r="I69" s="1083"/>
      <c r="J69" s="1083"/>
      <c r="K69" s="1083"/>
      <c r="L69" s="1083"/>
      <c r="M69" s="1159"/>
      <c r="N69" s="1159"/>
      <c r="O69" s="1159"/>
    </row>
    <row r="70" spans="2:15" ht="15.75">
      <c r="D70" s="953"/>
      <c r="E70" s="537"/>
      <c r="F70" s="1121" t="s">
        <v>3143</v>
      </c>
      <c r="G70" s="1038"/>
      <c r="H70" s="1083"/>
      <c r="I70" s="1004"/>
      <c r="J70" s="1041" t="str">
        <f>IF(OR(F72=0,J71=0),$R$3,"")</f>
        <v/>
      </c>
      <c r="K70" s="1159"/>
      <c r="L70" s="1038"/>
      <c r="M70" s="1159"/>
      <c r="N70" s="1159"/>
      <c r="O70" s="1159"/>
    </row>
    <row r="71" spans="2:15" ht="16.5" thickBot="1">
      <c r="D71" s="953"/>
      <c r="E71" s="958"/>
      <c r="F71" s="1102" t="s">
        <v>1314</v>
      </c>
      <c r="G71" s="966"/>
      <c r="H71" s="967"/>
      <c r="I71" s="968" t="s">
        <v>1358</v>
      </c>
      <c r="J71" s="969">
        <f>重み!M72</f>
        <v>0.5</v>
      </c>
      <c r="K71" s="1103"/>
      <c r="L71" s="968" t="s">
        <v>1315</v>
      </c>
      <c r="M71" s="1182">
        <f>メイン!$J$66</f>
        <v>14500</v>
      </c>
      <c r="N71" s="1183" t="s">
        <v>1316</v>
      </c>
      <c r="O71" s="1184"/>
    </row>
    <row r="72" spans="2:15" ht="16.5" thickBot="1">
      <c r="B72" s="1185" t="s">
        <v>1317</v>
      </c>
      <c r="C72">
        <f>IF(J71=0,0,IF(AND(M71&lt;2000,I94=0),F104,F95))</f>
        <v>3</v>
      </c>
      <c r="D72" s="953"/>
      <c r="E72" s="958"/>
      <c r="F72" s="1042">
        <f>IF(J71=0,0,IF(H79=S3,F79,IF(J71&gt;0,IF(K94=V3,F105,F95))))</f>
        <v>3</v>
      </c>
      <c r="G72" s="1084" t="s">
        <v>117</v>
      </c>
      <c r="H72" s="977"/>
      <c r="I72" s="977"/>
      <c r="J72" s="978"/>
      <c r="K72" s="977"/>
      <c r="L72" s="977"/>
      <c r="M72" s="978"/>
      <c r="N72" s="1186" t="s">
        <v>118</v>
      </c>
      <c r="O72" s="1089"/>
    </row>
    <row r="73" spans="2:15" ht="15.75">
      <c r="D73" s="953"/>
      <c r="E73" s="142"/>
      <c r="F73" s="979" t="str">
        <f>IF(F72=$S$15,$T$10,IF(ROUNDDOWN(F72,0)=$S$10,$U$10,$T$10))</f>
        <v>　レベル　1</v>
      </c>
      <c r="G73" s="988" t="s">
        <v>3144</v>
      </c>
      <c r="H73" s="1188"/>
      <c r="I73" s="1188"/>
      <c r="J73" s="1188"/>
      <c r="K73" s="1188"/>
      <c r="L73" s="1188"/>
      <c r="M73" s="1189"/>
      <c r="N73" s="2875" t="s">
        <v>3145</v>
      </c>
      <c r="O73" s="2862"/>
    </row>
    <row r="74" spans="2:15" ht="15.75">
      <c r="D74" s="953"/>
      <c r="E74" s="142"/>
      <c r="F74" s="984" t="str">
        <f>IF(F72=$S$15,$T$11,IF(ROUNDDOWN(F72,0)=$S$11,$U$11,$T$11))</f>
        <v>　レベル　2</v>
      </c>
      <c r="G74" s="1190" t="s">
        <v>3146</v>
      </c>
      <c r="H74" s="1191"/>
      <c r="I74" s="1191"/>
      <c r="J74" s="1191"/>
      <c r="K74" s="1191"/>
      <c r="L74" s="1191"/>
      <c r="M74" s="1192"/>
      <c r="N74" s="2876"/>
      <c r="O74" s="2862"/>
    </row>
    <row r="75" spans="2:15" ht="15.75">
      <c r="D75" s="953"/>
      <c r="E75" s="142"/>
      <c r="F75" s="984" t="str">
        <f>IF(F72=$S$15,$T$12,IF(ROUNDDOWN(F72,0)=$S$12,$U$12,$T$12))</f>
        <v>■レベル　3</v>
      </c>
      <c r="G75" s="1190" t="s">
        <v>3147</v>
      </c>
      <c r="H75" s="1191"/>
      <c r="I75" s="1191"/>
      <c r="J75" s="1191"/>
      <c r="K75" s="1191"/>
      <c r="L75" s="1191"/>
      <c r="M75" s="1192"/>
      <c r="N75" s="2876"/>
      <c r="O75" s="2862"/>
    </row>
    <row r="76" spans="2:15" ht="15.75">
      <c r="D76" s="953"/>
      <c r="E76" s="142"/>
      <c r="F76" s="984" t="str">
        <f>IF(F72=$S$15,$T$13,IF(ROUNDDOWN(F72,0)=$S$13,$U$13,$T$13))</f>
        <v>　レベル　4</v>
      </c>
      <c r="G76" s="1190" t="s">
        <v>3148</v>
      </c>
      <c r="H76" s="1191"/>
      <c r="I76" s="1191"/>
      <c r="J76" s="1191"/>
      <c r="K76" s="1191"/>
      <c r="L76" s="1191"/>
      <c r="M76" s="1192"/>
      <c r="N76" s="2876"/>
      <c r="O76" s="2862"/>
    </row>
    <row r="77" spans="2:15" ht="15.75">
      <c r="D77" s="953"/>
      <c r="E77" s="142"/>
      <c r="F77" s="995" t="str">
        <f>IF(F72=$S$15,$T$14,IF(ROUNDDOWN(F72,0)=$S$14,$U$14,$T$14))</f>
        <v>　レベル　5</v>
      </c>
      <c r="G77" s="1193" t="s">
        <v>3149</v>
      </c>
      <c r="H77" s="1194"/>
      <c r="I77" s="1194"/>
      <c r="J77" s="1194"/>
      <c r="K77" s="1194"/>
      <c r="L77" s="1194"/>
      <c r="M77" s="1195"/>
      <c r="N77" s="2877"/>
      <c r="O77" s="2864"/>
    </row>
    <row r="78" spans="2:15" ht="16.5" thickBot="1">
      <c r="B78" t="s">
        <v>779</v>
      </c>
      <c r="D78" s="953"/>
      <c r="E78" s="142"/>
      <c r="F78" s="1175" t="s">
        <v>2682</v>
      </c>
      <c r="G78" s="1175"/>
      <c r="H78" s="1037"/>
      <c r="I78" s="1196"/>
      <c r="J78" s="1197"/>
      <c r="K78" s="1197"/>
      <c r="L78" s="1037"/>
      <c r="M78" s="1037"/>
      <c r="N78" s="1159"/>
      <c r="O78" s="1159"/>
    </row>
    <row r="79" spans="2:15" ht="16.5" thickBot="1">
      <c r="D79" s="953"/>
      <c r="E79" s="953"/>
      <c r="F79" s="972">
        <v>3</v>
      </c>
      <c r="G79" s="1176" t="s">
        <v>2670</v>
      </c>
      <c r="H79" s="1177"/>
      <c r="I79" s="2450"/>
      <c r="J79" s="1080"/>
      <c r="K79" s="1159"/>
      <c r="L79" s="1159"/>
      <c r="M79" s="1159"/>
      <c r="N79" s="1159"/>
      <c r="O79" s="1159"/>
    </row>
    <row r="80" spans="2:15" ht="16.5" hidden="1" thickBot="1">
      <c r="B80" s="1" t="s">
        <v>1037</v>
      </c>
      <c r="C80" s="1">
        <v>1</v>
      </c>
      <c r="D80" s="953"/>
      <c r="E80" s="953"/>
      <c r="F80" s="1179">
        <f>IF(H79=$T$4,F79,IF(COUNTIF(F81:F92,"○")&lt;=2,2,IF(COUNTIF(F81:F92,"○")&lt;=5,3,IF(COUNTIF(F81:F92,"○")&lt;=8,4,IF(COUNTIF(F81:F92,"○")&gt;=9,5)))))</f>
        <v>3</v>
      </c>
      <c r="G80" s="568" t="s">
        <v>1729</v>
      </c>
      <c r="H80" s="1180"/>
      <c r="I80" s="2449"/>
      <c r="J80" s="1180"/>
      <c r="K80" s="1180"/>
      <c r="L80" s="1180"/>
      <c r="M80" s="1180"/>
      <c r="N80" s="1198"/>
    </row>
    <row r="81" spans="2:15" ht="15.75" hidden="1">
      <c r="B81" s="1">
        <v>2</v>
      </c>
      <c r="C81" s="1">
        <v>2</v>
      </c>
      <c r="D81" s="953"/>
      <c r="E81" s="537"/>
      <c r="F81" s="1065" t="s">
        <v>2675</v>
      </c>
      <c r="G81" s="1199" t="s">
        <v>1299</v>
      </c>
      <c r="H81" s="1200"/>
      <c r="I81" s="1200"/>
      <c r="J81" s="1200"/>
      <c r="K81" s="1200"/>
      <c r="L81" s="1200"/>
      <c r="M81" s="1200"/>
      <c r="N81" s="1201"/>
    </row>
    <row r="82" spans="2:15" ht="15.75" hidden="1">
      <c r="B82" s="1">
        <v>3</v>
      </c>
      <c r="C82" s="1">
        <v>3</v>
      </c>
      <c r="D82" s="953"/>
      <c r="E82" s="537"/>
      <c r="F82" s="1066" t="s">
        <v>2675</v>
      </c>
      <c r="G82" s="1202" t="s">
        <v>1730</v>
      </c>
      <c r="H82" s="1203"/>
      <c r="I82" s="1203"/>
      <c r="J82" s="1203"/>
      <c r="K82" s="1203"/>
      <c r="L82" s="1203"/>
      <c r="M82" s="1203"/>
      <c r="N82" s="1204"/>
    </row>
    <row r="83" spans="2:15" ht="15.75" hidden="1">
      <c r="B83" s="1">
        <v>4</v>
      </c>
      <c r="C83" s="1">
        <v>4</v>
      </c>
      <c r="D83" s="953"/>
      <c r="E83" s="537"/>
      <c r="F83" s="1066" t="s">
        <v>2675</v>
      </c>
      <c r="G83" s="1202" t="s">
        <v>29</v>
      </c>
      <c r="H83" s="1203"/>
      <c r="I83" s="1203"/>
      <c r="J83" s="1203"/>
      <c r="K83" s="1203"/>
      <c r="L83" s="1203"/>
      <c r="M83" s="1203"/>
      <c r="N83" s="1204"/>
    </row>
    <row r="84" spans="2:15" ht="15.75" hidden="1">
      <c r="B84" s="1">
        <v>5</v>
      </c>
      <c r="C84" s="1">
        <v>5</v>
      </c>
      <c r="D84" s="953"/>
      <c r="E84" s="537"/>
      <c r="F84" s="1066"/>
      <c r="G84" s="1202" t="s">
        <v>1731</v>
      </c>
      <c r="H84" s="1203"/>
      <c r="I84" s="1203"/>
      <c r="J84" s="1203"/>
      <c r="K84" s="1203"/>
      <c r="L84" s="1203"/>
      <c r="M84" s="1203"/>
      <c r="N84" s="1204"/>
    </row>
    <row r="85" spans="2:15" ht="15.75" hidden="1">
      <c r="B85" s="1002">
        <v>0</v>
      </c>
      <c r="C85" s="1002">
        <v>0</v>
      </c>
      <c r="D85" s="953"/>
      <c r="E85" s="537"/>
      <c r="F85" s="1066"/>
      <c r="G85" s="1202" t="s">
        <v>1300</v>
      </c>
      <c r="H85" s="1203"/>
      <c r="I85" s="1203"/>
      <c r="J85" s="1203"/>
      <c r="K85" s="1203"/>
      <c r="L85" s="1203"/>
      <c r="M85" s="1203"/>
      <c r="N85" s="1204"/>
    </row>
    <row r="86" spans="2:15" ht="15.75" hidden="1">
      <c r="D86" s="953"/>
      <c r="E86" s="537"/>
      <c r="F86" s="1066"/>
      <c r="G86" s="1202" t="s">
        <v>1732</v>
      </c>
      <c r="H86" s="1203"/>
      <c r="I86" s="1203"/>
      <c r="J86" s="1203"/>
      <c r="K86" s="1203"/>
      <c r="L86" s="1203"/>
      <c r="M86" s="1203"/>
      <c r="N86" s="1204"/>
    </row>
    <row r="87" spans="2:15" ht="15.75" hidden="1">
      <c r="D87" s="953"/>
      <c r="E87" s="537"/>
      <c r="F87" s="1066"/>
      <c r="G87" s="1202" t="s">
        <v>1301</v>
      </c>
      <c r="H87" s="1203"/>
      <c r="I87" s="1203"/>
      <c r="J87" s="1203"/>
      <c r="K87" s="1203"/>
      <c r="L87" s="1203"/>
      <c r="M87" s="1203"/>
      <c r="N87" s="1204"/>
    </row>
    <row r="88" spans="2:15" ht="15.75" hidden="1">
      <c r="D88" s="953"/>
      <c r="E88" s="537"/>
      <c r="F88" s="1066"/>
      <c r="G88" s="1202" t="s">
        <v>1733</v>
      </c>
      <c r="H88" s="1203"/>
      <c r="I88" s="1203"/>
      <c r="J88" s="1203"/>
      <c r="K88" s="1203"/>
      <c r="L88" s="1203"/>
      <c r="M88" s="1203"/>
      <c r="N88" s="1204"/>
    </row>
    <row r="89" spans="2:15" ht="15.75" hidden="1">
      <c r="D89" s="953"/>
      <c r="E89" s="537"/>
      <c r="F89" s="1066"/>
      <c r="G89" s="1202" t="s">
        <v>1302</v>
      </c>
      <c r="H89" s="1203"/>
      <c r="I89" s="1203"/>
      <c r="J89" s="1203"/>
      <c r="K89" s="1203"/>
      <c r="L89" s="1203"/>
      <c r="M89" s="1203"/>
      <c r="N89" s="1204"/>
    </row>
    <row r="90" spans="2:15" ht="15.75" hidden="1">
      <c r="D90" s="953"/>
      <c r="E90" s="537"/>
      <c r="F90" s="1066"/>
      <c r="G90" s="1202" t="s">
        <v>1734</v>
      </c>
      <c r="H90" s="1203"/>
      <c r="I90" s="1203"/>
      <c r="J90" s="1203"/>
      <c r="K90" s="1203"/>
      <c r="L90" s="1203"/>
      <c r="M90" s="1203"/>
      <c r="N90" s="1204"/>
    </row>
    <row r="91" spans="2:15" ht="15.75" hidden="1">
      <c r="D91" s="953"/>
      <c r="E91" s="537"/>
      <c r="F91" s="1066"/>
      <c r="G91" s="1202" t="s">
        <v>1735</v>
      </c>
      <c r="H91" s="1203"/>
      <c r="I91" s="1203"/>
      <c r="J91" s="1203"/>
      <c r="K91" s="1203"/>
      <c r="L91" s="1203"/>
      <c r="M91" s="1203"/>
      <c r="N91" s="1204"/>
    </row>
    <row r="92" spans="2:15" ht="16.5" hidden="1" thickBot="1">
      <c r="D92" s="953"/>
      <c r="E92" s="537"/>
      <c r="F92" s="1073"/>
      <c r="G92" s="1205" t="s">
        <v>1303</v>
      </c>
      <c r="H92" s="1206"/>
      <c r="I92" s="1206"/>
      <c r="J92" s="1206"/>
      <c r="K92" s="1206"/>
      <c r="L92" s="1206"/>
      <c r="M92" s="1206"/>
      <c r="N92" s="1207"/>
    </row>
    <row r="93" spans="2:15" ht="16.5" hidden="1" thickBot="1">
      <c r="D93" s="953"/>
      <c r="E93" s="537"/>
      <c r="F93" s="1208" t="s">
        <v>1304</v>
      </c>
      <c r="G93" s="1209">
        <f>COUNTIF(F81:F92,"○")</f>
        <v>3</v>
      </c>
      <c r="H93" s="1209"/>
      <c r="I93" s="1209"/>
      <c r="J93" s="1210"/>
      <c r="K93" s="1211"/>
      <c r="L93" s="1211"/>
      <c r="M93" s="1210"/>
      <c r="N93" s="1212"/>
    </row>
    <row r="94" spans="2:15" ht="14.25" thickBot="1">
      <c r="F94" s="1037" t="s">
        <v>3150</v>
      </c>
      <c r="G94" s="2448"/>
      <c r="H94" s="2448"/>
      <c r="I94" s="1674"/>
      <c r="J94"/>
      <c r="K94" s="2821" t="s">
        <v>1842</v>
      </c>
      <c r="L94" s="2822"/>
      <c r="M94" s="2823"/>
      <c r="N94" s="1037"/>
      <c r="O94" s="1159"/>
    </row>
    <row r="95" spans="2:15" ht="14.25" thickBot="1">
      <c r="F95" s="1179">
        <f>IF(H78=$T$4,F78,ROUND(IF(G103&lt;=2,1,IF(G103&lt;=5,2,IF(G103&lt;=8,3,IF(G103&lt;=11,4,IF(G103&gt;=12,5))))),0))</f>
        <v>3</v>
      </c>
      <c r="G95" s="1180" t="s">
        <v>1736</v>
      </c>
      <c r="H95" s="1180"/>
      <c r="I95" s="568" t="s">
        <v>3151</v>
      </c>
      <c r="J95" s="1180"/>
      <c r="K95" s="1180"/>
      <c r="L95" s="1180"/>
      <c r="M95" s="1180"/>
      <c r="N95" s="1213" t="s">
        <v>1737</v>
      </c>
      <c r="O95" s="1159"/>
    </row>
    <row r="96" spans="2:15">
      <c r="F96" s="1214">
        <v>3</v>
      </c>
      <c r="G96" s="1188" t="s">
        <v>3152</v>
      </c>
      <c r="H96" s="1189"/>
      <c r="I96" s="1187" t="s">
        <v>3153</v>
      </c>
      <c r="J96" s="1188"/>
      <c r="K96" s="1188"/>
      <c r="L96" s="1188"/>
      <c r="M96" s="1188"/>
      <c r="N96" s="1215">
        <v>3</v>
      </c>
      <c r="O96" s="1159"/>
    </row>
    <row r="97" spans="4:15">
      <c r="F97" s="1216">
        <v>1</v>
      </c>
      <c r="G97" s="1191" t="s">
        <v>3154</v>
      </c>
      <c r="H97" s="1192"/>
      <c r="I97" s="1190" t="s">
        <v>3155</v>
      </c>
      <c r="J97" s="1191"/>
      <c r="K97" s="1191"/>
      <c r="L97" s="1191"/>
      <c r="M97" s="1191"/>
      <c r="N97" s="1217">
        <v>1</v>
      </c>
      <c r="O97" s="1159"/>
    </row>
    <row r="98" spans="4:15">
      <c r="F98" s="1216">
        <v>3</v>
      </c>
      <c r="G98" s="1191" t="s">
        <v>3156</v>
      </c>
      <c r="H98" s="1192"/>
      <c r="I98" s="1190" t="s">
        <v>3157</v>
      </c>
      <c r="J98" s="1191"/>
      <c r="K98" s="1191"/>
      <c r="L98" s="1191"/>
      <c r="M98" s="1191"/>
      <c r="N98" s="1217">
        <v>3</v>
      </c>
      <c r="O98" s="1159"/>
    </row>
    <row r="99" spans="4:15">
      <c r="F99" s="1216">
        <v>0</v>
      </c>
      <c r="G99" s="1191" t="s">
        <v>3158</v>
      </c>
      <c r="H99" s="1192"/>
      <c r="I99" s="1190" t="s">
        <v>3159</v>
      </c>
      <c r="J99" s="1191"/>
      <c r="K99" s="1191"/>
      <c r="L99" s="1191"/>
      <c r="M99" s="1191"/>
      <c r="N99" s="1217">
        <v>2</v>
      </c>
      <c r="O99" s="1159"/>
    </row>
    <row r="100" spans="4:15">
      <c r="F100" s="1216">
        <v>0</v>
      </c>
      <c r="G100" s="1191" t="s">
        <v>3160</v>
      </c>
      <c r="H100" s="1192"/>
      <c r="I100" s="1190" t="s">
        <v>3161</v>
      </c>
      <c r="J100" s="1191"/>
      <c r="K100" s="1191"/>
      <c r="L100" s="1191"/>
      <c r="M100" s="1191"/>
      <c r="N100" s="1217">
        <v>1</v>
      </c>
      <c r="O100" s="1159"/>
    </row>
    <row r="101" spans="4:15">
      <c r="F101" s="1216">
        <v>0</v>
      </c>
      <c r="G101" s="1191" t="s">
        <v>3162</v>
      </c>
      <c r="H101" s="1192"/>
      <c r="I101" s="1190" t="s">
        <v>3163</v>
      </c>
      <c r="J101" s="1191"/>
      <c r="K101" s="1191"/>
      <c r="L101" s="1191"/>
      <c r="M101" s="1191"/>
      <c r="N101" s="1217">
        <v>2</v>
      </c>
      <c r="O101" s="1159"/>
    </row>
    <row r="102" spans="4:15" ht="14.25" thickBot="1">
      <c r="F102" s="1218">
        <v>0</v>
      </c>
      <c r="G102" s="1194" t="s">
        <v>3164</v>
      </c>
      <c r="H102" s="1195"/>
      <c r="I102" s="1193" t="s">
        <v>3165</v>
      </c>
      <c r="J102" s="1194"/>
      <c r="K102" s="1194"/>
      <c r="L102" s="1194"/>
      <c r="M102" s="1194"/>
      <c r="N102" s="1219">
        <v>1</v>
      </c>
      <c r="O102" s="1159"/>
    </row>
    <row r="103" spans="4:15" ht="14.25">
      <c r="F103" s="1208" t="s">
        <v>2780</v>
      </c>
      <c r="G103" s="2824">
        <f>SUM(F96:F102)</f>
        <v>7</v>
      </c>
      <c r="H103" s="2824"/>
      <c r="I103" s="2824"/>
      <c r="J103" s="1210"/>
      <c r="K103" s="1211"/>
      <c r="L103" s="1210"/>
      <c r="M103" s="1211"/>
      <c r="N103" s="1220"/>
      <c r="O103" s="1159"/>
    </row>
    <row r="104" spans="4:15" ht="14.25" thickBot="1">
      <c r="F104" s="1037" t="s">
        <v>3166</v>
      </c>
      <c r="G104"/>
      <c r="H104"/>
      <c r="I104"/>
      <c r="J104"/>
      <c r="K104"/>
      <c r="L104"/>
      <c r="M104"/>
      <c r="N104"/>
      <c r="O104" s="1159"/>
    </row>
    <row r="105" spans="4:15" ht="14.25" thickBot="1">
      <c r="F105" s="1179">
        <f>IF(H78=$T$4,F78,ROUND(IF(G112&lt;=2,1,IF(G112&lt;=5,2,IF(G112&lt;=8,3,IF(G112&lt;=11,4,IF(G112&gt;=12,5))))),0))</f>
        <v>4</v>
      </c>
      <c r="G105" s="1180" t="s">
        <v>1736</v>
      </c>
      <c r="H105" s="1180"/>
      <c r="I105" s="568" t="s">
        <v>3151</v>
      </c>
      <c r="J105" s="1180"/>
      <c r="K105" s="1180"/>
      <c r="L105" s="1180"/>
      <c r="M105" s="1180"/>
      <c r="N105" s="1213" t="s">
        <v>1737</v>
      </c>
      <c r="O105" s="1159"/>
    </row>
    <row r="106" spans="4:15">
      <c r="F106" s="1221">
        <v>3</v>
      </c>
      <c r="G106" s="1188" t="s">
        <v>3167</v>
      </c>
      <c r="H106" s="1189"/>
      <c r="I106" s="1187" t="s">
        <v>3168</v>
      </c>
      <c r="J106" s="1188"/>
      <c r="K106" s="1188"/>
      <c r="L106" s="1188"/>
      <c r="M106" s="1188"/>
      <c r="N106" s="1215">
        <v>3</v>
      </c>
      <c r="O106" s="1159"/>
    </row>
    <row r="107" spans="4:15">
      <c r="F107" s="1222">
        <v>3</v>
      </c>
      <c r="G107" s="1191" t="s">
        <v>3169</v>
      </c>
      <c r="H107" s="1192"/>
      <c r="I107" s="1190" t="s">
        <v>3170</v>
      </c>
      <c r="J107" s="1191"/>
      <c r="K107" s="1191"/>
      <c r="L107" s="1191"/>
      <c r="M107" s="1191"/>
      <c r="N107" s="1217">
        <v>3</v>
      </c>
      <c r="O107" s="1159"/>
    </row>
    <row r="108" spans="4:15">
      <c r="F108" s="1222">
        <v>3</v>
      </c>
      <c r="G108" s="1191" t="s">
        <v>3171</v>
      </c>
      <c r="H108" s="1192"/>
      <c r="I108" s="1190" t="s">
        <v>3172</v>
      </c>
      <c r="J108" s="1191"/>
      <c r="K108" s="1191"/>
      <c r="L108" s="1191"/>
      <c r="M108" s="1191"/>
      <c r="N108" s="1217">
        <v>3</v>
      </c>
      <c r="O108" s="1159"/>
    </row>
    <row r="109" spans="4:15">
      <c r="F109" s="1222">
        <v>0</v>
      </c>
      <c r="G109" s="1191" t="s">
        <v>3173</v>
      </c>
      <c r="H109" s="1192"/>
      <c r="I109" s="1190" t="s">
        <v>3174</v>
      </c>
      <c r="J109" s="1191"/>
      <c r="K109" s="1191"/>
      <c r="L109" s="1191"/>
      <c r="M109" s="1191"/>
      <c r="N109" s="1217">
        <v>2</v>
      </c>
      <c r="O109" s="1159"/>
    </row>
    <row r="110" spans="4:15">
      <c r="F110" s="1222">
        <v>0</v>
      </c>
      <c r="G110" s="1191" t="s">
        <v>3175</v>
      </c>
      <c r="H110" s="1192"/>
      <c r="I110" s="1190" t="s">
        <v>3176</v>
      </c>
      <c r="J110" s="1191"/>
      <c r="K110" s="1191"/>
      <c r="L110" s="1191"/>
      <c r="M110" s="1191"/>
      <c r="N110" s="1217">
        <v>1</v>
      </c>
      <c r="O110" s="1159"/>
    </row>
    <row r="111" spans="4:15" ht="14.25" thickBot="1">
      <c r="F111" s="1223">
        <v>0</v>
      </c>
      <c r="G111" s="1194" t="s">
        <v>3177</v>
      </c>
      <c r="H111" s="1192"/>
      <c r="I111" s="1190" t="s">
        <v>3178</v>
      </c>
      <c r="J111" s="1191"/>
      <c r="K111" s="1191"/>
      <c r="L111" s="1191"/>
      <c r="M111" s="1191"/>
      <c r="N111" s="1217">
        <v>1</v>
      </c>
      <c r="O111" s="1159"/>
    </row>
    <row r="112" spans="4:15" ht="15.75">
      <c r="D112" s="953"/>
      <c r="E112" s="537"/>
      <c r="F112" s="1208" t="s">
        <v>2780</v>
      </c>
      <c r="G112" s="2824">
        <f>SUM(F106:F111)</f>
        <v>9</v>
      </c>
      <c r="H112" s="2824"/>
      <c r="I112" s="2824"/>
      <c r="J112" s="1210"/>
      <c r="K112" s="1211"/>
      <c r="L112" s="1210"/>
      <c r="M112" s="1211"/>
      <c r="N112" s="1220"/>
      <c r="O112" s="1159"/>
    </row>
    <row r="113" spans="2:15" ht="15.75">
      <c r="D113" s="953"/>
      <c r="E113" s="953"/>
      <c r="F113" s="953"/>
      <c r="G113" s="953"/>
      <c r="H113" s="953"/>
      <c r="I113" s="953"/>
      <c r="J113" s="953"/>
      <c r="K113" s="953"/>
      <c r="L113" s="953"/>
      <c r="M113" s="953"/>
      <c r="N113" s="953"/>
      <c r="O113" s="1159"/>
    </row>
    <row r="114" spans="2:15" ht="15.75">
      <c r="D114" s="953"/>
      <c r="E114" s="537"/>
      <c r="F114" s="1121" t="s">
        <v>1773</v>
      </c>
      <c r="G114" s="1038"/>
      <c r="H114" s="1083"/>
      <c r="I114" s="1004"/>
      <c r="J114" s="1041" t="str">
        <f>IF(OR(F116=0,J115=0),$R$3,"")</f>
        <v/>
      </c>
      <c r="K114" s="1159"/>
      <c r="L114" s="1038"/>
      <c r="M114" s="1159"/>
      <c r="N114" s="1004"/>
      <c r="O114" s="1004"/>
    </row>
    <row r="115" spans="2:15" ht="16.5" thickBot="1">
      <c r="D115" s="953"/>
      <c r="E115" s="958"/>
      <c r="F115" s="1102" t="s">
        <v>487</v>
      </c>
      <c r="G115" s="966"/>
      <c r="H115" s="967"/>
      <c r="I115" s="968" t="s">
        <v>1358</v>
      </c>
      <c r="J115" s="969">
        <f>重み!M73</f>
        <v>0.3</v>
      </c>
      <c r="K115" s="1103"/>
      <c r="L115" s="968" t="s">
        <v>1315</v>
      </c>
      <c r="M115" s="1182">
        <f>メイン!$J$66</f>
        <v>14500</v>
      </c>
      <c r="N115" s="1183" t="s">
        <v>1316</v>
      </c>
      <c r="O115" s="1184"/>
    </row>
    <row r="116" spans="2:15" ht="15" thickBot="1">
      <c r="B116" s="1185" t="s">
        <v>1317</v>
      </c>
      <c r="E116" s="958"/>
      <c r="F116" s="1042">
        <f>IF(J115=0,0,IF(H123=S3,F123,F145))</f>
        <v>3</v>
      </c>
      <c r="G116" s="1084" t="s">
        <v>1774</v>
      </c>
      <c r="H116" s="977"/>
      <c r="I116" s="977"/>
      <c r="J116" s="978"/>
      <c r="K116" s="977"/>
      <c r="L116" s="977"/>
      <c r="M116" s="978"/>
      <c r="N116" s="1186" t="s">
        <v>118</v>
      </c>
      <c r="O116" s="1089"/>
    </row>
    <row r="117" spans="2:15" ht="15.75" customHeight="1">
      <c r="E117" s="142"/>
      <c r="F117" s="979" t="str">
        <f>IF(F116=$S$15,$T$10,IF(ROUNDDOWN(F116,0)=$S$10,$U$10,$T$10))</f>
        <v>　レベル　1</v>
      </c>
      <c r="G117" s="988" t="s">
        <v>3104</v>
      </c>
      <c r="H117" s="1188"/>
      <c r="I117" s="1188"/>
      <c r="J117" s="1188"/>
      <c r="K117" s="1188"/>
      <c r="L117" s="1188"/>
      <c r="M117" s="1189"/>
      <c r="N117" s="2875" t="s">
        <v>3145</v>
      </c>
      <c r="O117" s="2862"/>
    </row>
    <row r="118" spans="2:15" ht="15.75">
      <c r="E118" s="142"/>
      <c r="F118" s="984" t="str">
        <f>IF(F116=$S$15,$T$11,IF(ROUNDDOWN(F116,0)=$S$11,$U$11,$T$11))</f>
        <v>　レベル　2</v>
      </c>
      <c r="G118" s="1190" t="s">
        <v>3179</v>
      </c>
      <c r="H118" s="1191"/>
      <c r="I118" s="1191"/>
      <c r="J118" s="1191"/>
      <c r="K118" s="1191"/>
      <c r="L118" s="1191"/>
      <c r="M118" s="1192"/>
      <c r="N118" s="2876"/>
      <c r="O118" s="2862"/>
    </row>
    <row r="119" spans="2:15" ht="15.75">
      <c r="E119" s="142"/>
      <c r="F119" s="984" t="str">
        <f>IF(F116=$S$15,$T$12,IF(ROUNDDOWN(F116,0)=$S$12,$U$12,$T$12))</f>
        <v>■レベル　3</v>
      </c>
      <c r="G119" s="1190" t="s">
        <v>3180</v>
      </c>
      <c r="H119" s="1191"/>
      <c r="I119" s="1191"/>
      <c r="J119" s="1191"/>
      <c r="K119" s="1191"/>
      <c r="L119" s="1191"/>
      <c r="M119" s="1192"/>
      <c r="N119" s="2876"/>
      <c r="O119" s="2862"/>
    </row>
    <row r="120" spans="2:15" ht="15.75">
      <c r="E120" s="142"/>
      <c r="F120" s="984" t="str">
        <f>IF(F116=$S$15,$T$13,IF(ROUNDDOWN(F116,0)=$S$13,$U$13,$T$13))</f>
        <v>　レベル　4</v>
      </c>
      <c r="G120" s="1190" t="s">
        <v>3181</v>
      </c>
      <c r="H120" s="1191"/>
      <c r="I120" s="1191"/>
      <c r="J120" s="1191"/>
      <c r="K120" s="1191"/>
      <c r="L120" s="1191"/>
      <c r="M120" s="1192"/>
      <c r="N120" s="2876"/>
      <c r="O120" s="2862"/>
    </row>
    <row r="121" spans="2:15" ht="15.75">
      <c r="E121" s="142"/>
      <c r="F121" s="995" t="str">
        <f>IF(F116=$S$15,$T$14,IF(ROUNDDOWN(F116,0)=$S$14,$U$14,$T$14))</f>
        <v>　レベル　5</v>
      </c>
      <c r="G121" s="1193" t="s">
        <v>3182</v>
      </c>
      <c r="H121" s="1194"/>
      <c r="I121" s="1194"/>
      <c r="J121" s="1194"/>
      <c r="K121" s="1194"/>
      <c r="L121" s="1194"/>
      <c r="M121" s="1195"/>
      <c r="N121" s="2877"/>
      <c r="O121" s="2864"/>
    </row>
    <row r="122" spans="2:15" ht="16.5" thickBot="1">
      <c r="B122" t="s">
        <v>779</v>
      </c>
      <c r="E122" s="142"/>
      <c r="F122" s="1175" t="s">
        <v>2682</v>
      </c>
      <c r="G122" s="1175"/>
      <c r="H122" s="1037"/>
      <c r="I122" s="1196"/>
      <c r="J122" s="1197"/>
      <c r="K122" s="1197"/>
      <c r="L122" s="1037"/>
      <c r="M122" s="1037"/>
      <c r="N122" s="1037"/>
      <c r="O122" s="1037"/>
    </row>
    <row r="123" spans="2:15" ht="16.5" thickBot="1">
      <c r="D123" s="953"/>
      <c r="E123" s="953"/>
      <c r="F123" s="972">
        <v>3</v>
      </c>
      <c r="G123" s="1176" t="s">
        <v>2670</v>
      </c>
      <c r="H123" s="1177"/>
      <c r="I123" s="2450"/>
      <c r="J123" s="1080"/>
      <c r="K123" s="1159"/>
      <c r="L123" s="1159"/>
      <c r="M123" s="1159"/>
      <c r="N123" s="1159"/>
      <c r="O123" s="1004"/>
    </row>
    <row r="124" spans="2:15" ht="16.5" hidden="1" thickBot="1">
      <c r="B124" s="1" t="s">
        <v>2167</v>
      </c>
      <c r="C124" s="1">
        <v>1</v>
      </c>
      <c r="D124" s="953"/>
      <c r="E124" s="953"/>
      <c r="F124" s="1179">
        <f>IF(H123=$T$4,F123,IF(G138&lt;=3,2,IF(G138&lt;=6,3,IF(G138&lt;=9,4,5))))</f>
        <v>3</v>
      </c>
      <c r="G124" s="568" t="s">
        <v>1306</v>
      </c>
      <c r="H124" s="1180"/>
      <c r="I124" s="1180"/>
      <c r="J124" s="1180"/>
      <c r="K124" s="1180"/>
      <c r="L124" s="568" t="s">
        <v>2606</v>
      </c>
      <c r="M124" s="1180"/>
      <c r="N124" s="1180"/>
      <c r="O124" s="1224"/>
    </row>
    <row r="125" spans="2:15" ht="27.75" hidden="1" customHeight="1">
      <c r="B125" s="1">
        <v>2</v>
      </c>
      <c r="C125" s="1">
        <v>2</v>
      </c>
      <c r="D125" s="953"/>
      <c r="E125" s="537"/>
      <c r="F125" s="1065" t="s">
        <v>2675</v>
      </c>
      <c r="G125" s="1225" t="s">
        <v>1882</v>
      </c>
      <c r="H125" s="1226"/>
      <c r="I125" s="1226"/>
      <c r="J125" s="1226"/>
      <c r="K125" s="1226"/>
      <c r="L125" s="2750" t="s">
        <v>2607</v>
      </c>
      <c r="M125" s="2752"/>
      <c r="N125" s="2752"/>
      <c r="O125" s="2734"/>
    </row>
    <row r="126" spans="2:15" ht="27.75" hidden="1" customHeight="1">
      <c r="B126" s="1">
        <v>3</v>
      </c>
      <c r="C126" s="1">
        <v>3</v>
      </c>
      <c r="D126" s="953"/>
      <c r="E126" s="537"/>
      <c r="F126" s="1066" t="s">
        <v>2675</v>
      </c>
      <c r="G126" s="1225" t="s">
        <v>1883</v>
      </c>
      <c r="H126" s="1226"/>
      <c r="I126" s="1226"/>
      <c r="J126" s="1226"/>
      <c r="K126" s="1226"/>
      <c r="L126" s="2750" t="s">
        <v>2608</v>
      </c>
      <c r="M126" s="2752"/>
      <c r="N126" s="2752"/>
      <c r="O126" s="2734"/>
    </row>
    <row r="127" spans="2:15" ht="49.5" hidden="1" customHeight="1">
      <c r="B127" s="1">
        <v>4</v>
      </c>
      <c r="C127" s="1">
        <v>4</v>
      </c>
      <c r="D127" s="953"/>
      <c r="E127" s="537"/>
      <c r="F127" s="1066" t="s">
        <v>2675</v>
      </c>
      <c r="G127" s="1225" t="s">
        <v>2609</v>
      </c>
      <c r="H127" s="1226"/>
      <c r="I127" s="1226"/>
      <c r="J127" s="1226"/>
      <c r="K127" s="1226"/>
      <c r="L127" s="2750" t="s">
        <v>30</v>
      </c>
      <c r="M127" s="2752"/>
      <c r="N127" s="2752"/>
      <c r="O127" s="2734"/>
    </row>
    <row r="128" spans="2:15" ht="27.75" hidden="1" customHeight="1">
      <c r="B128" s="1">
        <v>5</v>
      </c>
      <c r="C128" s="1">
        <v>5</v>
      </c>
      <c r="D128" s="953"/>
      <c r="E128" s="537"/>
      <c r="F128" s="1066" t="s">
        <v>2675</v>
      </c>
      <c r="G128" s="1225" t="s">
        <v>2610</v>
      </c>
      <c r="H128" s="1226"/>
      <c r="I128" s="1226"/>
      <c r="J128" s="1226"/>
      <c r="K128" s="1226"/>
      <c r="L128" s="2750" t="s">
        <v>2611</v>
      </c>
      <c r="M128" s="2752"/>
      <c r="N128" s="2752"/>
      <c r="O128" s="2734"/>
    </row>
    <row r="129" spans="2:15" ht="27.75" hidden="1" customHeight="1">
      <c r="B129" s="1002">
        <v>0</v>
      </c>
      <c r="C129" s="1002">
        <v>0</v>
      </c>
      <c r="D129" s="953"/>
      <c r="E129" s="537"/>
      <c r="F129" s="1066"/>
      <c r="G129" s="2887" t="s">
        <v>1739</v>
      </c>
      <c r="H129" s="2759"/>
      <c r="I129" s="2759"/>
      <c r="J129" s="2759"/>
      <c r="K129" s="2760"/>
      <c r="L129" s="2750" t="s">
        <v>1740</v>
      </c>
      <c r="M129" s="2752"/>
      <c r="N129" s="2752"/>
      <c r="O129" s="2734"/>
    </row>
    <row r="130" spans="2:15" ht="27.75" hidden="1" customHeight="1">
      <c r="D130" s="953"/>
      <c r="E130" s="537"/>
      <c r="F130" s="1066"/>
      <c r="G130" s="1225" t="s">
        <v>2612</v>
      </c>
      <c r="H130" s="1226"/>
      <c r="I130" s="1226"/>
      <c r="J130" s="1226"/>
      <c r="K130" s="1226"/>
      <c r="L130" s="2750" t="s">
        <v>1754</v>
      </c>
      <c r="M130" s="2752"/>
      <c r="N130" s="2752"/>
      <c r="O130" s="2734"/>
    </row>
    <row r="131" spans="2:15" ht="27.75" hidden="1" customHeight="1">
      <c r="D131" s="953"/>
      <c r="E131" s="537"/>
      <c r="F131" s="1066"/>
      <c r="G131" s="2887" t="s">
        <v>710</v>
      </c>
      <c r="H131" s="2759"/>
      <c r="I131" s="2759"/>
      <c r="J131" s="2759"/>
      <c r="K131" s="2760"/>
      <c r="L131" s="2750" t="s">
        <v>711</v>
      </c>
      <c r="M131" s="2752"/>
      <c r="N131" s="2752"/>
      <c r="O131" s="2734"/>
    </row>
    <row r="132" spans="2:15" ht="27.75" hidden="1" customHeight="1">
      <c r="D132" s="953"/>
      <c r="E132" s="537"/>
      <c r="F132" s="1066"/>
      <c r="G132" s="2887" t="s">
        <v>2613</v>
      </c>
      <c r="H132" s="2759"/>
      <c r="I132" s="2759"/>
      <c r="J132" s="2759"/>
      <c r="K132" s="2760"/>
      <c r="L132" s="2750" t="s">
        <v>506</v>
      </c>
      <c r="M132" s="2752"/>
      <c r="N132" s="2752"/>
      <c r="O132" s="2734"/>
    </row>
    <row r="133" spans="2:15" ht="27.75" hidden="1" customHeight="1">
      <c r="D133" s="953"/>
      <c r="E133" s="537"/>
      <c r="F133" s="1066"/>
      <c r="G133" s="1225" t="s">
        <v>507</v>
      </c>
      <c r="H133" s="1226"/>
      <c r="I133" s="1226"/>
      <c r="J133" s="1226"/>
      <c r="K133" s="1226"/>
      <c r="L133" s="2750" t="s">
        <v>712</v>
      </c>
      <c r="M133" s="2752"/>
      <c r="N133" s="2752"/>
      <c r="O133" s="2734"/>
    </row>
    <row r="134" spans="2:15" ht="27.75" hidden="1" customHeight="1">
      <c r="D134" s="953"/>
      <c r="E134" s="537"/>
      <c r="F134" s="1066"/>
      <c r="G134" s="1225" t="s">
        <v>508</v>
      </c>
      <c r="H134" s="1226"/>
      <c r="I134" s="1226"/>
      <c r="J134" s="1226"/>
      <c r="K134" s="1226"/>
      <c r="L134" s="2750" t="s">
        <v>124</v>
      </c>
      <c r="M134" s="2752"/>
      <c r="N134" s="2752"/>
      <c r="O134" s="2734"/>
    </row>
    <row r="135" spans="2:15" ht="27.75" hidden="1" customHeight="1">
      <c r="D135" s="953"/>
      <c r="E135" s="537"/>
      <c r="F135" s="1066"/>
      <c r="G135" s="1225" t="s">
        <v>125</v>
      </c>
      <c r="H135" s="1226"/>
      <c r="I135" s="1226"/>
      <c r="J135" s="1226"/>
      <c r="K135" s="1226"/>
      <c r="L135" s="2750" t="s">
        <v>1615</v>
      </c>
      <c r="M135" s="2752"/>
      <c r="N135" s="2752"/>
      <c r="O135" s="2734"/>
    </row>
    <row r="136" spans="2:15" ht="27.75" hidden="1" customHeight="1">
      <c r="D136" s="953"/>
      <c r="E136" s="537"/>
      <c r="F136" s="1066"/>
      <c r="G136" s="1225" t="s">
        <v>1616</v>
      </c>
      <c r="H136" s="1226"/>
      <c r="I136" s="1226"/>
      <c r="J136" s="1226"/>
      <c r="K136" s="1226"/>
      <c r="L136" s="2750" t="s">
        <v>1617</v>
      </c>
      <c r="M136" s="2752"/>
      <c r="N136" s="2752"/>
      <c r="O136" s="2734"/>
    </row>
    <row r="137" spans="2:15" ht="27.75" hidden="1" customHeight="1" thickBot="1">
      <c r="D137" s="953"/>
      <c r="E137" s="537"/>
      <c r="F137" s="1073"/>
      <c r="G137" s="1225" t="s">
        <v>1618</v>
      </c>
      <c r="H137" s="1226"/>
      <c r="I137" s="1226"/>
      <c r="J137" s="1226"/>
      <c r="K137" s="1226"/>
      <c r="L137" s="2750" t="s">
        <v>1619</v>
      </c>
      <c r="M137" s="2752"/>
      <c r="N137" s="2752"/>
      <c r="O137" s="2734"/>
    </row>
    <row r="138" spans="2:15" ht="15.75" hidden="1">
      <c r="D138" s="953"/>
      <c r="E138" s="537"/>
      <c r="F138" s="1208" t="s">
        <v>1620</v>
      </c>
      <c r="G138" s="1227">
        <f>COUNTIF(F125:F137,"○")</f>
        <v>4</v>
      </c>
      <c r="H138" s="1227"/>
      <c r="I138" s="1227"/>
      <c r="J138" s="1210"/>
      <c r="K138" s="1210"/>
      <c r="L138" s="1210"/>
      <c r="M138" s="1210"/>
      <c r="N138" s="1211"/>
      <c r="O138" s="1220"/>
    </row>
    <row r="139" spans="2:15" ht="14.25" thickBot="1">
      <c r="F139" s="1159"/>
      <c r="G139" s="1159"/>
      <c r="H139" s="1159"/>
      <c r="I139" s="1159"/>
      <c r="J139" s="1159"/>
      <c r="K139" s="1159"/>
      <c r="L139" s="1159"/>
      <c r="M139" s="1159"/>
      <c r="N139" s="1159"/>
      <c r="O139" s="1159"/>
    </row>
    <row r="140" spans="2:15" ht="14.25" hidden="1" thickBot="1">
      <c r="B140" s="1228" t="s">
        <v>713</v>
      </c>
      <c r="F140" s="1175" t="s">
        <v>2682</v>
      </c>
      <c r="G140" s="1037"/>
      <c r="H140" s="1196"/>
      <c r="I140" s="1197"/>
      <c r="J140" s="1197"/>
      <c r="K140" s="1037"/>
      <c r="L140" s="1159"/>
      <c r="M140" s="1159"/>
      <c r="N140" s="1037"/>
      <c r="O140" s="1159"/>
    </row>
    <row r="141" spans="2:15" ht="14.25" hidden="1" thickBot="1">
      <c r="F141" s="1229" t="s">
        <v>1621</v>
      </c>
      <c r="G141" s="2825" t="s">
        <v>714</v>
      </c>
      <c r="H141" s="2827"/>
      <c r="I141" s="2878" t="s">
        <v>715</v>
      </c>
      <c r="J141" s="2878"/>
      <c r="K141" s="2878"/>
      <c r="L141" s="2878"/>
      <c r="M141" s="2878"/>
      <c r="N141" s="1037"/>
      <c r="O141" s="1159"/>
    </row>
    <row r="142" spans="2:15" ht="14.25" hidden="1" thickBot="1">
      <c r="F142" s="1229" t="s">
        <v>1622</v>
      </c>
      <c r="G142" s="2825" t="s">
        <v>2021</v>
      </c>
      <c r="H142" s="2827"/>
      <c r="I142" s="2878" t="s">
        <v>690</v>
      </c>
      <c r="J142" s="2878"/>
      <c r="K142" s="2878"/>
      <c r="L142" s="2878"/>
      <c r="M142" s="2878"/>
      <c r="N142" s="1037"/>
      <c r="O142" s="1159"/>
    </row>
    <row r="143" spans="2:15" ht="14.25" hidden="1" thickBot="1">
      <c r="F143" s="1229" t="s">
        <v>1623</v>
      </c>
      <c r="G143" s="2825" t="s">
        <v>691</v>
      </c>
      <c r="H143" s="2827"/>
      <c r="I143" s="2878" t="s">
        <v>692</v>
      </c>
      <c r="J143" s="2878"/>
      <c r="K143" s="2878"/>
      <c r="L143" s="2878"/>
      <c r="M143" s="2878"/>
      <c r="N143" s="1037"/>
      <c r="O143" s="1159"/>
    </row>
    <row r="144" spans="2:15" ht="14.25" thickBot="1">
      <c r="B144" s="1147" t="s">
        <v>778</v>
      </c>
      <c r="F144" s="1037" t="s">
        <v>3150</v>
      </c>
      <c r="G144" s="2448"/>
      <c r="H144" s="2448"/>
      <c r="I144" s="2821" t="s">
        <v>1842</v>
      </c>
      <c r="J144" s="2822"/>
      <c r="K144" s="2823"/>
      <c r="L144" s="1197" t="s">
        <v>3197</v>
      </c>
      <c r="M144" s="1197"/>
      <c r="N144" s="1037"/>
      <c r="O144" s="2448"/>
    </row>
    <row r="145" spans="6:15" ht="14.25" thickBot="1">
      <c r="F145" s="1179">
        <f>IF(H124=$T$4,F124,ROUND(IF(G157&lt;=1,2,IF(G157&lt;=4,3,IF(G157&lt;=8,4,IF(G157&gt;=9,5)))),0))</f>
        <v>3</v>
      </c>
      <c r="G145" s="568" t="s">
        <v>1736</v>
      </c>
      <c r="H145" s="568" t="s">
        <v>3198</v>
      </c>
      <c r="I145" s="1180"/>
      <c r="J145" s="1180"/>
      <c r="K145" s="1240" t="s">
        <v>1737</v>
      </c>
      <c r="L145" s="568" t="s">
        <v>3198</v>
      </c>
      <c r="M145" s="1180"/>
      <c r="N145" s="1180"/>
      <c r="O145" s="1125" t="s">
        <v>1737</v>
      </c>
    </row>
    <row r="146" spans="6:15" ht="30.75" customHeight="1">
      <c r="F146" s="1221">
        <v>1</v>
      </c>
      <c r="G146" s="568" t="s">
        <v>377</v>
      </c>
      <c r="H146" s="2856" t="s">
        <v>3183</v>
      </c>
      <c r="I146" s="2857"/>
      <c r="J146" s="2858"/>
      <c r="K146" s="1240">
        <v>1</v>
      </c>
      <c r="L146" s="2856" t="s">
        <v>3184</v>
      </c>
      <c r="M146" s="2857"/>
      <c r="N146" s="2858"/>
      <c r="O146" s="2452">
        <v>1</v>
      </c>
    </row>
    <row r="147" spans="6:15" ht="33.75" customHeight="1">
      <c r="F147" s="1222">
        <v>3</v>
      </c>
      <c r="G147" s="1230" t="s">
        <v>378</v>
      </c>
      <c r="H147" s="2898" t="s">
        <v>3185</v>
      </c>
      <c r="I147" s="2855"/>
      <c r="J147" s="2751"/>
      <c r="K147" s="1217">
        <v>3</v>
      </c>
      <c r="L147" s="2854" t="s">
        <v>2845</v>
      </c>
      <c r="M147" s="2855"/>
      <c r="N147" s="2751"/>
      <c r="O147" s="1335" t="s">
        <v>2845</v>
      </c>
    </row>
    <row r="148" spans="6:15" ht="29.25" customHeight="1">
      <c r="F148" s="1222">
        <v>0</v>
      </c>
      <c r="G148" s="1231"/>
      <c r="H148" s="2854" t="s">
        <v>3186</v>
      </c>
      <c r="I148" s="2855"/>
      <c r="J148" s="2751"/>
      <c r="K148" s="1217">
        <v>3</v>
      </c>
      <c r="L148" s="2854" t="s">
        <v>2845</v>
      </c>
      <c r="M148" s="2855"/>
      <c r="N148" s="2751"/>
      <c r="O148" s="1217" t="s">
        <v>2845</v>
      </c>
    </row>
    <row r="149" spans="6:15" ht="27.75" customHeight="1">
      <c r="F149" s="1222">
        <v>2</v>
      </c>
      <c r="G149" s="1231"/>
      <c r="H149" s="2854" t="s">
        <v>2845</v>
      </c>
      <c r="I149" s="2855"/>
      <c r="J149" s="2751"/>
      <c r="K149" s="1217" t="s">
        <v>2845</v>
      </c>
      <c r="L149" s="2854" t="s">
        <v>3187</v>
      </c>
      <c r="M149" s="2855"/>
      <c r="N149" s="2751"/>
      <c r="O149" s="1217">
        <v>2</v>
      </c>
    </row>
    <row r="150" spans="6:15" ht="28.5" customHeight="1">
      <c r="F150" s="1222">
        <v>0</v>
      </c>
      <c r="G150" s="1232"/>
      <c r="H150" s="2856" t="s">
        <v>2845</v>
      </c>
      <c r="I150" s="2857"/>
      <c r="J150" s="2858"/>
      <c r="K150" s="1240" t="s">
        <v>2845</v>
      </c>
      <c r="L150" s="2856" t="s">
        <v>3188</v>
      </c>
      <c r="M150" s="2857"/>
      <c r="N150" s="2858"/>
      <c r="O150" s="1240">
        <v>1</v>
      </c>
    </row>
    <row r="151" spans="6:15" ht="28.5" customHeight="1">
      <c r="F151" s="1222">
        <v>0</v>
      </c>
      <c r="G151" s="1230" t="s">
        <v>379</v>
      </c>
      <c r="H151" s="2865" t="s">
        <v>3189</v>
      </c>
      <c r="I151" s="2866"/>
      <c r="J151" s="2867"/>
      <c r="K151" s="1335">
        <v>1</v>
      </c>
      <c r="L151" s="2865" t="s">
        <v>3190</v>
      </c>
      <c r="M151" s="2866"/>
      <c r="N151" s="2867"/>
      <c r="O151" s="1335">
        <v>1</v>
      </c>
    </row>
    <row r="152" spans="6:15" ht="53.25" customHeight="1">
      <c r="F152" s="1222">
        <v>0</v>
      </c>
      <c r="G152" s="1231"/>
      <c r="H152" s="2854" t="s">
        <v>3191</v>
      </c>
      <c r="I152" s="2855"/>
      <c r="J152" s="2751"/>
      <c r="K152" s="1217">
        <v>2</v>
      </c>
      <c r="L152" s="2854" t="s">
        <v>3192</v>
      </c>
      <c r="M152" s="2855"/>
      <c r="N152" s="2751"/>
      <c r="O152" s="1217">
        <v>2</v>
      </c>
    </row>
    <row r="153" spans="6:15" ht="40.5" customHeight="1">
      <c r="F153" s="1222">
        <v>1</v>
      </c>
      <c r="G153" s="1232"/>
      <c r="H153" s="2856" t="s">
        <v>2845</v>
      </c>
      <c r="I153" s="2857"/>
      <c r="J153" s="2858"/>
      <c r="K153" s="1240">
        <v>1</v>
      </c>
      <c r="L153" s="2856" t="s">
        <v>3193</v>
      </c>
      <c r="M153" s="2857"/>
      <c r="N153" s="2858"/>
      <c r="O153" s="1240">
        <v>1</v>
      </c>
    </row>
    <row r="154" spans="6:15" ht="28.5" customHeight="1">
      <c r="F154" s="1222">
        <v>0</v>
      </c>
      <c r="G154" s="1230" t="s">
        <v>1738</v>
      </c>
      <c r="H154" s="2865" t="s">
        <v>580</v>
      </c>
      <c r="I154" s="2866"/>
      <c r="J154" s="2867"/>
      <c r="K154" s="1335">
        <v>1</v>
      </c>
      <c r="L154" s="2865" t="s">
        <v>3194</v>
      </c>
      <c r="M154" s="2866"/>
      <c r="N154" s="2867"/>
      <c r="O154" s="1335">
        <v>1</v>
      </c>
    </row>
    <row r="155" spans="6:15" ht="28.5" customHeight="1">
      <c r="F155" s="1222">
        <v>0</v>
      </c>
      <c r="G155" s="1232"/>
      <c r="H155" s="2856" t="s">
        <v>2845</v>
      </c>
      <c r="I155" s="2857"/>
      <c r="J155" s="2858"/>
      <c r="K155" s="1240">
        <v>1</v>
      </c>
      <c r="L155" s="2856" t="s">
        <v>3195</v>
      </c>
      <c r="M155" s="2857"/>
      <c r="N155" s="2858"/>
      <c r="O155" s="1240">
        <v>1</v>
      </c>
    </row>
    <row r="156" spans="6:15" ht="28.5" customHeight="1" thickBot="1">
      <c r="F156" s="1223">
        <v>0</v>
      </c>
      <c r="G156" s="568" t="s">
        <v>581</v>
      </c>
      <c r="H156" s="2856" t="s">
        <v>582</v>
      </c>
      <c r="I156" s="2857"/>
      <c r="J156" s="2858"/>
      <c r="K156" s="1219">
        <v>2</v>
      </c>
      <c r="L156" s="2856" t="s">
        <v>3196</v>
      </c>
      <c r="M156" s="2857"/>
      <c r="N156" s="2858"/>
      <c r="O156" s="2451">
        <v>2</v>
      </c>
    </row>
    <row r="157" spans="6:15" ht="28.5" customHeight="1">
      <c r="F157" s="1208" t="s">
        <v>1304</v>
      </c>
      <c r="G157" s="1227">
        <f>IF($I$144=$V$4,SUM(F146:F148,F151:F152,F154,F156),SUM(F146,F149:F156))</f>
        <v>4</v>
      </c>
      <c r="H157" s="1227"/>
      <c r="I157" s="1209"/>
      <c r="J157" s="1210"/>
      <c r="K157" s="1220"/>
      <c r="L157" s="1211"/>
      <c r="M157" s="1210"/>
      <c r="N157" s="1211"/>
      <c r="O157" s="1220"/>
    </row>
    <row r="158" spans="6:15">
      <c r="F158" s="1148" t="s">
        <v>489</v>
      </c>
      <c r="G158" s="1037"/>
      <c r="H158" s="1037"/>
      <c r="I158" s="1037"/>
      <c r="J158" s="1037"/>
      <c r="K158" s="1037"/>
      <c r="L158" s="1037"/>
      <c r="M158" s="1037"/>
      <c r="N158" s="1037"/>
      <c r="O158" s="1159"/>
    </row>
    <row r="159" spans="6:15">
      <c r="F159" s="1149" t="s">
        <v>2851</v>
      </c>
      <c r="G159" s="1150"/>
      <c r="H159" s="1149" t="s">
        <v>583</v>
      </c>
      <c r="I159" s="1150"/>
      <c r="J159" s="1150"/>
      <c r="K159" s="1150"/>
      <c r="L159" s="1150"/>
      <c r="M159" s="1150"/>
      <c r="N159" s="1151"/>
      <c r="O159" s="1159"/>
    </row>
    <row r="160" spans="6:15">
      <c r="F160" s="1149" t="s">
        <v>3199</v>
      </c>
      <c r="G160" s="1150"/>
      <c r="H160" s="1149" t="s">
        <v>3200</v>
      </c>
      <c r="I160" s="1150"/>
      <c r="J160" s="1150"/>
      <c r="K160" s="1150"/>
      <c r="L160" s="1150"/>
      <c r="M160" s="1150"/>
      <c r="N160" s="1151"/>
      <c r="O160" s="1159"/>
    </row>
    <row r="161" spans="2:15" ht="41.25" customHeight="1">
      <c r="F161" s="1143" t="s">
        <v>584</v>
      </c>
      <c r="G161" s="2455"/>
      <c r="H161" s="2828" t="s">
        <v>3201</v>
      </c>
      <c r="I161" s="2829"/>
      <c r="J161" s="2825" t="s">
        <v>3202</v>
      </c>
      <c r="K161" s="2826"/>
      <c r="L161" s="2826"/>
      <c r="M161" s="2826"/>
      <c r="N161" s="2827"/>
      <c r="O161" s="1159"/>
    </row>
    <row r="162" spans="2:15" ht="36.75" customHeight="1">
      <c r="F162" s="2454"/>
      <c r="G162" s="2456"/>
      <c r="H162" s="2825" t="s">
        <v>3205</v>
      </c>
      <c r="I162" s="2827"/>
      <c r="J162" s="2825" t="s">
        <v>3203</v>
      </c>
      <c r="K162" s="2830"/>
      <c r="L162" s="2830"/>
      <c r="M162" s="2830"/>
      <c r="N162" s="2831"/>
      <c r="O162" s="1159"/>
    </row>
    <row r="163" spans="2:15">
      <c r="F163" s="1149" t="s">
        <v>585</v>
      </c>
      <c r="G163" s="1150"/>
      <c r="H163" s="1085" t="s">
        <v>3204</v>
      </c>
      <c r="I163" s="1149"/>
      <c r="J163" s="1150"/>
      <c r="K163" s="1150"/>
      <c r="L163" s="1150"/>
      <c r="M163" s="1150"/>
      <c r="N163" s="1151"/>
      <c r="O163" s="1159"/>
    </row>
    <row r="164" spans="2:15">
      <c r="F164" s="1149" t="s">
        <v>586</v>
      </c>
      <c r="G164" s="1150"/>
      <c r="H164" s="1085" t="s">
        <v>3206</v>
      </c>
      <c r="I164" s="1149"/>
      <c r="J164" s="1150"/>
      <c r="K164" s="1150"/>
      <c r="L164" s="1150"/>
      <c r="M164" s="1150"/>
      <c r="N164" s="1151"/>
      <c r="O164" s="1159"/>
    </row>
    <row r="165" spans="2:15" ht="30.75" customHeight="1">
      <c r="F165" s="1149" t="s">
        <v>587</v>
      </c>
      <c r="G165" s="2453"/>
      <c r="H165" s="2825" t="s">
        <v>3207</v>
      </c>
      <c r="I165" s="2826"/>
      <c r="J165" s="2826"/>
      <c r="K165" s="2826"/>
      <c r="L165" s="2826"/>
      <c r="M165" s="2826"/>
      <c r="N165" s="2827"/>
      <c r="O165" s="1159"/>
    </row>
    <row r="166" spans="2:15" ht="15.75">
      <c r="D166" s="953"/>
      <c r="E166" s="537"/>
      <c r="F166" s="1037"/>
      <c r="G166" s="1037"/>
      <c r="H166" s="1037"/>
      <c r="I166" s="1037"/>
      <c r="J166" s="1037"/>
      <c r="K166" s="1080"/>
      <c r="L166" s="1080"/>
      <c r="M166" s="1004"/>
      <c r="N166" s="1004"/>
      <c r="O166" s="1004"/>
    </row>
    <row r="167" spans="2:15" ht="15.75">
      <c r="B167" s="1147" t="s">
        <v>778</v>
      </c>
      <c r="D167" s="953"/>
      <c r="E167" s="537"/>
      <c r="F167" s="1121" t="s">
        <v>588</v>
      </c>
      <c r="G167" s="1038"/>
      <c r="H167" s="1083"/>
      <c r="I167" s="1004"/>
      <c r="J167" s="1041" t="str">
        <f>IF(OR(F169=0,J168=0),$R$3,"")</f>
        <v/>
      </c>
      <c r="K167" s="1159"/>
      <c r="L167" s="1159"/>
      <c r="M167" s="1159"/>
      <c r="N167" s="1004"/>
      <c r="O167" s="1004"/>
    </row>
    <row r="168" spans="2:15" ht="16.5" thickBot="1">
      <c r="D168" s="953"/>
      <c r="E168" s="537"/>
      <c r="F168" s="1102"/>
      <c r="G168" s="966"/>
      <c r="H168" s="967"/>
      <c r="I168" s="968" t="s">
        <v>1358</v>
      </c>
      <c r="J168" s="969">
        <f>重み!M74</f>
        <v>0.2</v>
      </c>
      <c r="K168" s="1103"/>
      <c r="L168" s="968" t="s">
        <v>1315</v>
      </c>
      <c r="M168" s="1182">
        <f>メイン!$J$66</f>
        <v>14500</v>
      </c>
      <c r="N168" s="1183"/>
      <c r="O168" s="1184"/>
    </row>
    <row r="169" spans="2:15" ht="16.5" thickBot="1">
      <c r="D169" s="953"/>
      <c r="E169" s="958"/>
      <c r="F169" s="1042">
        <f>IF(J168=0,0,F177)</f>
        <v>3</v>
      </c>
      <c r="G169" s="1084" t="s">
        <v>911</v>
      </c>
      <c r="H169" s="977"/>
      <c r="I169" s="977"/>
      <c r="J169" s="978"/>
      <c r="K169" s="977"/>
      <c r="L169" s="977"/>
      <c r="M169" s="977"/>
      <c r="N169" s="1186" t="s">
        <v>1316</v>
      </c>
      <c r="O169" s="1089"/>
    </row>
    <row r="170" spans="2:15" ht="15.75" customHeight="1">
      <c r="D170" s="953"/>
      <c r="E170" s="142"/>
      <c r="F170" s="979" t="str">
        <f>IF(F169=$S$15,$T$10,IF(ROUNDDOWN(F169,0)=$S$10,$U$10,$T$10))</f>
        <v>　レベル　1</v>
      </c>
      <c r="G170" s="1187" t="s">
        <v>3104</v>
      </c>
      <c r="H170" s="1188"/>
      <c r="I170" s="1188"/>
      <c r="J170" s="1188"/>
      <c r="K170" s="1188"/>
      <c r="L170" s="1188"/>
      <c r="M170" s="1188"/>
      <c r="N170" s="2875" t="s">
        <v>3145</v>
      </c>
      <c r="O170" s="2862"/>
    </row>
    <row r="171" spans="2:15" ht="15.75">
      <c r="D171" s="953"/>
      <c r="E171" s="142"/>
      <c r="F171" s="984" t="str">
        <f>IF(F169=$S$15,$T$11,IF(ROUNDDOWN(F169,0)=$S$11,$U$11,$T$11))</f>
        <v>　レベル　2</v>
      </c>
      <c r="G171" s="988" t="s">
        <v>3208</v>
      </c>
      <c r="H171" s="1191"/>
      <c r="I171" s="1191"/>
      <c r="J171" s="1191"/>
      <c r="K171" s="1191"/>
      <c r="L171" s="1191"/>
      <c r="M171" s="1191"/>
      <c r="N171" s="2876"/>
      <c r="O171" s="2862"/>
    </row>
    <row r="172" spans="2:15" ht="15.75">
      <c r="D172" s="953"/>
      <c r="E172" s="142"/>
      <c r="F172" s="984" t="str">
        <f>IF(F169=$S$15,$T$12,IF(ROUNDDOWN(F169,0)=$S$12,$U$12,$T$12))</f>
        <v>■レベル　3</v>
      </c>
      <c r="G172" s="988" t="s">
        <v>912</v>
      </c>
      <c r="H172" s="1191"/>
      <c r="I172" s="1191"/>
      <c r="J172" s="1191"/>
      <c r="K172" s="1191"/>
      <c r="L172" s="1191"/>
      <c r="M172" s="1191"/>
      <c r="N172" s="2876"/>
      <c r="O172" s="2862"/>
    </row>
    <row r="173" spans="2:15" ht="15.75">
      <c r="D173" s="953"/>
      <c r="E173" s="142"/>
      <c r="F173" s="984" t="str">
        <f>IF(F169=$S$15,$T$13,IF(ROUNDDOWN(F169,0)=$S$13,$U$13,$T$13))</f>
        <v>　レベル　4</v>
      </c>
      <c r="G173" s="1190" t="s">
        <v>913</v>
      </c>
      <c r="H173" s="1191"/>
      <c r="I173" s="1191"/>
      <c r="J173" s="1191"/>
      <c r="K173" s="1191"/>
      <c r="L173" s="1191"/>
      <c r="M173" s="1191"/>
      <c r="N173" s="2876"/>
      <c r="O173" s="2862"/>
    </row>
    <row r="174" spans="2:15" ht="15.75">
      <c r="D174" s="953"/>
      <c r="E174" s="142"/>
      <c r="F174" s="995" t="str">
        <f>IF(F169=$S$15,$T$14,IF(ROUNDDOWN(F169,0)=$S$14,$U$14,$T$14))</f>
        <v>　レベル　5</v>
      </c>
      <c r="G174" s="1193" t="s">
        <v>914</v>
      </c>
      <c r="H174" s="1194"/>
      <c r="I174" s="1194"/>
      <c r="J174" s="1194"/>
      <c r="K174" s="1194"/>
      <c r="L174" s="1194"/>
      <c r="M174" s="1194"/>
      <c r="N174" s="2877"/>
      <c r="O174" s="2864"/>
    </row>
    <row r="175" spans="2:15" ht="16.5" thickBot="1">
      <c r="D175" s="953"/>
      <c r="E175" s="142"/>
      <c r="F175" s="1175" t="s">
        <v>2682</v>
      </c>
      <c r="G175" s="1233"/>
      <c r="H175" s="1233"/>
      <c r="I175" s="1037"/>
      <c r="J175" s="1233"/>
      <c r="K175" s="1233"/>
      <c r="L175" s="1233"/>
      <c r="M175" s="1233"/>
      <c r="N175" s="1233"/>
      <c r="O175" s="1233"/>
    </row>
    <row r="176" spans="2:15" ht="16.5" thickBot="1">
      <c r="D176" s="953"/>
      <c r="E176" s="142"/>
      <c r="F176" s="972">
        <v>3</v>
      </c>
      <c r="G176" s="1234" t="s">
        <v>2670</v>
      </c>
      <c r="H176" s="1177"/>
      <c r="I176" s="1004"/>
      <c r="J176" s="1235"/>
      <c r="K176" s="1236"/>
      <c r="L176" s="1235"/>
      <c r="M176" s="1235"/>
      <c r="N176" s="1178"/>
      <c r="O176" s="1236"/>
    </row>
    <row r="177" spans="2:15" ht="16.5" thickBot="1">
      <c r="B177" s="1">
        <v>1</v>
      </c>
      <c r="C177" s="1">
        <v>1</v>
      </c>
      <c r="D177" s="953"/>
      <c r="E177" s="142"/>
      <c r="F177" s="1179">
        <f>IF(H176=$T$4,F176,IF(SUM(F178,F181,F184)&lt;0,2,ROUND((IF(G187=0,3,IF(G187&lt;=2,4,5))),0)))</f>
        <v>3</v>
      </c>
      <c r="G177" s="1180" t="s">
        <v>1736</v>
      </c>
      <c r="H177" s="1180"/>
      <c r="I177" s="568" t="s">
        <v>376</v>
      </c>
      <c r="J177" s="1180"/>
      <c r="K177" s="1180"/>
      <c r="L177" s="568" t="s">
        <v>3209</v>
      </c>
      <c r="M177" s="1180"/>
      <c r="N177" s="1180"/>
      <c r="O177" s="1213" t="s">
        <v>3221</v>
      </c>
    </row>
    <row r="178" spans="2:15" ht="27" customHeight="1">
      <c r="B178" s="1">
        <v>2</v>
      </c>
      <c r="C178" s="1">
        <v>2</v>
      </c>
      <c r="D178" s="953"/>
      <c r="E178" s="142"/>
      <c r="F178" s="1237">
        <v>0</v>
      </c>
      <c r="G178" s="2869" t="s">
        <v>915</v>
      </c>
      <c r="H178" s="2870"/>
      <c r="I178" s="2865" t="s">
        <v>916</v>
      </c>
      <c r="J178" s="2866"/>
      <c r="K178" s="2867"/>
      <c r="L178" s="2865" t="s">
        <v>3210</v>
      </c>
      <c r="M178" s="2866"/>
      <c r="N178" s="2867"/>
      <c r="O178" s="1238" t="s">
        <v>3222</v>
      </c>
    </row>
    <row r="179" spans="2:15" ht="63.75" customHeight="1">
      <c r="B179" s="1">
        <v>3</v>
      </c>
      <c r="C179" s="1">
        <v>3</v>
      </c>
      <c r="D179" s="953"/>
      <c r="E179" s="142"/>
      <c r="F179" s="2852">
        <v>0</v>
      </c>
      <c r="G179" s="2871"/>
      <c r="H179" s="2872"/>
      <c r="I179" s="2854" t="s">
        <v>917</v>
      </c>
      <c r="J179" s="2855"/>
      <c r="K179" s="2751"/>
      <c r="L179" s="2854" t="s">
        <v>3211</v>
      </c>
      <c r="M179" s="2855"/>
      <c r="N179" s="2751"/>
      <c r="O179" s="1239">
        <v>0</v>
      </c>
    </row>
    <row r="180" spans="2:15" ht="27" customHeight="1">
      <c r="B180" s="1">
        <v>4</v>
      </c>
      <c r="C180" s="1">
        <v>4</v>
      </c>
      <c r="D180" s="953"/>
      <c r="E180" s="142"/>
      <c r="F180" s="2868"/>
      <c r="G180" s="2873"/>
      <c r="H180" s="2874"/>
      <c r="I180" s="2856" t="s">
        <v>918</v>
      </c>
      <c r="J180" s="2857"/>
      <c r="K180" s="2858"/>
      <c r="L180" s="2856" t="s">
        <v>3212</v>
      </c>
      <c r="M180" s="2857"/>
      <c r="N180" s="2858"/>
      <c r="O180" s="1240">
        <v>1</v>
      </c>
    </row>
    <row r="181" spans="2:15" ht="27" customHeight="1">
      <c r="B181" s="1">
        <v>5</v>
      </c>
      <c r="C181" s="1">
        <v>5</v>
      </c>
      <c r="D181" s="953"/>
      <c r="E181" s="142"/>
      <c r="F181" s="1241">
        <v>0</v>
      </c>
      <c r="G181" s="2869" t="s">
        <v>919</v>
      </c>
      <c r="H181" s="2870"/>
      <c r="I181" s="2865" t="s">
        <v>920</v>
      </c>
      <c r="J181" s="2866"/>
      <c r="K181" s="2867"/>
      <c r="L181" s="2865" t="s">
        <v>3213</v>
      </c>
      <c r="M181" s="2866"/>
      <c r="N181" s="2867"/>
      <c r="O181" s="1238" t="s">
        <v>3222</v>
      </c>
    </row>
    <row r="182" spans="2:15" ht="59.25" customHeight="1">
      <c r="B182" s="1002">
        <v>0</v>
      </c>
      <c r="C182" s="1002">
        <v>0</v>
      </c>
      <c r="D182" s="953"/>
      <c r="E182" s="142"/>
      <c r="F182" s="2852">
        <v>0</v>
      </c>
      <c r="G182" s="2871"/>
      <c r="H182" s="2872"/>
      <c r="I182" s="2854" t="s">
        <v>3214</v>
      </c>
      <c r="J182" s="2855"/>
      <c r="K182" s="2751"/>
      <c r="L182" s="2854" t="s">
        <v>3215</v>
      </c>
      <c r="M182" s="2855"/>
      <c r="N182" s="2751"/>
      <c r="O182" s="1239">
        <v>0</v>
      </c>
    </row>
    <row r="183" spans="2:15" ht="27" customHeight="1">
      <c r="D183" s="953"/>
      <c r="E183" s="142"/>
      <c r="F183" s="2868"/>
      <c r="G183" s="2873"/>
      <c r="H183" s="2874"/>
      <c r="I183" s="2856" t="s">
        <v>918</v>
      </c>
      <c r="J183" s="2857"/>
      <c r="K183" s="2858"/>
      <c r="L183" s="2856" t="s">
        <v>3216</v>
      </c>
      <c r="M183" s="2857"/>
      <c r="N183" s="2858"/>
      <c r="O183" s="1240">
        <v>1</v>
      </c>
    </row>
    <row r="184" spans="2:15" ht="27" customHeight="1">
      <c r="D184" s="953"/>
      <c r="E184" s="142"/>
      <c r="F184" s="1241">
        <v>0</v>
      </c>
      <c r="G184" s="2859" t="s">
        <v>341</v>
      </c>
      <c r="H184" s="2860"/>
      <c r="I184" s="2865" t="s">
        <v>342</v>
      </c>
      <c r="J184" s="2866"/>
      <c r="K184" s="2867"/>
      <c r="L184" s="2865" t="s">
        <v>3217</v>
      </c>
      <c r="M184" s="2866"/>
      <c r="N184" s="2867"/>
      <c r="O184" s="1238" t="s">
        <v>3222</v>
      </c>
    </row>
    <row r="185" spans="2:15" ht="59.25" customHeight="1">
      <c r="D185" s="953"/>
      <c r="E185" s="142"/>
      <c r="F185" s="2852">
        <v>0</v>
      </c>
      <c r="G185" s="2861"/>
      <c r="H185" s="2862"/>
      <c r="I185" s="2854" t="s">
        <v>343</v>
      </c>
      <c r="J185" s="2855"/>
      <c r="K185" s="2751"/>
      <c r="L185" s="2854" t="s">
        <v>3218</v>
      </c>
      <c r="M185" s="2855"/>
      <c r="N185" s="2751"/>
      <c r="O185" s="1217">
        <v>0</v>
      </c>
    </row>
    <row r="186" spans="2:15" ht="27" customHeight="1" thickBot="1">
      <c r="D186" s="953"/>
      <c r="E186" s="142"/>
      <c r="F186" s="2853"/>
      <c r="G186" s="2863"/>
      <c r="H186" s="2864"/>
      <c r="I186" s="2856" t="s">
        <v>918</v>
      </c>
      <c r="J186" s="2857"/>
      <c r="K186" s="2858"/>
      <c r="L186" s="2856" t="s">
        <v>3219</v>
      </c>
      <c r="M186" s="2857"/>
      <c r="N186" s="2858"/>
      <c r="O186" s="1219">
        <v>1</v>
      </c>
    </row>
    <row r="187" spans="2:15" ht="15.75">
      <c r="D187" s="953"/>
      <c r="E187" s="142"/>
      <c r="F187" s="1208" t="s">
        <v>3220</v>
      </c>
      <c r="G187" s="2824">
        <f>SUM(F178:F186)</f>
        <v>0</v>
      </c>
      <c r="H187" s="2824"/>
      <c r="I187" s="1209"/>
      <c r="J187" s="1210"/>
      <c r="K187" s="1210"/>
      <c r="L187" s="1211"/>
      <c r="M187" s="1210"/>
      <c r="N187" s="1211"/>
      <c r="O187" s="1220"/>
    </row>
    <row r="188" spans="2:15" ht="15.75">
      <c r="D188" s="953"/>
      <c r="E188" s="142"/>
      <c r="F188" s="1037"/>
      <c r="G188" s="451"/>
      <c r="H188" s="1037"/>
      <c r="I188" s="1196"/>
      <c r="J188" s="1197"/>
      <c r="K188" s="1197"/>
      <c r="L188" s="1037"/>
      <c r="M188" s="1037"/>
      <c r="N188" s="1037"/>
      <c r="O188" s="1037"/>
    </row>
    <row r="189" spans="2:15" ht="15.75">
      <c r="D189" s="949">
        <v>2</v>
      </c>
      <c r="E189" s="958" t="s">
        <v>344</v>
      </c>
      <c r="F189" s="1083"/>
      <c r="G189" s="1083"/>
      <c r="H189" s="1083"/>
      <c r="I189" s="1083"/>
      <c r="J189" s="1083"/>
      <c r="K189" s="1083"/>
      <c r="L189" s="1083"/>
      <c r="M189" s="1083"/>
      <c r="N189" s="1083"/>
      <c r="O189" s="1083"/>
    </row>
    <row r="190" spans="2:15" ht="15.75">
      <c r="D190" s="949">
        <v>2.1</v>
      </c>
      <c r="E190" s="958" t="s">
        <v>345</v>
      </c>
      <c r="F190" s="1083"/>
      <c r="G190" s="1038"/>
      <c r="H190" s="1083"/>
      <c r="I190" s="1159"/>
      <c r="J190" s="1083"/>
      <c r="K190" s="1083"/>
      <c r="L190" s="1038"/>
      <c r="M190" s="1083"/>
      <c r="N190" s="1083"/>
      <c r="O190" s="1083"/>
    </row>
    <row r="191" spans="2:15" ht="15.75">
      <c r="D191" s="953"/>
      <c r="E191" s="155"/>
      <c r="F191" s="1121" t="s">
        <v>346</v>
      </c>
      <c r="G191" s="1038"/>
      <c r="H191" s="1083"/>
      <c r="I191" s="1004"/>
      <c r="J191" s="1041" t="str">
        <f>IF(OR(F193=0,J192=0),$R$3,"")</f>
        <v/>
      </c>
      <c r="K191" s="1121" t="s">
        <v>2893</v>
      </c>
      <c r="L191" s="1038"/>
      <c r="M191" s="1083"/>
      <c r="N191" s="1004"/>
      <c r="O191" s="1041" t="str">
        <f>IF(OR(K193=0,O192=0),$R$3,"")</f>
        <v/>
      </c>
    </row>
    <row r="192" spans="2:15" ht="16.5" thickBot="1">
      <c r="D192" s="953"/>
      <c r="E192" s="155"/>
      <c r="F192" s="965"/>
      <c r="G192" s="966"/>
      <c r="H192" s="967"/>
      <c r="I192" s="968" t="s">
        <v>1358</v>
      </c>
      <c r="J192" s="971">
        <f>重み!M77</f>
        <v>0.8</v>
      </c>
      <c r="K192" s="965"/>
      <c r="L192" s="966"/>
      <c r="M192" s="967"/>
      <c r="N192" s="968" t="s">
        <v>1358</v>
      </c>
      <c r="O192" s="971">
        <f>重み!M78</f>
        <v>0.2</v>
      </c>
    </row>
    <row r="193" spans="2:15" ht="16.5" thickBot="1">
      <c r="D193" s="953"/>
      <c r="E193" s="155"/>
      <c r="F193" s="972">
        <v>3</v>
      </c>
      <c r="G193" s="2242" t="s">
        <v>31</v>
      </c>
      <c r="H193" s="977"/>
      <c r="I193" s="1084" t="s">
        <v>485</v>
      </c>
      <c r="J193" s="978"/>
      <c r="K193" s="972">
        <v>3</v>
      </c>
      <c r="L193" s="1084" t="s">
        <v>1490</v>
      </c>
      <c r="M193" s="978"/>
      <c r="N193" s="1084"/>
      <c r="O193" s="1089"/>
    </row>
    <row r="194" spans="2:15" ht="16.5" customHeight="1">
      <c r="B194" s="2624">
        <v>1</v>
      </c>
      <c r="C194" s="1" t="s">
        <v>1494</v>
      </c>
      <c r="D194" s="953"/>
      <c r="E194" s="155"/>
      <c r="F194" s="979" t="str">
        <f>IF(F193=$S$15,$T$10,IF(ROUNDDOWN(F193,0)=$S$10,$U$10,$T$10))</f>
        <v>　レベル　1</v>
      </c>
      <c r="G194" s="2731" t="s">
        <v>3223</v>
      </c>
      <c r="H194" s="2732"/>
      <c r="I194" s="2731" t="s">
        <v>3227</v>
      </c>
      <c r="J194" s="2732"/>
      <c r="K194" s="979" t="str">
        <f>IF(K193=$S$15,$T$10,IF(ROUNDDOWN(K193,0)=$S$10,$U$10,$T$10))</f>
        <v>　レベル　1</v>
      </c>
      <c r="L194" s="2731" t="s">
        <v>2168</v>
      </c>
      <c r="M194" s="2757"/>
      <c r="N194" s="2757"/>
      <c r="O194" s="2732"/>
    </row>
    <row r="195" spans="2:15" ht="30.75" customHeight="1">
      <c r="B195" s="1170">
        <v>2</v>
      </c>
      <c r="C195" s="1" t="s">
        <v>1494</v>
      </c>
      <c r="D195" s="953"/>
      <c r="E195" s="155"/>
      <c r="F195" s="984" t="str">
        <f>IF(F193=$S$15,$T$11,IF(ROUNDDOWN(F193,0)=$S$11,$U$11,$T$11))</f>
        <v>　レベル　2</v>
      </c>
      <c r="G195" s="2727" t="s">
        <v>973</v>
      </c>
      <c r="H195" s="2734"/>
      <c r="I195" s="2727" t="s">
        <v>3224</v>
      </c>
      <c r="J195" s="2734"/>
      <c r="K195" s="984" t="str">
        <f>IF(K193=$S$15,$T$11,IF(ROUNDDOWN(K193,0)=$S$11,$U$11,$T$11))</f>
        <v>　レベル　2</v>
      </c>
      <c r="L195" s="2727" t="s">
        <v>2168</v>
      </c>
      <c r="M195" s="2752"/>
      <c r="N195" s="2752"/>
      <c r="O195" s="2734"/>
    </row>
    <row r="196" spans="2:15" ht="24.75" customHeight="1">
      <c r="B196" s="1">
        <v>3</v>
      </c>
      <c r="C196" s="1">
        <v>3</v>
      </c>
      <c r="D196" s="953"/>
      <c r="E196" s="155"/>
      <c r="F196" s="984" t="str">
        <f>IF(F193=$S$15,$T$12,IF(ROUNDDOWN(F193,0)=$S$12,$U$12,$T$12))</f>
        <v>■レベル　3</v>
      </c>
      <c r="G196" s="2727" t="s">
        <v>348</v>
      </c>
      <c r="H196" s="2734"/>
      <c r="I196" s="2727" t="s">
        <v>3225</v>
      </c>
      <c r="J196" s="2734"/>
      <c r="K196" s="984" t="str">
        <f>IF(K193=$S$15,$T$12,IF(ROUNDDOWN(K193,0)=$S$12,$U$12,$T$12))</f>
        <v>■レベル　3</v>
      </c>
      <c r="L196" s="2727" t="s">
        <v>349</v>
      </c>
      <c r="M196" s="2752"/>
      <c r="N196" s="2752"/>
      <c r="O196" s="2734"/>
    </row>
    <row r="197" spans="2:15" ht="26.25" customHeight="1">
      <c r="B197" s="1">
        <v>4</v>
      </c>
      <c r="C197" s="1">
        <v>4</v>
      </c>
      <c r="D197" s="953"/>
      <c r="E197" s="155"/>
      <c r="F197" s="984" t="str">
        <f>IF(F193=$S$15,$T$13,IF(ROUNDDOWN(F193,0)=$S$13,$U$13,$T$13))</f>
        <v>　レベル　4</v>
      </c>
      <c r="G197" s="2727" t="s">
        <v>350</v>
      </c>
      <c r="H197" s="2734"/>
      <c r="I197" s="2727" t="s">
        <v>973</v>
      </c>
      <c r="J197" s="2734"/>
      <c r="K197" s="984" t="str">
        <f>IF(K193=$S$15,$T$13,IF(ROUNDDOWN(K193,0)=$S$13,$U$13,$T$13))</f>
        <v>　レベル　4</v>
      </c>
      <c r="L197" s="2727" t="s">
        <v>974</v>
      </c>
      <c r="M197" s="2752"/>
      <c r="N197" s="2752"/>
      <c r="O197" s="2734"/>
    </row>
    <row r="198" spans="2:15" ht="43.5" customHeight="1">
      <c r="B198" s="1">
        <v>5</v>
      </c>
      <c r="C198" s="1">
        <v>5</v>
      </c>
      <c r="D198" s="953"/>
      <c r="E198" s="155"/>
      <c r="F198" s="995" t="str">
        <f>IF(F193=$S$15,$T$14,IF(ROUNDDOWN(F193,0)=$S$14,$U$14,$T$14))</f>
        <v>　レベル　5</v>
      </c>
      <c r="G198" s="2724" t="s">
        <v>351</v>
      </c>
      <c r="H198" s="2743"/>
      <c r="I198" s="2724" t="s">
        <v>3226</v>
      </c>
      <c r="J198" s="2743"/>
      <c r="K198" s="995" t="str">
        <f>IF(K193=$S$15,$T$14,IF(ROUNDDOWN(K193,0)=$S$14,$U$14,$T$14))</f>
        <v>　レベル　5</v>
      </c>
      <c r="L198" s="2724" t="s">
        <v>975</v>
      </c>
      <c r="M198" s="2753"/>
      <c r="N198" s="2753"/>
      <c r="O198" s="2743"/>
    </row>
    <row r="199" spans="2:15" ht="15.75">
      <c r="B199" s="1002">
        <v>0</v>
      </c>
      <c r="C199" s="1002">
        <v>0</v>
      </c>
      <c r="D199" s="953"/>
      <c r="E199" s="537"/>
      <c r="F199" s="1037"/>
      <c r="G199" s="1037"/>
      <c r="H199" s="1037"/>
      <c r="I199" s="1037"/>
      <c r="J199" s="1037"/>
      <c r="K199" s="1037"/>
      <c r="L199" s="1037"/>
      <c r="M199" s="1037"/>
      <c r="N199" s="1037"/>
      <c r="O199" s="1037"/>
    </row>
    <row r="200" spans="2:15" ht="15.75">
      <c r="D200" s="1242">
        <v>2.2000000000000002</v>
      </c>
      <c r="E200" s="960" t="s">
        <v>2209</v>
      </c>
      <c r="F200" s="1243"/>
      <c r="G200" s="1243"/>
      <c r="H200" s="1038"/>
      <c r="I200" s="1083"/>
      <c r="J200" s="1083"/>
      <c r="K200" s="1083"/>
      <c r="L200" s="1038"/>
      <c r="M200" s="1083"/>
      <c r="N200" s="1083"/>
      <c r="O200" s="1083"/>
    </row>
    <row r="201" spans="2:15" ht="15.75">
      <c r="D201" s="1242"/>
      <c r="E201" s="960"/>
      <c r="F201" s="1121" t="s">
        <v>551</v>
      </c>
      <c r="G201" s="1038"/>
      <c r="H201" s="1083"/>
      <c r="I201" s="1004"/>
      <c r="J201" s="1041" t="str">
        <f>IF(OR(F203=0,J202=0),$R$3,"")</f>
        <v/>
      </c>
      <c r="K201" s="1121" t="s">
        <v>1155</v>
      </c>
      <c r="L201" s="1038"/>
      <c r="M201" s="1083"/>
      <c r="N201" s="1004"/>
      <c r="O201" s="1041" t="str">
        <f>IF(OR(K203=0,O202=0),$R$3,"")</f>
        <v/>
      </c>
    </row>
    <row r="202" spans="2:15" ht="16.5" thickBot="1">
      <c r="D202" s="953"/>
      <c r="E202" s="155"/>
      <c r="F202" s="965"/>
      <c r="G202" s="966"/>
      <c r="H202" s="967"/>
      <c r="I202" s="968" t="s">
        <v>1358</v>
      </c>
      <c r="J202" s="971">
        <f>重み!M80</f>
        <v>0.21379310344827587</v>
      </c>
      <c r="K202" s="965"/>
      <c r="L202" s="966"/>
      <c r="M202" s="967"/>
      <c r="N202" s="968" t="s">
        <v>1358</v>
      </c>
      <c r="O202" s="971">
        <f>重み!M81</f>
        <v>0.21379310344827587</v>
      </c>
    </row>
    <row r="203" spans="2:15" ht="16.5" thickBot="1">
      <c r="D203" s="953"/>
      <c r="E203" s="155"/>
      <c r="F203" s="972">
        <v>3</v>
      </c>
      <c r="G203" s="1084" t="s">
        <v>38</v>
      </c>
      <c r="H203" s="977"/>
      <c r="I203" s="977"/>
      <c r="J203" s="978"/>
      <c r="K203" s="972">
        <v>3</v>
      </c>
      <c r="L203" s="1084" t="s">
        <v>1490</v>
      </c>
      <c r="M203" s="978"/>
      <c r="N203" s="1084"/>
      <c r="O203" s="1089"/>
    </row>
    <row r="204" spans="2:15" ht="15.75">
      <c r="B204" s="1" t="s">
        <v>1494</v>
      </c>
      <c r="C204" s="1">
        <v>1</v>
      </c>
      <c r="D204" s="953"/>
      <c r="E204" s="155"/>
      <c r="F204" s="979" t="str">
        <f>IF(F203=$S$15,$T$10,IF(ROUNDDOWN(F203,0)=$S$10,$U$10,$T$10))</f>
        <v>　レベル　1</v>
      </c>
      <c r="G204" s="981" t="s">
        <v>2168</v>
      </c>
      <c r="H204" s="1244"/>
      <c r="I204" s="1244"/>
      <c r="J204" s="983"/>
      <c r="K204" s="979" t="str">
        <f>IF(K203=$S$15,$T$10,IF(ROUNDDOWN(K203,0)=$S$10,$U$10,$T$10))</f>
        <v>　レベル　1</v>
      </c>
      <c r="L204" s="981" t="s">
        <v>552</v>
      </c>
      <c r="M204" s="1244"/>
      <c r="N204" s="1244"/>
      <c r="O204" s="983"/>
    </row>
    <row r="205" spans="2:15" ht="15.75">
      <c r="B205" s="1" t="s">
        <v>1494</v>
      </c>
      <c r="C205" s="1">
        <v>2</v>
      </c>
      <c r="D205" s="953"/>
      <c r="E205" s="155"/>
      <c r="F205" s="984" t="str">
        <f>IF(F203=$S$15,$T$11,IF(ROUNDDOWN(F203,0)=$S$11,$U$11,$T$11))</f>
        <v>　レベル　2</v>
      </c>
      <c r="G205" s="988" t="s">
        <v>2168</v>
      </c>
      <c r="H205" s="1123"/>
      <c r="I205" s="1123"/>
      <c r="J205" s="990"/>
      <c r="K205" s="984" t="str">
        <f>IF(K203=$S$15,$T$11,IF(ROUNDDOWN(K203,0)=$S$11,$U$11,$T$11))</f>
        <v>　レベル　2</v>
      </c>
      <c r="L205" s="988" t="s">
        <v>553</v>
      </c>
      <c r="M205" s="1123"/>
      <c r="N205" s="1123"/>
      <c r="O205" s="990"/>
    </row>
    <row r="206" spans="2:15" ht="42" customHeight="1">
      <c r="B206" s="1">
        <v>3</v>
      </c>
      <c r="C206" s="1">
        <v>3</v>
      </c>
      <c r="D206" s="953"/>
      <c r="E206" s="155"/>
      <c r="F206" s="984" t="str">
        <f>IF(F203=$S$15,$T$12,IF(ROUNDDOWN(F203,0)=$S$12,$U$12,$T$12))</f>
        <v>■レベル　3</v>
      </c>
      <c r="G206" s="2727" t="s">
        <v>2906</v>
      </c>
      <c r="H206" s="2728"/>
      <c r="I206" s="2728"/>
      <c r="J206" s="2729"/>
      <c r="K206" s="984" t="str">
        <f>IF(K203=$S$15,$T$12,IF(ROUNDDOWN(K203,0)=$S$12,$U$12,$T$12))</f>
        <v>■レベル　3</v>
      </c>
      <c r="L206" s="988" t="s">
        <v>554</v>
      </c>
      <c r="M206" s="1123"/>
      <c r="N206" s="1123"/>
      <c r="O206" s="990"/>
    </row>
    <row r="207" spans="2:15" ht="42" customHeight="1">
      <c r="B207" s="1">
        <v>4</v>
      </c>
      <c r="C207" s="1">
        <v>4</v>
      </c>
      <c r="D207" s="953"/>
      <c r="E207" s="155"/>
      <c r="F207" s="984" t="str">
        <f>IF(F203=$S$15,$T$13,IF(ROUNDDOWN(F203,0)=$S$13,$U$13,$T$13))</f>
        <v>　レベル　4</v>
      </c>
      <c r="G207" s="2727" t="s">
        <v>2907</v>
      </c>
      <c r="H207" s="2752"/>
      <c r="I207" s="2752"/>
      <c r="J207" s="2734"/>
      <c r="K207" s="984" t="str">
        <f>IF(K203=$S$15,$T$13,IF(ROUNDDOWN(K203,0)=$S$13,$U$13,$T$13))</f>
        <v>　レベル　4</v>
      </c>
      <c r="L207" s="988" t="s">
        <v>2878</v>
      </c>
      <c r="M207" s="1123"/>
      <c r="N207" s="1123"/>
      <c r="O207" s="990"/>
    </row>
    <row r="208" spans="2:15" ht="42" customHeight="1">
      <c r="B208" s="1">
        <v>5</v>
      </c>
      <c r="C208" s="1">
        <v>5</v>
      </c>
      <c r="D208" s="953"/>
      <c r="E208" s="155"/>
      <c r="F208" s="995" t="str">
        <f>IF(F203=$S$15,$T$14,IF(ROUNDDOWN(F203,0)=$S$14,$U$14,$T$14))</f>
        <v>　レベル　5</v>
      </c>
      <c r="G208" s="2724" t="s">
        <v>2908</v>
      </c>
      <c r="H208" s="2753"/>
      <c r="I208" s="2753"/>
      <c r="J208" s="2743"/>
      <c r="K208" s="995" t="str">
        <f>IF(K203=$S$15,$T$14,IF(ROUNDDOWN(K203,0)=$S$14,$U$14,$T$14))</f>
        <v>　レベル　5</v>
      </c>
      <c r="L208" s="999" t="s">
        <v>2879</v>
      </c>
      <c r="M208" s="1116"/>
      <c r="N208" s="1116"/>
      <c r="O208" s="1001"/>
    </row>
    <row r="209" spans="2:15" ht="15.75">
      <c r="B209" s="1002">
        <v>0</v>
      </c>
      <c r="C209" s="1002">
        <v>0</v>
      </c>
      <c r="D209" s="953"/>
      <c r="E209" s="155"/>
      <c r="F209" s="1037"/>
      <c r="G209" s="1037"/>
      <c r="H209" s="1037"/>
      <c r="I209" s="1037"/>
      <c r="J209" s="1037"/>
      <c r="K209" s="1037"/>
      <c r="L209" s="1037"/>
      <c r="M209" s="1037"/>
      <c r="N209" s="1037"/>
      <c r="O209" s="1037"/>
    </row>
    <row r="210" spans="2:15" ht="15.75">
      <c r="D210" s="953"/>
      <c r="E210" s="155"/>
      <c r="F210" s="1121" t="s">
        <v>1156</v>
      </c>
      <c r="G210" s="1038"/>
      <c r="H210" s="1083"/>
      <c r="I210" s="1004"/>
      <c r="J210" s="1041" t="str">
        <f>IF(OR(F212=0,J211=0),$R$3,"")</f>
        <v>&lt;評価しない&gt;</v>
      </c>
      <c r="K210" s="1121" t="s">
        <v>2880</v>
      </c>
      <c r="L210" s="1038"/>
      <c r="M210" s="1083"/>
      <c r="N210" s="1004"/>
      <c r="O210" s="1041" t="str">
        <f>IF(OR(K212=0,O211=0),$R$3,"")</f>
        <v/>
      </c>
    </row>
    <row r="211" spans="2:15" ht="15.75" customHeight="1" thickBot="1">
      <c r="D211" s="953"/>
      <c r="E211" s="1245"/>
      <c r="F211" s="965"/>
      <c r="G211" s="966"/>
      <c r="H211" s="967"/>
      <c r="I211" s="968" t="s">
        <v>1358</v>
      </c>
      <c r="J211" s="971">
        <f>重み!M82</f>
        <v>0</v>
      </c>
      <c r="K211" s="965"/>
      <c r="L211" s="966"/>
      <c r="M211" s="967"/>
      <c r="N211" s="968" t="s">
        <v>1358</v>
      </c>
      <c r="O211" s="971">
        <f>重み!M83</f>
        <v>0.1</v>
      </c>
    </row>
    <row r="212" spans="2:15" ht="15.75" customHeight="1" thickBot="1">
      <c r="D212" s="953"/>
      <c r="E212" s="1245"/>
      <c r="F212" s="2022">
        <v>0</v>
      </c>
      <c r="G212" s="1084" t="s">
        <v>1108</v>
      </c>
      <c r="H212" s="978"/>
      <c r="I212" s="977" t="s">
        <v>1157</v>
      </c>
      <c r="J212" s="978"/>
      <c r="K212" s="972">
        <v>3</v>
      </c>
      <c r="L212" s="1084" t="s">
        <v>1490</v>
      </c>
      <c r="M212" s="978"/>
      <c r="N212" s="1084"/>
      <c r="O212" s="1089"/>
    </row>
    <row r="213" spans="2:15" ht="15.75" customHeight="1">
      <c r="B213" s="1">
        <v>1</v>
      </c>
      <c r="C213" s="1" t="s">
        <v>1494</v>
      </c>
      <c r="D213" s="953"/>
      <c r="E213" s="1174"/>
      <c r="F213" s="979" t="str">
        <f>IF(F212=$S$15,$T$10,IF(ROUNDDOWN(F212,0)=$S$10,$U$10,$T$10))</f>
        <v>　レベル　1</v>
      </c>
      <c r="G213" s="1411" t="s">
        <v>1158</v>
      </c>
      <c r="H213" s="2483"/>
      <c r="I213" s="1411" t="s">
        <v>552</v>
      </c>
      <c r="J213" s="2483"/>
      <c r="K213" s="979" t="str">
        <f>IF(K212=$S$15,$T$10,IF(ROUNDDOWN(K212,0)=$S$10,$U$10,$T$10))</f>
        <v>　レベル　1</v>
      </c>
      <c r="L213" s="981" t="s">
        <v>2168</v>
      </c>
      <c r="M213" s="1244"/>
      <c r="N213" s="1244"/>
      <c r="O213" s="983"/>
    </row>
    <row r="214" spans="2:15" ht="15.75">
      <c r="B214" s="1">
        <v>2</v>
      </c>
      <c r="C214" s="1" t="s">
        <v>1494</v>
      </c>
      <c r="D214" s="953"/>
      <c r="E214" s="1174"/>
      <c r="F214" s="984" t="str">
        <f>IF(F212=$S$15,$T$11,IF(ROUNDDOWN(F212,0)=$S$11,$U$11,$T$11))</f>
        <v>　レベル　2</v>
      </c>
      <c r="G214" s="1413" t="s">
        <v>2881</v>
      </c>
      <c r="H214" s="2484"/>
      <c r="I214" s="1413" t="s">
        <v>2882</v>
      </c>
      <c r="J214" s="2484"/>
      <c r="K214" s="984" t="str">
        <f>IF(K212=$S$15,$T$11,IF(ROUNDDOWN(K212,0)=$S$11,$U$11,$T$11))</f>
        <v>　レベル　2</v>
      </c>
      <c r="L214" s="988" t="s">
        <v>2168</v>
      </c>
      <c r="M214" s="1123"/>
      <c r="N214" s="1123"/>
      <c r="O214" s="990"/>
    </row>
    <row r="215" spans="2:15" ht="15.75">
      <c r="B215" s="1">
        <v>3</v>
      </c>
      <c r="C215" s="1">
        <v>3</v>
      </c>
      <c r="D215" s="953"/>
      <c r="E215" s="1174"/>
      <c r="F215" s="984" t="str">
        <f>IF(F212=$S$15,$T$12,IF(ROUNDDOWN(F212,0)=$S$12,$U$12,$T$12))</f>
        <v>　レベル　3</v>
      </c>
      <c r="G215" s="1413" t="s">
        <v>2883</v>
      </c>
      <c r="H215" s="2484"/>
      <c r="I215" s="1413" t="s">
        <v>2884</v>
      </c>
      <c r="J215" s="2484"/>
      <c r="K215" s="984" t="str">
        <f>IF(K212=$S$15,$T$12,IF(ROUNDDOWN(K212,0)=$S$12,$U$12,$T$12))</f>
        <v>■レベル　3</v>
      </c>
      <c r="L215" s="988" t="s">
        <v>2885</v>
      </c>
      <c r="M215" s="1123"/>
      <c r="N215" s="1123"/>
      <c r="O215" s="990"/>
    </row>
    <row r="216" spans="2:15" ht="55.5" customHeight="1">
      <c r="B216" s="1">
        <v>4</v>
      </c>
      <c r="C216" s="1">
        <v>4</v>
      </c>
      <c r="D216" s="953"/>
      <c r="E216" s="1174"/>
      <c r="F216" s="984" t="str">
        <f>IF(F212=$S$15,$T$13,IF(ROUNDDOWN(F212,0)=$S$13,$U$13,$T$13))</f>
        <v>　レベル　4</v>
      </c>
      <c r="G216" s="1413" t="s">
        <v>1526</v>
      </c>
      <c r="H216" s="2484"/>
      <c r="I216" s="1413" t="s">
        <v>1159</v>
      </c>
      <c r="J216" s="2484"/>
      <c r="K216" s="984" t="str">
        <f>IF(K212=$S$15,$T$13,IF(ROUNDDOWN(K212,0)=$S$13,$U$13,$T$13))</f>
        <v>　レベル　4</v>
      </c>
      <c r="L216" s="2727" t="s">
        <v>1527</v>
      </c>
      <c r="M216" s="2759"/>
      <c r="N216" s="2759"/>
      <c r="O216" s="2760"/>
    </row>
    <row r="217" spans="2:15" ht="55.5" customHeight="1">
      <c r="B217" s="1">
        <v>5</v>
      </c>
      <c r="C217" s="1">
        <v>5</v>
      </c>
      <c r="D217" s="953"/>
      <c r="E217" s="1174"/>
      <c r="F217" s="995" t="str">
        <f>IF(F212=$S$15,$T$14,IF(ROUNDDOWN(F212,0)=$S$14,$U$14,$T$14))</f>
        <v>　レベル　5</v>
      </c>
      <c r="G217" s="2485" t="s">
        <v>1160</v>
      </c>
      <c r="H217" s="2486"/>
      <c r="I217" s="2485" t="s">
        <v>1528</v>
      </c>
      <c r="J217" s="2486"/>
      <c r="K217" s="995" t="str">
        <f>IF(K212=$S$15,$T$14,IF(ROUNDDOWN(K212,0)=$S$14,$U$14,$T$14))</f>
        <v>　レベル　5</v>
      </c>
      <c r="L217" s="2724" t="s">
        <v>1529</v>
      </c>
      <c r="M217" s="2755"/>
      <c r="N217" s="2755"/>
      <c r="O217" s="2756"/>
    </row>
    <row r="218" spans="2:15" ht="15.75">
      <c r="B218" s="1002">
        <v>0</v>
      </c>
      <c r="C218" s="1002">
        <v>0</v>
      </c>
      <c r="D218" s="953"/>
      <c r="E218" s="953"/>
      <c r="F218" s="1080"/>
      <c r="G218" s="1080"/>
      <c r="H218" s="1080"/>
      <c r="I218" s="1080"/>
      <c r="J218" s="1080"/>
      <c r="K218" s="1080"/>
      <c r="L218" s="1080"/>
      <c r="M218" s="1080"/>
      <c r="N218" s="1080"/>
      <c r="O218" s="1080"/>
    </row>
    <row r="219" spans="2:15" ht="15.75">
      <c r="D219" s="953"/>
      <c r="E219" s="953"/>
      <c r="F219" s="1121" t="s">
        <v>2271</v>
      </c>
      <c r="G219" s="1038"/>
      <c r="H219" s="1083"/>
      <c r="I219" s="1004"/>
      <c r="J219" s="1041" t="str">
        <f>IF(OR(F221=0,J220=0),$R$3,"")</f>
        <v/>
      </c>
      <c r="K219" s="1121" t="s">
        <v>385</v>
      </c>
      <c r="L219" s="1038"/>
      <c r="M219" s="1083"/>
      <c r="N219" s="1004"/>
      <c r="O219" s="1041" t="str">
        <f>IF(OR(K221=0,O220=0),$R$3,"")</f>
        <v/>
      </c>
    </row>
    <row r="220" spans="2:15" ht="15.75" customHeight="1" thickBot="1">
      <c r="D220" s="953"/>
      <c r="E220" s="1245"/>
      <c r="F220" s="965"/>
      <c r="G220" s="966"/>
      <c r="H220" s="967"/>
      <c r="I220" s="968" t="s">
        <v>1358</v>
      </c>
      <c r="J220" s="971">
        <f>重み!M84</f>
        <v>0.1</v>
      </c>
      <c r="K220" s="965"/>
      <c r="L220" s="966"/>
      <c r="M220" s="967"/>
      <c r="N220" s="968" t="s">
        <v>1358</v>
      </c>
      <c r="O220" s="971">
        <f>重み!M85</f>
        <v>0.21379310344827587</v>
      </c>
    </row>
    <row r="221" spans="2:15" ht="15.75" customHeight="1" thickBot="1">
      <c r="D221" s="953"/>
      <c r="E221" s="1245"/>
      <c r="F221" s="972">
        <v>3</v>
      </c>
      <c r="G221" s="1084" t="s">
        <v>1490</v>
      </c>
      <c r="H221" s="978"/>
      <c r="I221" s="977"/>
      <c r="J221" s="978"/>
      <c r="K221" s="972">
        <v>3</v>
      </c>
      <c r="L221" s="1084" t="s">
        <v>1490</v>
      </c>
      <c r="M221" s="978"/>
      <c r="N221" s="1084"/>
      <c r="O221" s="1089"/>
    </row>
    <row r="222" spans="2:15" ht="15.75" customHeight="1">
      <c r="B222" s="1170" t="s">
        <v>1494</v>
      </c>
      <c r="C222" s="1">
        <v>1</v>
      </c>
      <c r="D222" s="953"/>
      <c r="E222" s="1174"/>
      <c r="F222" s="979" t="str">
        <f>IF(F221=$S$15,$T$10,IF(ROUNDDOWN(F221,0)=$S$10,$U$10,$T$10))</f>
        <v>　レベル　1</v>
      </c>
      <c r="G222" s="988" t="s">
        <v>2168</v>
      </c>
      <c r="H222" s="1244"/>
      <c r="I222" s="1244"/>
      <c r="J222" s="983"/>
      <c r="K222" s="979" t="str">
        <f>IF(K221=$S$15,$T$10,IF(ROUNDDOWN(K221,0)=$S$10,$U$10,$T$10))</f>
        <v>　レベル　1</v>
      </c>
      <c r="L222" s="981" t="s">
        <v>386</v>
      </c>
      <c r="M222" s="1244"/>
      <c r="N222" s="1244"/>
      <c r="O222" s="983"/>
    </row>
    <row r="223" spans="2:15" ht="15.75">
      <c r="B223" s="1" t="s">
        <v>1494</v>
      </c>
      <c r="C223" s="1">
        <v>2</v>
      </c>
      <c r="D223" s="953"/>
      <c r="E223" s="1174"/>
      <c r="F223" s="984" t="str">
        <f>IF(F221=$S$15,$T$11,IF(ROUNDDOWN(F221,0)=$S$11,$U$11,$T$11))</f>
        <v>　レベル　2</v>
      </c>
      <c r="G223" s="988" t="s">
        <v>2168</v>
      </c>
      <c r="H223" s="1123"/>
      <c r="I223" s="1123"/>
      <c r="J223" s="990"/>
      <c r="K223" s="984" t="str">
        <f>IF(K221=$S$15,$T$11,IF(ROUNDDOWN(K221,0)=$S$11,$U$11,$T$11))</f>
        <v>　レベル　2</v>
      </c>
      <c r="L223" s="988" t="s">
        <v>2272</v>
      </c>
      <c r="M223" s="1123"/>
      <c r="N223" s="1123"/>
      <c r="O223" s="990"/>
    </row>
    <row r="224" spans="2:15" ht="15.75">
      <c r="B224" s="1">
        <v>3</v>
      </c>
      <c r="C224" s="1">
        <v>3</v>
      </c>
      <c r="D224" s="953"/>
      <c r="E224" s="1174"/>
      <c r="F224" s="984" t="str">
        <f>IF(F221=$S$15,$T$12,IF(ROUNDDOWN(F221,0)=$S$12,$U$12,$T$12))</f>
        <v>■レベル　3</v>
      </c>
      <c r="G224" s="988" t="s">
        <v>2273</v>
      </c>
      <c r="H224" s="1123"/>
      <c r="I224" s="1123"/>
      <c r="J224" s="990"/>
      <c r="K224" s="984" t="str">
        <f>IF(K221=$S$15,$T$12,IF(ROUNDDOWN(K221,0)=$S$12,$U$12,$T$12))</f>
        <v>■レベル　3</v>
      </c>
      <c r="L224" s="988" t="s">
        <v>2274</v>
      </c>
      <c r="M224" s="1123"/>
      <c r="N224" s="1123"/>
      <c r="O224" s="990"/>
    </row>
    <row r="225" spans="2:15" ht="15.75">
      <c r="B225" s="1170">
        <v>4</v>
      </c>
      <c r="C225" s="1">
        <v>4</v>
      </c>
      <c r="D225" s="953"/>
      <c r="E225" s="1174"/>
      <c r="F225" s="984" t="str">
        <f>IF(F221=$S$15,$T$13,IF(ROUNDDOWN(F221,0)=$S$13,$U$13,$T$13))</f>
        <v>　レベル　4</v>
      </c>
      <c r="G225" s="988" t="s">
        <v>1652</v>
      </c>
      <c r="H225" s="1123"/>
      <c r="I225" s="1123"/>
      <c r="J225" s="990"/>
      <c r="K225" s="984" t="str">
        <f>IF(K221=$S$15,$T$13,IF(ROUNDDOWN(K221,0)=$S$13,$U$13,$T$13))</f>
        <v>　レベル　4</v>
      </c>
      <c r="L225" s="988" t="s">
        <v>1653</v>
      </c>
      <c r="M225" s="1123"/>
      <c r="N225" s="1123"/>
      <c r="O225" s="990"/>
    </row>
    <row r="226" spans="2:15" ht="16.5" customHeight="1">
      <c r="B226" s="1170">
        <v>5</v>
      </c>
      <c r="C226" s="1">
        <v>5</v>
      </c>
      <c r="D226" s="953"/>
      <c r="E226" s="1174"/>
      <c r="F226" s="995" t="str">
        <f>IF(F221=$S$15,$T$14,IF(ROUNDDOWN(F221,0)=$S$14,$U$14,$T$14))</f>
        <v>　レベル　5</v>
      </c>
      <c r="G226" s="999" t="s">
        <v>1571</v>
      </c>
      <c r="H226" s="1116"/>
      <c r="I226" s="1116"/>
      <c r="J226" s="1001"/>
      <c r="K226" s="995" t="str">
        <f>IF(K221=$S$15,$T$14,IF(ROUNDDOWN(K221,0)=$S$14,$U$14,$T$14))</f>
        <v>　レベル　5</v>
      </c>
      <c r="L226" s="999" t="s">
        <v>1572</v>
      </c>
      <c r="M226" s="1116"/>
      <c r="N226" s="1116"/>
      <c r="O226" s="1001"/>
    </row>
    <row r="227" spans="2:15" ht="15.75">
      <c r="B227" s="1002">
        <v>0</v>
      </c>
      <c r="C227" s="1002">
        <v>0</v>
      </c>
      <c r="D227" s="953"/>
      <c r="E227" s="953"/>
      <c r="F227" s="1080"/>
      <c r="G227" s="1080"/>
      <c r="H227" s="1080"/>
      <c r="I227" s="1080"/>
      <c r="J227" s="1080"/>
      <c r="K227" s="1080"/>
      <c r="L227" s="1080"/>
      <c r="M227" s="1080"/>
      <c r="N227" s="1080"/>
      <c r="O227" s="1080"/>
    </row>
    <row r="228" spans="2:15" ht="15.75">
      <c r="D228" s="949">
        <v>2.2999999999999998</v>
      </c>
      <c r="E228" s="958" t="s">
        <v>793</v>
      </c>
      <c r="F228" s="1083"/>
      <c r="G228" s="1037"/>
      <c r="H228" s="1037"/>
      <c r="I228" s="1037"/>
      <c r="J228" s="1037"/>
      <c r="K228" s="1037"/>
      <c r="L228" s="1037"/>
      <c r="M228" s="1037"/>
      <c r="N228" s="1037"/>
      <c r="O228" s="1037"/>
    </row>
    <row r="229" spans="2:15" ht="15.75">
      <c r="B229" s="1147" t="s">
        <v>1573</v>
      </c>
      <c r="D229" s="949"/>
      <c r="E229" s="958"/>
      <c r="F229" s="1121" t="s">
        <v>387</v>
      </c>
      <c r="G229" s="1038"/>
      <c r="H229" s="1083"/>
      <c r="I229" s="1004"/>
      <c r="J229" s="1041" t="str">
        <f>IF(OR(F231=0,J230=0),$R$3,"")</f>
        <v/>
      </c>
      <c r="K229" s="1121" t="s">
        <v>388</v>
      </c>
      <c r="L229" s="1038"/>
      <c r="M229" s="1083"/>
      <c r="N229" s="1004"/>
      <c r="O229" s="1041" t="str">
        <f>IF(OR(K231=0,O230=0),$R$3,"")</f>
        <v/>
      </c>
    </row>
    <row r="230" spans="2:15" ht="16.5" thickBot="1">
      <c r="D230" s="949"/>
      <c r="E230" s="958"/>
      <c r="F230" s="965" t="s">
        <v>2830</v>
      </c>
      <c r="G230" s="966"/>
      <c r="H230" s="967"/>
      <c r="I230" s="968" t="s">
        <v>389</v>
      </c>
      <c r="J230" s="971">
        <f>重み!M87</f>
        <v>0.33333333333333337</v>
      </c>
      <c r="K230" s="965" t="s">
        <v>2830</v>
      </c>
      <c r="L230" s="966"/>
      <c r="M230" s="967"/>
      <c r="N230" s="968" t="s">
        <v>389</v>
      </c>
      <c r="O230" s="971">
        <f>重み!M88</f>
        <v>0.33333333333333337</v>
      </c>
    </row>
    <row r="231" spans="2:15" ht="16.5" thickBot="1">
      <c r="D231" s="949"/>
      <c r="E231" s="958"/>
      <c r="F231" s="972">
        <v>3</v>
      </c>
      <c r="G231" s="1084" t="s">
        <v>390</v>
      </c>
      <c r="H231" s="978"/>
      <c r="I231" s="977"/>
      <c r="J231" s="978"/>
      <c r="K231" s="972">
        <v>3</v>
      </c>
      <c r="L231" s="1084" t="s">
        <v>390</v>
      </c>
      <c r="M231" s="978"/>
      <c r="N231" s="1084"/>
      <c r="O231" s="1089"/>
    </row>
    <row r="232" spans="2:15" ht="15.75">
      <c r="B232" s="1">
        <v>1</v>
      </c>
      <c r="C232" s="1">
        <v>1</v>
      </c>
      <c r="D232" s="949"/>
      <c r="E232" s="958"/>
      <c r="F232" s="979" t="str">
        <f>IF(F231=$S$15,$T$10,IF(ROUNDDOWN(F231,0)=$S$10,$U$10,$T$10))</f>
        <v>　レベル　1</v>
      </c>
      <c r="G232" s="988" t="s">
        <v>1574</v>
      </c>
      <c r="H232" s="1244"/>
      <c r="I232" s="1244"/>
      <c r="J232" s="983"/>
      <c r="K232" s="979" t="str">
        <f>IF(K231=$S$15,$T$10,IF(ROUNDDOWN(K231,0)=$S$10,$U$10,$T$10))</f>
        <v>　レベル　1</v>
      </c>
      <c r="L232" s="2731" t="s">
        <v>1574</v>
      </c>
      <c r="M232" s="2832"/>
      <c r="N232" s="2832"/>
      <c r="O232" s="2833"/>
    </row>
    <row r="233" spans="2:15" ht="15.75">
      <c r="B233" s="1">
        <v>2</v>
      </c>
      <c r="C233" s="1">
        <v>2</v>
      </c>
      <c r="D233" s="949"/>
      <c r="E233" s="958"/>
      <c r="F233" s="984" t="str">
        <f>IF(F231=$S$15,$T$11,IF(ROUNDDOWN(F231,0)=$S$11,$U$11,$T$11))</f>
        <v>　レベル　2</v>
      </c>
      <c r="G233" s="988" t="s">
        <v>1575</v>
      </c>
      <c r="H233" s="1123"/>
      <c r="I233" s="1123"/>
      <c r="J233" s="990"/>
      <c r="K233" s="984" t="str">
        <f>IF(K231=$S$15,$T$11,IF(ROUNDDOWN(K231,0)=$S$11,$U$11,$T$11))</f>
        <v>　レベル　2</v>
      </c>
      <c r="L233" s="2727" t="s">
        <v>1575</v>
      </c>
      <c r="M233" s="2759"/>
      <c r="N233" s="2759"/>
      <c r="O233" s="2760"/>
    </row>
    <row r="234" spans="2:15" ht="15.75">
      <c r="B234" s="1">
        <v>3</v>
      </c>
      <c r="C234" s="1">
        <v>3</v>
      </c>
      <c r="D234" s="949"/>
      <c r="E234" s="958"/>
      <c r="F234" s="984" t="str">
        <f>IF(F231=$S$15,$T$12,IF(ROUNDDOWN(F231,0)=$S$12,$U$12,$T$12))</f>
        <v>■レベル　3</v>
      </c>
      <c r="G234" s="988" t="s">
        <v>3228</v>
      </c>
      <c r="H234" s="1123"/>
      <c r="I234" s="1123"/>
      <c r="J234" s="990"/>
      <c r="K234" s="984" t="str">
        <f>IF(K231=$S$15,$T$12,IF(ROUNDDOWN(K231,0)=$S$12,$U$12,$T$12))</f>
        <v>■レベル　3</v>
      </c>
      <c r="L234" s="2727" t="s">
        <v>3229</v>
      </c>
      <c r="M234" s="2759"/>
      <c r="N234" s="2759"/>
      <c r="O234" s="2760"/>
    </row>
    <row r="235" spans="2:15" ht="15.75">
      <c r="B235" s="1" t="s">
        <v>391</v>
      </c>
      <c r="C235" s="1" t="s">
        <v>391</v>
      </c>
      <c r="D235" s="949"/>
      <c r="E235" s="958"/>
      <c r="F235" s="984" t="str">
        <f>IF(F231=$S$15,$T$13,IF(ROUNDDOWN(F231,0)=$S$13,$U$13,$T$13))</f>
        <v>　レベル　4</v>
      </c>
      <c r="G235" s="2727" t="s">
        <v>2168</v>
      </c>
      <c r="H235" s="2759"/>
      <c r="I235" s="2759"/>
      <c r="J235" s="2760"/>
      <c r="K235" s="984" t="str">
        <f>IF(K231=$S$15,$T$13,IF(ROUNDDOWN(K231,0)=$S$13,$U$13,$T$13))</f>
        <v>　レベル　4</v>
      </c>
      <c r="L235" s="2727" t="s">
        <v>2168</v>
      </c>
      <c r="M235" s="2759"/>
      <c r="N235" s="2759"/>
      <c r="O235" s="2760"/>
    </row>
    <row r="236" spans="2:15" ht="15.75">
      <c r="B236" s="1">
        <v>5</v>
      </c>
      <c r="C236" s="1">
        <v>5</v>
      </c>
      <c r="D236" s="949"/>
      <c r="E236" s="958"/>
      <c r="F236" s="995" t="str">
        <f>IF(F231=$S$15,$T$14,IF(ROUNDDOWN(F231,0)=$S$14,$U$14,$T$14))</f>
        <v>　レベル　5</v>
      </c>
      <c r="G236" s="999" t="s">
        <v>1576</v>
      </c>
      <c r="H236" s="1116"/>
      <c r="I236" s="1116"/>
      <c r="J236" s="1001"/>
      <c r="K236" s="995" t="str">
        <f>IF(K231=$S$15,$T$14,IF(ROUNDDOWN(K231,0)=$S$14,$U$14,$T$14))</f>
        <v>　レベル　5</v>
      </c>
      <c r="L236" s="2724" t="s">
        <v>1576</v>
      </c>
      <c r="M236" s="2755"/>
      <c r="N236" s="2755"/>
      <c r="O236" s="2756"/>
    </row>
    <row r="237" spans="2:15" ht="15.75">
      <c r="B237" s="1002">
        <v>0</v>
      </c>
      <c r="C237" s="1002">
        <v>0</v>
      </c>
      <c r="D237" s="949"/>
      <c r="E237" s="958"/>
      <c r="F237" s="1159"/>
      <c r="G237" s="1159"/>
      <c r="H237" s="1159"/>
      <c r="I237" s="1159"/>
      <c r="J237" s="1159"/>
      <c r="K237" s="1159"/>
      <c r="L237" s="1159"/>
      <c r="M237" s="1159"/>
      <c r="N237" s="1159"/>
      <c r="O237" s="1159"/>
    </row>
    <row r="238" spans="2:15" ht="15.75">
      <c r="B238" s="1147" t="s">
        <v>1573</v>
      </c>
      <c r="D238" s="949"/>
      <c r="E238" s="958"/>
      <c r="F238" s="1121" t="s">
        <v>392</v>
      </c>
      <c r="G238" s="1038"/>
      <c r="H238" s="1083"/>
      <c r="I238" s="1004"/>
      <c r="J238" s="1041" t="str">
        <f>IF(OR(F240=0,J239=0),$R$3,"")</f>
        <v/>
      </c>
      <c r="K238" s="1159"/>
      <c r="L238" s="1159"/>
      <c r="M238" s="1159"/>
      <c r="N238" s="1159"/>
      <c r="O238" s="1159"/>
    </row>
    <row r="239" spans="2:15" ht="16.5" thickBot="1">
      <c r="D239" s="949"/>
      <c r="E239" s="958"/>
      <c r="F239" s="965" t="s">
        <v>2830</v>
      </c>
      <c r="G239" s="966"/>
      <c r="H239" s="967"/>
      <c r="I239" s="968" t="s">
        <v>389</v>
      </c>
      <c r="J239" s="971">
        <f>重み!M89</f>
        <v>0.33333333333333337</v>
      </c>
      <c r="K239" s="1159"/>
      <c r="L239" s="1159"/>
      <c r="M239" s="1159"/>
      <c r="N239" s="1159"/>
      <c r="O239" s="1159"/>
    </row>
    <row r="240" spans="2:15" ht="16.5" thickBot="1">
      <c r="D240" s="949"/>
      <c r="E240" s="958"/>
      <c r="F240" s="972">
        <v>3</v>
      </c>
      <c r="G240" s="1084" t="s">
        <v>390</v>
      </c>
      <c r="H240" s="978"/>
      <c r="I240" s="977"/>
      <c r="J240" s="978"/>
      <c r="K240" s="1159"/>
      <c r="L240" s="1159"/>
      <c r="M240" s="1159"/>
      <c r="N240" s="1159"/>
      <c r="O240" s="1159"/>
    </row>
    <row r="241" spans="2:15" ht="15.75">
      <c r="B241" s="1">
        <v>1</v>
      </c>
      <c r="C241" s="1">
        <v>1</v>
      </c>
      <c r="D241" s="949"/>
      <c r="E241" s="958"/>
      <c r="F241" s="979" t="str">
        <f>IF(F240=$S$15,$T$10,IF(ROUNDDOWN(F240,0)=$S$10,$U$10,$T$10))</f>
        <v>　レベル　1</v>
      </c>
      <c r="G241" s="2731" t="s">
        <v>1574</v>
      </c>
      <c r="H241" s="2832"/>
      <c r="I241" s="2832"/>
      <c r="J241" s="2833"/>
      <c r="K241" s="1159"/>
      <c r="L241" s="1159"/>
      <c r="M241" s="1159"/>
      <c r="N241" s="1159"/>
      <c r="O241" s="1159"/>
    </row>
    <row r="242" spans="2:15" ht="15.75">
      <c r="B242" s="1">
        <v>2</v>
      </c>
      <c r="C242" s="1">
        <v>2</v>
      </c>
      <c r="D242" s="949"/>
      <c r="E242" s="958"/>
      <c r="F242" s="984" t="str">
        <f>IF(F240=$S$15,$T$11,IF(ROUNDDOWN(F240,0)=$S$11,$U$11,$T$11))</f>
        <v>　レベル　2</v>
      </c>
      <c r="G242" s="2727" t="s">
        <v>1575</v>
      </c>
      <c r="H242" s="2759"/>
      <c r="I242" s="2759"/>
      <c r="J242" s="2760"/>
      <c r="K242" s="1159"/>
      <c r="L242" s="1159"/>
      <c r="M242" s="1159"/>
      <c r="N242" s="1159"/>
      <c r="O242" s="1159"/>
    </row>
    <row r="243" spans="2:15" ht="15.75">
      <c r="B243" s="1">
        <v>3</v>
      </c>
      <c r="C243" s="1">
        <v>3</v>
      </c>
      <c r="D243" s="949"/>
      <c r="E243" s="958"/>
      <c r="F243" s="984" t="str">
        <f>IF(F240=$S$15,$T$12,IF(ROUNDDOWN(F240,0)=$S$12,$U$12,$T$12))</f>
        <v>■レベル　3</v>
      </c>
      <c r="G243" s="2727" t="s">
        <v>3229</v>
      </c>
      <c r="H243" s="2759"/>
      <c r="I243" s="2759"/>
      <c r="J243" s="2760"/>
      <c r="K243" s="1159"/>
      <c r="L243" s="1159"/>
      <c r="M243" s="1159"/>
      <c r="N243" s="1159"/>
      <c r="O243" s="1159"/>
    </row>
    <row r="244" spans="2:15" ht="15.75">
      <c r="B244" s="1" t="s">
        <v>391</v>
      </c>
      <c r="C244" s="1">
        <v>4</v>
      </c>
      <c r="D244" s="949"/>
      <c r="E244" s="958"/>
      <c r="F244" s="984" t="str">
        <f>IF(F240=$S$15,$T$13,IF(ROUNDDOWN(F240,0)=$S$13,$U$13,$T$13))</f>
        <v>　レベル　4</v>
      </c>
      <c r="G244" s="2727" t="s">
        <v>2168</v>
      </c>
      <c r="H244" s="2759"/>
      <c r="I244" s="2759"/>
      <c r="J244" s="2760"/>
      <c r="K244" s="1159"/>
      <c r="L244" s="1159"/>
      <c r="M244" s="1159"/>
      <c r="N244" s="1159"/>
      <c r="O244" s="1159"/>
    </row>
    <row r="245" spans="2:15" ht="15.75">
      <c r="B245" s="1">
        <v>5</v>
      </c>
      <c r="C245" s="1">
        <v>5</v>
      </c>
      <c r="D245" s="949"/>
      <c r="E245" s="958"/>
      <c r="F245" s="995" t="str">
        <f>IF(F240=$S$15,$T$14,IF(ROUNDDOWN(F240,0)=$S$14,$U$14,$T$14))</f>
        <v>　レベル　5</v>
      </c>
      <c r="G245" s="2724" t="s">
        <v>393</v>
      </c>
      <c r="H245" s="2755"/>
      <c r="I245" s="2755"/>
      <c r="J245" s="2756"/>
      <c r="K245" s="1159"/>
      <c r="L245" s="1159"/>
      <c r="M245" s="1159"/>
      <c r="N245" s="1159"/>
      <c r="O245" s="1159"/>
    </row>
    <row r="246" spans="2:15" ht="15.75">
      <c r="B246" s="1002">
        <v>0</v>
      </c>
      <c r="C246" s="1002">
        <v>0</v>
      </c>
      <c r="D246" s="949"/>
      <c r="E246" s="958"/>
      <c r="F246" s="1083"/>
      <c r="G246" s="1037"/>
      <c r="H246" s="1037"/>
      <c r="I246" s="1037"/>
      <c r="J246" s="1037"/>
      <c r="K246" s="1037"/>
      <c r="L246" s="1037"/>
      <c r="M246" s="1037"/>
      <c r="N246" s="1037"/>
      <c r="O246" s="1037"/>
    </row>
    <row r="247" spans="2:15" ht="15.75">
      <c r="D247" s="949">
        <v>2.4</v>
      </c>
      <c r="E247" s="958" t="s">
        <v>79</v>
      </c>
      <c r="F247" s="1083"/>
      <c r="G247" s="1083"/>
      <c r="H247" s="1083"/>
      <c r="I247" s="1083"/>
      <c r="J247" s="1083"/>
      <c r="K247" s="1083"/>
      <c r="L247" s="1083"/>
      <c r="M247" s="1083"/>
      <c r="N247" s="1083"/>
      <c r="O247" s="1083"/>
    </row>
    <row r="248" spans="2:15" ht="15.75">
      <c r="D248" s="949"/>
      <c r="E248" s="958"/>
      <c r="F248" s="1121" t="s">
        <v>394</v>
      </c>
      <c r="G248" s="1083"/>
      <c r="H248" s="1083"/>
      <c r="I248" s="1083"/>
      <c r="J248" s="1083"/>
      <c r="K248" s="1083"/>
      <c r="L248" s="1083"/>
      <c r="M248" s="1083"/>
      <c r="N248" s="1083"/>
      <c r="O248" s="1083"/>
    </row>
    <row r="249" spans="2:15" ht="16.5" thickBot="1">
      <c r="D249" s="953"/>
      <c r="E249" s="155"/>
      <c r="F249" s="1102"/>
      <c r="G249" s="966"/>
      <c r="H249" s="967"/>
      <c r="I249" s="968" t="s">
        <v>1358</v>
      </c>
      <c r="J249" s="969">
        <f>重み!M91</f>
        <v>0.2</v>
      </c>
      <c r="K249" s="1103"/>
      <c r="L249" s="1105"/>
      <c r="M249" s="1004"/>
      <c r="N249" s="1004"/>
      <c r="O249" s="1004"/>
    </row>
    <row r="250" spans="2:15" ht="16.5" thickBot="1">
      <c r="D250" s="953"/>
      <c r="E250" s="155"/>
      <c r="F250" s="1179">
        <f>IF(K259&lt;&gt;0,ROUND((K260*K259)/K259,1),ROUND((G260*G259+I260*I259)/(G259+I259),1))</f>
        <v>3</v>
      </c>
      <c r="G250" s="1164" t="s">
        <v>395</v>
      </c>
      <c r="H250" s="1246"/>
      <c r="I250" s="1084" t="s">
        <v>396</v>
      </c>
      <c r="J250" s="1247"/>
      <c r="K250" s="2819" t="s">
        <v>397</v>
      </c>
      <c r="L250" s="2841"/>
      <c r="M250" s="1004"/>
      <c r="N250" s="1004"/>
      <c r="O250" s="1004"/>
    </row>
    <row r="251" spans="2:15" ht="15.75">
      <c r="D251" s="953"/>
      <c r="E251" s="155"/>
      <c r="F251" s="979" t="str">
        <f>IF(F250=$S$15,$T$10,IF(ROUNDDOWN(F250,0)=$S$10,$U$10,$T$10))</f>
        <v>　レベル　1</v>
      </c>
      <c r="G251" s="2731" t="s">
        <v>398</v>
      </c>
      <c r="H251" s="2732"/>
      <c r="I251" s="2731" t="s">
        <v>824</v>
      </c>
      <c r="J251" s="2733"/>
      <c r="K251" s="2731" t="s">
        <v>2168</v>
      </c>
      <c r="L251" s="2732"/>
      <c r="M251" s="1004"/>
      <c r="N251" s="1004"/>
      <c r="O251" s="1004"/>
    </row>
    <row r="252" spans="2:15" ht="15.75">
      <c r="D252" s="953"/>
      <c r="E252" s="155"/>
      <c r="F252" s="984" t="str">
        <f>IF(F250=$S$15,$T$11,IF(ROUNDDOWN(F250,0)=$S$11,$U$11,$T$11))</f>
        <v>　レベル　2</v>
      </c>
      <c r="G252" s="2727" t="s">
        <v>2168</v>
      </c>
      <c r="H252" s="2734"/>
      <c r="I252" s="2727" t="s">
        <v>2168</v>
      </c>
      <c r="J252" s="2734"/>
      <c r="K252" s="2727" t="s">
        <v>2168</v>
      </c>
      <c r="L252" s="2729"/>
      <c r="M252" s="1004"/>
      <c r="N252" s="1004"/>
      <c r="O252" s="1004"/>
    </row>
    <row r="253" spans="2:15" ht="37.5" customHeight="1">
      <c r="D253" s="953"/>
      <c r="E253" s="155"/>
      <c r="F253" s="984" t="str">
        <f>IF(F250=$S$15,$T$12,IF(ROUNDDOWN(F250,0)=$S$12,$U$12,$T$12))</f>
        <v>■レベル　3</v>
      </c>
      <c r="G253" s="2727" t="s">
        <v>411</v>
      </c>
      <c r="H253" s="2734"/>
      <c r="I253" s="2727" t="s">
        <v>411</v>
      </c>
      <c r="J253" s="2734"/>
      <c r="K253" s="2727" t="s">
        <v>412</v>
      </c>
      <c r="L253" s="2729"/>
      <c r="M253" s="1004"/>
      <c r="N253" s="1004"/>
      <c r="O253" s="1004"/>
    </row>
    <row r="254" spans="2:15" ht="15.75">
      <c r="D254" s="953"/>
      <c r="E254" s="155"/>
      <c r="F254" s="984" t="str">
        <f>IF(F250=$S$15,$T$13,IF(ROUNDDOWN(F250,0)=$S$13,$U$13,$T$13))</f>
        <v>　レベル　4</v>
      </c>
      <c r="G254" s="2727" t="s">
        <v>413</v>
      </c>
      <c r="H254" s="2734"/>
      <c r="I254" s="2727" t="s">
        <v>2168</v>
      </c>
      <c r="J254" s="2734"/>
      <c r="K254" s="2727" t="s">
        <v>414</v>
      </c>
      <c r="L254" s="2729"/>
      <c r="M254" s="1004"/>
      <c r="N254" s="1004"/>
      <c r="O254" s="1004"/>
    </row>
    <row r="255" spans="2:15" ht="15.75">
      <c r="D255" s="953"/>
      <c r="E255" s="155"/>
      <c r="F255" s="995" t="str">
        <f>IF(F250=$S$15,$T$14,IF(ROUNDDOWN(F250,0)=$S$14,$U$14,$T$14))</f>
        <v>　レベル　5</v>
      </c>
      <c r="G255" s="2724" t="s">
        <v>415</v>
      </c>
      <c r="H255" s="2743"/>
      <c r="I255" s="2724" t="s">
        <v>416</v>
      </c>
      <c r="J255" s="2743"/>
      <c r="K255" s="2724" t="s">
        <v>417</v>
      </c>
      <c r="L255" s="2730"/>
      <c r="M255" s="1004"/>
      <c r="N255" s="1004"/>
      <c r="O255" s="1004"/>
    </row>
    <row r="256" spans="2:15" ht="16.5" thickBot="1">
      <c r="D256" s="1051"/>
      <c r="E256" s="1248"/>
      <c r="F256" s="1249" t="s">
        <v>418</v>
      </c>
      <c r="G256" s="1250"/>
      <c r="H256" s="1250"/>
      <c r="I256" s="1250"/>
      <c r="J256" s="1047"/>
      <c r="K256" s="1048"/>
      <c r="L256" s="1048"/>
      <c r="M256" s="1048"/>
      <c r="N256" s="1048"/>
      <c r="O256" s="1048"/>
    </row>
    <row r="257" spans="2:15" ht="16.5" thickBot="1">
      <c r="D257" s="953"/>
      <c r="E257" s="537"/>
      <c r="F257" s="972">
        <v>3</v>
      </c>
      <c r="G257" s="1055" t="s">
        <v>2670</v>
      </c>
      <c r="H257" s="1056"/>
      <c r="I257" s="1251"/>
      <c r="J257" s="1037"/>
      <c r="K257" s="1004"/>
      <c r="L257" s="1004"/>
      <c r="M257" s="1004"/>
      <c r="N257" s="1004"/>
      <c r="O257" s="1004"/>
    </row>
    <row r="258" spans="2:15" ht="15.75">
      <c r="B258" s="1">
        <v>1</v>
      </c>
      <c r="C258" s="1">
        <v>1</v>
      </c>
      <c r="D258" s="953"/>
      <c r="E258" s="537"/>
      <c r="F258" s="1252" t="s">
        <v>419</v>
      </c>
      <c r="G258" s="1253" t="s">
        <v>420</v>
      </c>
      <c r="H258" s="1254"/>
      <c r="I258" s="1253" t="s">
        <v>421</v>
      </c>
      <c r="J258" s="1254"/>
      <c r="K258" s="2842" t="s">
        <v>422</v>
      </c>
      <c r="L258" s="2841"/>
      <c r="M258" s="1004"/>
      <c r="N258" s="1004"/>
      <c r="O258" s="1004"/>
    </row>
    <row r="259" spans="2:15" ht="15.75">
      <c r="B259" s="1" t="s">
        <v>2167</v>
      </c>
      <c r="C259" s="1">
        <v>2</v>
      </c>
      <c r="D259" s="953"/>
      <c r="E259" s="537"/>
      <c r="F259" s="1181" t="s">
        <v>423</v>
      </c>
      <c r="G259" s="1255">
        <f>IF(メイン!J66&gt;=2000,メイン!J47+メイン!J57+メイン!J61+メイン!J62+メイン!J60,0)</f>
        <v>8000</v>
      </c>
      <c r="H259" s="1256"/>
      <c r="I259" s="1255">
        <f>IF(メイン!J66&gt;=2000,メイン!J49+メイン!J54+メイン!J56+メイン!J64,0)</f>
        <v>6500</v>
      </c>
      <c r="J259" s="1256"/>
      <c r="K259" s="1255">
        <f>IF(メイン!J66&lt;2000,メイン!J66,0)</f>
        <v>0</v>
      </c>
      <c r="L259" s="1256"/>
      <c r="M259" s="1004"/>
      <c r="N259" s="1004"/>
      <c r="O259" s="1004"/>
    </row>
    <row r="260" spans="2:15" ht="16.5" thickBot="1">
      <c r="B260" s="1">
        <v>3</v>
      </c>
      <c r="C260" s="1">
        <v>3</v>
      </c>
      <c r="D260" s="953"/>
      <c r="E260" s="537"/>
      <c r="F260" s="1257" t="s">
        <v>424</v>
      </c>
      <c r="G260" s="1258">
        <f>IF(H257=T4,F257,IF(COUNTIF(F261:F264,$S$3)&lt;1,1,IF(COUNTIF(F261:F264,$S$3)=1,3,IF(COUNTIF(F261:F264,$S$3)=2,4,IF(COUNTIF(F261:F264,$S$3)&gt;=3,5)))))</f>
        <v>3</v>
      </c>
      <c r="H260" s="1259"/>
      <c r="I260" s="1258">
        <f>IF(H257=T4,F257,IF(COUNTIF(F261:F264,$S$3)&lt;1,1,IF(COUNTIF(F261:F264,$S$3)=1,3,IF(COUNTIF(F261:F264,$S$3)&gt;=2,5))))</f>
        <v>3</v>
      </c>
      <c r="J260" s="1259"/>
      <c r="K260" s="1258">
        <f>IF(H257=T4,F257,IF(COUNTIF(F261:F264,$S$3)=1,4,IF(COUNTIF(F261:F264,$S$3)&gt;=2,5,3)))</f>
        <v>4</v>
      </c>
      <c r="L260" s="1259"/>
      <c r="M260" s="1004"/>
      <c r="N260" s="1004"/>
      <c r="O260" s="1004"/>
    </row>
    <row r="261" spans="2:15" ht="35.25" customHeight="1">
      <c r="B261" s="1">
        <v>4</v>
      </c>
      <c r="C261" s="1">
        <v>4</v>
      </c>
      <c r="D261" s="953"/>
      <c r="E261" s="537"/>
      <c r="F261" s="1260" t="s">
        <v>2675</v>
      </c>
      <c r="G261" s="2882" t="s">
        <v>589</v>
      </c>
      <c r="H261" s="2883"/>
      <c r="I261" s="2883"/>
      <c r="J261" s="2883"/>
      <c r="K261" s="2883"/>
      <c r="L261" s="2884"/>
      <c r="M261" s="1004"/>
      <c r="N261" s="1004"/>
      <c r="O261" s="1004"/>
    </row>
    <row r="262" spans="2:15" ht="30.75" customHeight="1">
      <c r="B262" s="1">
        <v>5</v>
      </c>
      <c r="C262" s="1">
        <v>5</v>
      </c>
      <c r="D262" s="953"/>
      <c r="E262" s="537"/>
      <c r="F262" s="1263"/>
      <c r="G262" s="2838" t="s">
        <v>590</v>
      </c>
      <c r="H262" s="2839"/>
      <c r="I262" s="2839"/>
      <c r="J262" s="2839"/>
      <c r="K262" s="2839"/>
      <c r="L262" s="2840"/>
      <c r="M262" s="1004"/>
      <c r="N262" s="1004"/>
      <c r="O262" s="1004"/>
    </row>
    <row r="263" spans="2:15" ht="30.75" customHeight="1">
      <c r="B263" s="1002">
        <v>0</v>
      </c>
      <c r="C263" s="1002">
        <v>0</v>
      </c>
      <c r="D263" s="953"/>
      <c r="E263" s="537"/>
      <c r="F263" s="1263"/>
      <c r="G263" s="2838" t="s">
        <v>591</v>
      </c>
      <c r="H263" s="2839"/>
      <c r="I263" s="2839"/>
      <c r="J263" s="2839"/>
      <c r="K263" s="2839"/>
      <c r="L263" s="2840"/>
      <c r="M263" s="1004"/>
      <c r="N263" s="1004"/>
      <c r="O263" s="1004"/>
    </row>
    <row r="264" spans="2:15" ht="35.25" customHeight="1" thickBot="1">
      <c r="D264" s="953"/>
      <c r="E264" s="537"/>
      <c r="F264" s="1264"/>
      <c r="G264" s="2846" t="s">
        <v>592</v>
      </c>
      <c r="H264" s="2847"/>
      <c r="I264" s="2847"/>
      <c r="J264" s="2847"/>
      <c r="K264" s="2847"/>
      <c r="L264" s="2848"/>
      <c r="M264" s="1004"/>
      <c r="N264" s="1004"/>
      <c r="O264" s="1004"/>
    </row>
    <row r="265" spans="2:15" ht="15.75">
      <c r="D265" s="953"/>
      <c r="E265" s="537"/>
      <c r="F265" s="1265"/>
      <c r="G265" s="1266"/>
      <c r="H265" s="1266"/>
      <c r="I265" s="1266"/>
      <c r="J265" s="1266"/>
      <c r="K265" s="1265"/>
      <c r="L265" s="1266"/>
      <c r="M265" s="1266"/>
      <c r="N265" s="1266"/>
      <c r="O265" s="1266"/>
    </row>
    <row r="266" spans="2:15" ht="15.75">
      <c r="D266" s="953"/>
      <c r="E266" s="537"/>
      <c r="F266" s="1121" t="s">
        <v>593</v>
      </c>
      <c r="G266" s="1083"/>
      <c r="H266" s="1083"/>
      <c r="I266" s="1083"/>
      <c r="J266" s="1083"/>
      <c r="K266" s="1265"/>
      <c r="L266" s="1266"/>
      <c r="M266" s="1266"/>
      <c r="N266" s="1266"/>
      <c r="O266" s="1266"/>
    </row>
    <row r="267" spans="2:15" ht="16.5" thickBot="1">
      <c r="D267" s="953"/>
      <c r="E267" s="537"/>
      <c r="F267" s="1102"/>
      <c r="G267" s="966"/>
      <c r="H267" s="967"/>
      <c r="I267" s="968" t="s">
        <v>1358</v>
      </c>
      <c r="J267" s="971">
        <f>重み!M92</f>
        <v>0.2</v>
      </c>
      <c r="K267" s="1265"/>
      <c r="L267" s="1266"/>
      <c r="M267" s="1266"/>
      <c r="N267" s="1266"/>
      <c r="O267" s="1266"/>
    </row>
    <row r="268" spans="2:15" ht="16.5" thickBot="1">
      <c r="D268" s="953"/>
      <c r="E268" s="537"/>
      <c r="F268" s="1179">
        <f>ROUND((G278*G277+J278*J277)/(G277+J277),1)</f>
        <v>3</v>
      </c>
      <c r="G268" s="1164" t="s">
        <v>594</v>
      </c>
      <c r="H268" s="1246"/>
      <c r="I268" s="1084" t="s">
        <v>595</v>
      </c>
      <c r="J268" s="1247"/>
      <c r="K268" s="1265"/>
      <c r="L268" s="1266"/>
      <c r="M268" s="1266"/>
      <c r="N268" s="1266"/>
      <c r="O268" s="1266"/>
    </row>
    <row r="269" spans="2:15" ht="15.75" customHeight="1">
      <c r="D269" s="953"/>
      <c r="E269" s="537"/>
      <c r="F269" s="979" t="str">
        <f>IF(F268=$S$15,$T$10,IF(ROUNDDOWN(F268,0)=$S$10,$U$10,$T$10))</f>
        <v>　レベル　1</v>
      </c>
      <c r="G269" s="2731" t="s">
        <v>398</v>
      </c>
      <c r="H269" s="2732"/>
      <c r="I269" s="2731" t="s">
        <v>398</v>
      </c>
      <c r="J269" s="2733"/>
      <c r="K269" s="1265"/>
      <c r="L269" s="1266"/>
      <c r="M269" s="1266"/>
      <c r="N269" s="1266"/>
      <c r="O269" s="1266"/>
    </row>
    <row r="270" spans="2:15" ht="15.75" customHeight="1">
      <c r="D270" s="953"/>
      <c r="E270" s="537"/>
      <c r="F270" s="984" t="str">
        <f>IF(F268=$S$15,$T$11,IF(ROUNDDOWN(F268,0)=$S$11,$U$11,$T$11))</f>
        <v>　レベル　2</v>
      </c>
      <c r="G270" s="2727" t="s">
        <v>596</v>
      </c>
      <c r="H270" s="2734"/>
      <c r="I270" s="2727" t="s">
        <v>596</v>
      </c>
      <c r="J270" s="2734"/>
      <c r="K270" s="1265"/>
      <c r="L270" s="1266"/>
      <c r="M270" s="1266"/>
      <c r="N270" s="1266"/>
      <c r="O270" s="1266"/>
    </row>
    <row r="271" spans="2:15" ht="15.75" customHeight="1">
      <c r="D271" s="953"/>
      <c r="E271" s="537"/>
      <c r="F271" s="984" t="str">
        <f>IF(F268=$S$15,$T$12,IF(ROUNDDOWN(F268,0)=$S$12,$U$12,$T$12))</f>
        <v>■レベル　3</v>
      </c>
      <c r="G271" s="2727" t="s">
        <v>1790</v>
      </c>
      <c r="H271" s="2734"/>
      <c r="I271" s="2727" t="s">
        <v>1790</v>
      </c>
      <c r="J271" s="2734"/>
      <c r="K271" s="1265"/>
      <c r="L271" s="1266"/>
      <c r="M271" s="1266"/>
      <c r="N271" s="1266"/>
      <c r="O271" s="1266"/>
    </row>
    <row r="272" spans="2:15" ht="15.75">
      <c r="D272" s="953"/>
      <c r="E272" s="537"/>
      <c r="F272" s="984" t="str">
        <f>IF(F268=$S$15,$T$13,IF(ROUNDDOWN(F268,0)=$S$13,$U$13,$T$13))</f>
        <v>　レベル　4</v>
      </c>
      <c r="G272" s="2727" t="s">
        <v>33</v>
      </c>
      <c r="H272" s="2734"/>
      <c r="I272" s="2727" t="s">
        <v>2168</v>
      </c>
      <c r="J272" s="2734"/>
      <c r="K272" s="1265"/>
      <c r="L272" s="1266"/>
      <c r="M272" s="1266"/>
      <c r="N272" s="1266"/>
      <c r="O272" s="1266"/>
    </row>
    <row r="273" spans="2:15" ht="15.75" customHeight="1">
      <c r="D273" s="953"/>
      <c r="E273" s="537"/>
      <c r="F273" s="995" t="str">
        <f>IF(F268=$S$15,$T$14,IF(ROUNDDOWN(F268,0)=$S$14,$U$14,$T$14))</f>
        <v>　レベル　5</v>
      </c>
      <c r="G273" s="2724" t="s">
        <v>34</v>
      </c>
      <c r="H273" s="2743"/>
      <c r="I273" s="2724" t="s">
        <v>35</v>
      </c>
      <c r="J273" s="2743"/>
      <c r="K273" s="1265"/>
      <c r="L273" s="1266"/>
      <c r="M273" s="1266"/>
      <c r="N273" s="1266"/>
      <c r="O273" s="1266"/>
    </row>
    <row r="274" spans="2:15" ht="16.5" thickBot="1">
      <c r="D274" s="953"/>
      <c r="E274" s="537"/>
      <c r="F274" s="1249" t="s">
        <v>2682</v>
      </c>
      <c r="G274" s="1047"/>
      <c r="H274" s="1250"/>
      <c r="I274" s="1047"/>
      <c r="J274" s="1250"/>
      <c r="K274" s="1265"/>
      <c r="L274" s="1266"/>
      <c r="M274" s="1266"/>
      <c r="N274" s="1266"/>
      <c r="O274" s="1266"/>
    </row>
    <row r="275" spans="2:15" ht="16.5" thickBot="1">
      <c r="D275" s="953"/>
      <c r="E275" s="537"/>
      <c r="F275" s="972">
        <v>1</v>
      </c>
      <c r="G275" s="1055" t="s">
        <v>2670</v>
      </c>
      <c r="H275" s="1056"/>
      <c r="I275" s="1037"/>
      <c r="J275" s="1251"/>
      <c r="K275" s="1265"/>
      <c r="L275" s="1266"/>
      <c r="M275" s="1266"/>
      <c r="N275" s="1266"/>
      <c r="O275" s="1266"/>
    </row>
    <row r="276" spans="2:15" ht="15.75">
      <c r="B276" s="1">
        <v>1</v>
      </c>
      <c r="C276" s="1">
        <v>1</v>
      </c>
      <c r="D276" s="953"/>
      <c r="E276" s="537"/>
      <c r="F276" s="1267" t="s">
        <v>419</v>
      </c>
      <c r="G276" s="1253" t="s">
        <v>1791</v>
      </c>
      <c r="H276" s="1254"/>
      <c r="I276" s="1254"/>
      <c r="J276" s="1253" t="s">
        <v>1570</v>
      </c>
      <c r="K276" s="1254"/>
      <c r="L276" s="1254"/>
      <c r="M276" s="1266"/>
      <c r="N276" s="1266"/>
      <c r="O276" s="1266"/>
    </row>
    <row r="277" spans="2:15" ht="15.75">
      <c r="B277" s="1" t="s">
        <v>2167</v>
      </c>
      <c r="C277" s="1">
        <v>2</v>
      </c>
      <c r="D277" s="953"/>
      <c r="E277" s="537"/>
      <c r="F277" s="1181" t="s">
        <v>423</v>
      </c>
      <c r="G277" s="1255">
        <f>メイン!J47+メイン!J49+メイン!J57+メイン!J61+メイン!J62+メイン!J64+メイン!J60</f>
        <v>14500</v>
      </c>
      <c r="H277" s="1268"/>
      <c r="I277" s="1256"/>
      <c r="J277" s="1255">
        <f>メイン!J54+メイン!J56</f>
        <v>0</v>
      </c>
      <c r="K277" s="1268"/>
      <c r="L277" s="1256"/>
      <c r="M277" s="1266"/>
      <c r="N277" s="1266"/>
      <c r="O277" s="1266"/>
    </row>
    <row r="278" spans="2:15" ht="16.5" thickBot="1">
      <c r="B278" s="1">
        <v>3</v>
      </c>
      <c r="C278" s="1">
        <v>3</v>
      </c>
      <c r="D278" s="953"/>
      <c r="E278" s="537"/>
      <c r="F278" s="1257" t="s">
        <v>424</v>
      </c>
      <c r="G278" s="1258">
        <f>IF(H275=T4,F275,IF(G286&lt;1,1,IF(G286=1,2,IF(G286=2,3,IF(G286=3,4,5)))))</f>
        <v>3</v>
      </c>
      <c r="H278" s="1259"/>
      <c r="I278" s="1259"/>
      <c r="J278" s="1258">
        <f>IF(H275=T4,F275,IF(J286&lt;1,1,IF(J286=1,2,IF(J286=2,3,5))))</f>
        <v>3</v>
      </c>
      <c r="K278" s="1259"/>
      <c r="L278" s="1259"/>
      <c r="M278" s="1266"/>
      <c r="N278" s="1266"/>
      <c r="O278" s="1266"/>
    </row>
    <row r="279" spans="2:15" ht="45" customHeight="1">
      <c r="B279" s="1">
        <v>4</v>
      </c>
      <c r="C279" s="1">
        <v>4</v>
      </c>
      <c r="D279" s="953"/>
      <c r="E279" s="537"/>
      <c r="F279" s="1260" t="s">
        <v>2675</v>
      </c>
      <c r="G279" s="2882" t="s">
        <v>597</v>
      </c>
      <c r="H279" s="2883"/>
      <c r="I279" s="2883"/>
      <c r="J279" s="2883"/>
      <c r="K279" s="2883"/>
      <c r="L279" s="2884"/>
      <c r="M279" s="1266"/>
      <c r="N279" s="1266"/>
      <c r="O279" s="1266"/>
    </row>
    <row r="280" spans="2:15" ht="15.75" customHeight="1">
      <c r="B280" s="1">
        <v>5</v>
      </c>
      <c r="C280" s="1">
        <v>5</v>
      </c>
      <c r="D280" s="953"/>
      <c r="E280" s="537"/>
      <c r="F280" s="1263"/>
      <c r="G280" s="2838" t="s">
        <v>598</v>
      </c>
      <c r="H280" s="2839"/>
      <c r="I280" s="2839"/>
      <c r="J280" s="2839"/>
      <c r="K280" s="2839"/>
      <c r="L280" s="2840"/>
      <c r="M280" s="1266"/>
      <c r="N280" s="1266"/>
      <c r="O280" s="1266"/>
    </row>
    <row r="281" spans="2:15" ht="31.5" customHeight="1">
      <c r="B281" s="1002">
        <v>0</v>
      </c>
      <c r="C281" s="1002">
        <v>0</v>
      </c>
      <c r="D281" s="953"/>
      <c r="E281" s="537"/>
      <c r="F281" s="1263"/>
      <c r="G281" s="2838" t="s">
        <v>599</v>
      </c>
      <c r="H281" s="2839"/>
      <c r="I281" s="2839"/>
      <c r="J281" s="2839"/>
      <c r="K281" s="2839"/>
      <c r="L281" s="2840"/>
      <c r="M281" s="1266"/>
      <c r="N281" s="1266"/>
      <c r="O281" s="1266"/>
    </row>
    <row r="282" spans="2:15" ht="15.75" customHeight="1">
      <c r="D282" s="953"/>
      <c r="E282" s="537"/>
      <c r="F282" s="1263" t="s">
        <v>2675</v>
      </c>
      <c r="G282" s="2838" t="s">
        <v>600</v>
      </c>
      <c r="H282" s="2839"/>
      <c r="I282" s="2839"/>
      <c r="J282" s="2839"/>
      <c r="K282" s="2839"/>
      <c r="L282" s="2840"/>
      <c r="M282" s="1266"/>
      <c r="N282" s="1266"/>
      <c r="O282" s="1266"/>
    </row>
    <row r="283" spans="2:15" ht="15.75" customHeight="1">
      <c r="D283" s="953"/>
      <c r="E283" s="537"/>
      <c r="F283" s="1263"/>
      <c r="G283" s="2838" t="s">
        <v>601</v>
      </c>
      <c r="H283" s="2839"/>
      <c r="I283" s="2839"/>
      <c r="J283" s="2839"/>
      <c r="K283" s="2839"/>
      <c r="L283" s="2840"/>
      <c r="M283" s="1266"/>
      <c r="N283" s="1266"/>
      <c r="O283" s="1266"/>
    </row>
    <row r="284" spans="2:15" ht="36.75" customHeight="1">
      <c r="D284" s="953"/>
      <c r="E284" s="537"/>
      <c r="F284" s="1263"/>
      <c r="G284" s="2838" t="s">
        <v>1792</v>
      </c>
      <c r="H284" s="2839"/>
      <c r="I284" s="2839"/>
      <c r="J284" s="2839"/>
      <c r="K284" s="2839"/>
      <c r="L284" s="2840"/>
      <c r="M284" s="1266"/>
      <c r="N284" s="1266"/>
      <c r="O284" s="1266"/>
    </row>
    <row r="285" spans="2:15" ht="20.25" customHeight="1" thickBot="1">
      <c r="D285" s="953"/>
      <c r="E285" s="537"/>
      <c r="F285" s="2071"/>
      <c r="G285" s="2849" t="s">
        <v>32</v>
      </c>
      <c r="H285" s="2850"/>
      <c r="I285" s="2850"/>
      <c r="J285" s="2850"/>
      <c r="K285" s="2850"/>
      <c r="L285" s="2851"/>
      <c r="M285" s="1266"/>
      <c r="N285" s="1266"/>
      <c r="O285" s="1266"/>
    </row>
    <row r="286" spans="2:15" ht="15.75">
      <c r="D286" s="953"/>
      <c r="E286" s="537"/>
      <c r="F286" s="2073" t="s">
        <v>36</v>
      </c>
      <c r="G286" s="2072">
        <f>COUNTIF(F279:F285,$S$3)</f>
        <v>2</v>
      </c>
      <c r="H286" s="1259"/>
      <c r="I286" s="1259"/>
      <c r="J286" s="2072">
        <f>G286-COUNTIF(F284,$S$3)</f>
        <v>2</v>
      </c>
      <c r="K286" s="1259"/>
      <c r="L286" s="1259"/>
      <c r="M286" s="1266"/>
      <c r="N286" s="1266"/>
      <c r="O286" s="1266"/>
    </row>
    <row r="287" spans="2:15" ht="15.75">
      <c r="D287" s="953"/>
      <c r="E287" s="537"/>
      <c r="F287" s="1265"/>
      <c r="G287" s="1266"/>
      <c r="H287" s="1266"/>
      <c r="I287" s="1266"/>
      <c r="J287" s="1266"/>
      <c r="K287" s="1265"/>
      <c r="L287" s="1266"/>
      <c r="M287" s="1266"/>
      <c r="N287" s="1266"/>
      <c r="O287" s="1266"/>
    </row>
    <row r="288" spans="2:15" ht="15.75">
      <c r="D288" s="953"/>
      <c r="E288" s="537"/>
      <c r="F288" s="1121" t="s">
        <v>1793</v>
      </c>
      <c r="G288" s="1083"/>
      <c r="H288" s="1083"/>
      <c r="I288" s="1083"/>
      <c r="J288" s="1083"/>
      <c r="K288" s="1083"/>
      <c r="L288" s="1083"/>
      <c r="M288" s="1266"/>
      <c r="N288" s="1266"/>
      <c r="O288" s="1266"/>
    </row>
    <row r="289" spans="2:15" ht="16.5" thickBot="1">
      <c r="D289" s="953"/>
      <c r="E289" s="1245"/>
      <c r="F289" s="1102"/>
      <c r="G289" s="966"/>
      <c r="H289" s="967"/>
      <c r="I289" s="968" t="s">
        <v>1358</v>
      </c>
      <c r="J289" s="969">
        <f>重み!M93</f>
        <v>0.2</v>
      </c>
      <c r="K289" s="1103"/>
      <c r="L289" s="1103"/>
      <c r="M289" s="1103"/>
      <c r="N289" s="1105"/>
      <c r="O289" s="1004"/>
    </row>
    <row r="290" spans="2:15" ht="16.5" thickBot="1">
      <c r="D290" s="953"/>
      <c r="E290" s="1245"/>
      <c r="F290" s="1179">
        <f>IF(メイン!J66&gt;2000,G299,K299)</f>
        <v>3</v>
      </c>
      <c r="G290" s="1164" t="s">
        <v>829</v>
      </c>
      <c r="H290" s="1246"/>
      <c r="I290" s="1084"/>
      <c r="J290" s="1277"/>
      <c r="K290" s="2075" t="s">
        <v>39</v>
      </c>
      <c r="L290" s="1246"/>
      <c r="M290" s="1084"/>
      <c r="N290" s="1247"/>
      <c r="O290" s="1004"/>
    </row>
    <row r="291" spans="2:15" ht="15.75" customHeight="1">
      <c r="D291" s="953"/>
      <c r="E291" s="1097"/>
      <c r="F291" s="979" t="str">
        <f>IF(F290=$S$15,$T$10,IF(ROUNDDOWN(F290,0)=$S$10,$U$10,$T$10))</f>
        <v>　レベル　1</v>
      </c>
      <c r="G291" s="2845" t="s">
        <v>398</v>
      </c>
      <c r="H291" s="2843"/>
      <c r="I291" s="2843"/>
      <c r="J291" s="2844"/>
      <c r="K291" s="2845" t="s">
        <v>347</v>
      </c>
      <c r="L291" s="2843"/>
      <c r="M291" s="2843"/>
      <c r="N291" s="2844"/>
      <c r="O291" s="1004"/>
    </row>
    <row r="292" spans="2:15" ht="15.75" customHeight="1">
      <c r="D292" s="953"/>
      <c r="E292" s="1097"/>
      <c r="F292" s="984" t="str">
        <f>IF(F290=$S$15,$T$11,IF(ROUNDDOWN(F290,0)=$S$11,$U$11,$T$11))</f>
        <v>　レベル　2</v>
      </c>
      <c r="G292" s="2885" t="s">
        <v>2168</v>
      </c>
      <c r="H292" s="2886"/>
      <c r="I292" s="2880"/>
      <c r="J292" s="2881"/>
      <c r="K292" s="2885" t="s">
        <v>2168</v>
      </c>
      <c r="L292" s="2886"/>
      <c r="M292" s="2880"/>
      <c r="N292" s="2881"/>
      <c r="O292" s="1004"/>
    </row>
    <row r="293" spans="2:15" ht="15.75" customHeight="1">
      <c r="D293" s="953"/>
      <c r="E293" s="1097"/>
      <c r="F293" s="984" t="str">
        <f>IF(F290=$S$15,$T$12,IF(ROUNDDOWN(F290,0)=$S$12,$U$12,$T$12))</f>
        <v>■レベル　3</v>
      </c>
      <c r="G293" s="2885" t="s">
        <v>40</v>
      </c>
      <c r="H293" s="2886"/>
      <c r="I293" s="2880"/>
      <c r="J293" s="2881"/>
      <c r="K293" s="2885" t="s">
        <v>47</v>
      </c>
      <c r="L293" s="2886"/>
      <c r="M293" s="2880"/>
      <c r="N293" s="2881"/>
      <c r="O293" s="1004"/>
    </row>
    <row r="294" spans="2:15" ht="15.75" customHeight="1">
      <c r="D294" s="953"/>
      <c r="E294" s="1097"/>
      <c r="F294" s="984" t="str">
        <f>IF(F290=$S$15,$T$13,IF(ROUNDDOWN(F290,0)=$S$13,$U$13,$T$13))</f>
        <v>　レベル　4</v>
      </c>
      <c r="G294" s="2885" t="s">
        <v>33</v>
      </c>
      <c r="H294" s="2886"/>
      <c r="I294" s="2880"/>
      <c r="J294" s="2881"/>
      <c r="K294" s="2885" t="s">
        <v>48</v>
      </c>
      <c r="L294" s="2886"/>
      <c r="M294" s="2880"/>
      <c r="N294" s="2881"/>
      <c r="O294" s="1004"/>
    </row>
    <row r="295" spans="2:15" ht="15.75" customHeight="1">
      <c r="D295" s="953"/>
      <c r="E295" s="1097"/>
      <c r="F295" s="995" t="str">
        <f>IF(F290=$S$15,$T$14,IF(ROUNDDOWN(F290,0)=$S$14,$U$14,$T$14))</f>
        <v>　レベル　5</v>
      </c>
      <c r="G295" s="2834" t="s">
        <v>34</v>
      </c>
      <c r="H295" s="2835"/>
      <c r="I295" s="2836"/>
      <c r="J295" s="2837"/>
      <c r="K295" s="2834" t="s">
        <v>49</v>
      </c>
      <c r="L295" s="2835"/>
      <c r="M295" s="2836"/>
      <c r="N295" s="2837"/>
      <c r="O295" s="1004"/>
    </row>
    <row r="296" spans="2:15" ht="16.5" thickBot="1">
      <c r="D296" s="1051"/>
      <c r="E296" s="1248"/>
      <c r="F296" s="1249" t="s">
        <v>2682</v>
      </c>
      <c r="G296" s="1047"/>
      <c r="H296" s="1250"/>
      <c r="I296" s="1047"/>
      <c r="J296" s="1250"/>
      <c r="K296" s="1047"/>
      <c r="L296" s="1047"/>
      <c r="M296" s="1047"/>
      <c r="N296" s="1047"/>
      <c r="O296" s="1047"/>
    </row>
    <row r="297" spans="2:15" ht="16.5" thickBot="1">
      <c r="D297" s="953"/>
      <c r="E297" s="537"/>
      <c r="F297" s="972">
        <v>3</v>
      </c>
      <c r="G297" s="1055" t="s">
        <v>2670</v>
      </c>
      <c r="H297" s="1056"/>
      <c r="I297" s="1037"/>
      <c r="J297" s="1251"/>
      <c r="K297" s="1037"/>
      <c r="L297" s="1037"/>
      <c r="M297" s="1037"/>
      <c r="N297" s="1037"/>
      <c r="O297" s="1037"/>
    </row>
    <row r="298" spans="2:15" ht="15.75">
      <c r="B298" s="1">
        <v>1</v>
      </c>
      <c r="C298" s="1">
        <v>1</v>
      </c>
      <c r="D298" s="953"/>
      <c r="E298" s="537"/>
      <c r="F298" s="1270" t="s">
        <v>1794</v>
      </c>
      <c r="G298" s="1253" t="s">
        <v>45</v>
      </c>
      <c r="H298" s="1271"/>
      <c r="I298" s="1253"/>
      <c r="J298" s="1271"/>
      <c r="K298" s="1253" t="s">
        <v>46</v>
      </c>
      <c r="L298" s="1271"/>
      <c r="M298" s="1253"/>
      <c r="N298" s="1271"/>
      <c r="O298" s="1037"/>
    </row>
    <row r="299" spans="2:15" ht="16.5" thickBot="1">
      <c r="B299" s="1">
        <v>3</v>
      </c>
      <c r="C299" s="1">
        <v>3</v>
      </c>
      <c r="D299" s="953"/>
      <c r="E299" s="537"/>
      <c r="F299" s="1272" t="s">
        <v>424</v>
      </c>
      <c r="G299" s="1273">
        <f>IF(H297=T4,F297,IF(COUNTIF(F300:F305,$S$3)&lt;1,1,IF(COUNTIF(F300:F305,$S$3)&lt;=2,3,IF(COUNTIF(F300:F305,$S$3)=3,4,IF(COUNTIF(F300:F305,$S$3)&gt;=4,5)))))</f>
        <v>3</v>
      </c>
      <c r="H299" s="1274"/>
      <c r="I299" s="1273"/>
      <c r="J299" s="1274"/>
      <c r="K299" s="1273">
        <f>IF(H297=T4,F297,IF(COUNTIF(F300:F302,$S$3)+COUNTIF(F304:F305,$S$3)=1,4,IF(COUNTIF(F300:F302,$S$3)+COUNTIF(F304:F305,$S$3)&gt;=2,5,3)))</f>
        <v>3</v>
      </c>
      <c r="L299" s="1274"/>
      <c r="M299" s="1273"/>
      <c r="N299" s="1274"/>
      <c r="O299" s="1037"/>
    </row>
    <row r="300" spans="2:15" ht="15.75" customHeight="1">
      <c r="B300" s="1">
        <v>4</v>
      </c>
      <c r="C300" s="1">
        <v>4</v>
      </c>
      <c r="D300" s="953"/>
      <c r="E300" s="537"/>
      <c r="F300" s="1260"/>
      <c r="G300" s="2888" t="s">
        <v>37</v>
      </c>
      <c r="H300" s="2889"/>
      <c r="I300" s="2889"/>
      <c r="J300" s="2889"/>
      <c r="K300" s="2889"/>
      <c r="L300" s="2889"/>
      <c r="M300" s="2889"/>
      <c r="N300" s="2890"/>
      <c r="O300" s="1037"/>
    </row>
    <row r="301" spans="2:15" ht="15.75" customHeight="1">
      <c r="B301" s="1">
        <v>5</v>
      </c>
      <c r="C301" s="1">
        <v>5</v>
      </c>
      <c r="D301" s="953"/>
      <c r="E301" s="537"/>
      <c r="F301" s="1263"/>
      <c r="G301" s="2891" t="s">
        <v>602</v>
      </c>
      <c r="H301" s="2839"/>
      <c r="I301" s="2839"/>
      <c r="J301" s="2839"/>
      <c r="K301" s="2839"/>
      <c r="L301" s="2839"/>
      <c r="M301" s="2839"/>
      <c r="N301" s="2840"/>
      <c r="O301" s="1037"/>
    </row>
    <row r="302" spans="2:15" ht="15.75">
      <c r="B302" s="1002">
        <v>0</v>
      </c>
      <c r="C302" s="1002">
        <v>0</v>
      </c>
      <c r="D302" s="953"/>
      <c r="E302" s="537"/>
      <c r="F302" s="1263"/>
      <c r="G302" s="2891" t="s">
        <v>41</v>
      </c>
      <c r="H302" s="2839"/>
      <c r="I302" s="2839"/>
      <c r="J302" s="2839"/>
      <c r="K302" s="2839"/>
      <c r="L302" s="2839"/>
      <c r="M302" s="2839"/>
      <c r="N302" s="2840"/>
      <c r="O302" s="1037"/>
    </row>
    <row r="303" spans="2:15" ht="72.75" customHeight="1">
      <c r="B303" s="1601"/>
      <c r="C303" s="1601"/>
      <c r="D303" s="953"/>
      <c r="E303" s="537"/>
      <c r="F303" s="2070" t="s">
        <v>2675</v>
      </c>
      <c r="G303" s="2838" t="s">
        <v>42</v>
      </c>
      <c r="H303" s="2839"/>
      <c r="I303" s="2839"/>
      <c r="J303" s="2839"/>
      <c r="K303" s="2839"/>
      <c r="L303" s="2839"/>
      <c r="M303" s="2839"/>
      <c r="N303" s="2840"/>
      <c r="O303" s="1037"/>
    </row>
    <row r="304" spans="2:15" ht="15.75">
      <c r="B304" s="1601"/>
      <c r="C304" s="1601"/>
      <c r="D304" s="953"/>
      <c r="E304" s="537"/>
      <c r="F304" s="2070"/>
      <c r="G304" s="2891" t="s">
        <v>43</v>
      </c>
      <c r="H304" s="2839"/>
      <c r="I304" s="2839"/>
      <c r="J304" s="2839"/>
      <c r="K304" s="2839"/>
      <c r="L304" s="2839"/>
      <c r="M304" s="2839"/>
      <c r="N304" s="2840"/>
      <c r="O304" s="1037"/>
    </row>
    <row r="305" spans="2:15" ht="16.5" thickBot="1">
      <c r="D305" s="953"/>
      <c r="E305" s="537"/>
      <c r="F305" s="1269"/>
      <c r="G305" s="2846" t="s">
        <v>44</v>
      </c>
      <c r="H305" s="2755"/>
      <c r="I305" s="2755"/>
      <c r="J305" s="2755"/>
      <c r="K305" s="2755"/>
      <c r="L305" s="2755"/>
      <c r="M305" s="2755"/>
      <c r="N305" s="2756"/>
      <c r="O305" s="1037"/>
    </row>
    <row r="306" spans="2:15" ht="15.75">
      <c r="D306" s="953"/>
      <c r="E306" s="537"/>
      <c r="F306" s="1037"/>
      <c r="G306" s="1276"/>
      <c r="H306" s="1276"/>
      <c r="I306" s="1276"/>
      <c r="J306" s="1265"/>
      <c r="K306" s="1276"/>
      <c r="L306" s="1276"/>
      <c r="M306" s="1037"/>
      <c r="N306" s="1037"/>
      <c r="O306" s="1037"/>
    </row>
    <row r="307" spans="2:15" ht="15.75">
      <c r="D307" s="953"/>
      <c r="E307" s="537"/>
      <c r="F307" s="1121" t="s">
        <v>603</v>
      </c>
      <c r="G307" s="1083"/>
      <c r="H307" s="1083"/>
      <c r="I307" s="1083"/>
      <c r="J307" s="1041" t="str">
        <f>IF(OR(F309=0,J308=0),$R$3,"")</f>
        <v/>
      </c>
      <c r="K307" s="1276"/>
      <c r="L307" s="1276"/>
      <c r="M307" s="1037"/>
      <c r="N307" s="1037"/>
      <c r="O307" s="1037"/>
    </row>
    <row r="308" spans="2:15" ht="16.5" thickBot="1">
      <c r="D308" s="953"/>
      <c r="E308" s="537"/>
      <c r="F308" s="1102"/>
      <c r="G308" s="966"/>
      <c r="H308" s="967"/>
      <c r="I308" s="968" t="s">
        <v>1358</v>
      </c>
      <c r="J308" s="969">
        <f>重み!M94</f>
        <v>0.2</v>
      </c>
      <c r="K308" s="1103"/>
      <c r="L308" s="1103"/>
      <c r="M308" s="1103"/>
      <c r="N308" s="1103"/>
      <c r="O308" s="978"/>
    </row>
    <row r="309" spans="2:15" ht="16.5" thickBot="1">
      <c r="D309" s="953"/>
      <c r="E309" s="537"/>
      <c r="F309" s="972">
        <v>3</v>
      </c>
      <c r="G309" s="976" t="s">
        <v>829</v>
      </c>
      <c r="H309" s="977"/>
      <c r="I309" s="977"/>
      <c r="J309" s="977"/>
      <c r="K309" s="977"/>
      <c r="L309" s="1277"/>
      <c r="M309" s="977"/>
      <c r="N309" s="977"/>
      <c r="O309" s="978"/>
    </row>
    <row r="310" spans="2:15" ht="15.75" customHeight="1">
      <c r="B310" s="1">
        <v>1</v>
      </c>
      <c r="C310" s="1">
        <v>1</v>
      </c>
      <c r="D310" s="953"/>
      <c r="E310" s="537"/>
      <c r="F310" s="979" t="str">
        <f>IF(F309=$S$15,$T$10,IF(ROUNDDOWN(F309,0)=$S$10,$U$10,$T$10))</f>
        <v>　レベル　1</v>
      </c>
      <c r="G310" s="981" t="s">
        <v>409</v>
      </c>
      <c r="H310" s="982"/>
      <c r="I310" s="982"/>
      <c r="J310" s="982"/>
      <c r="K310" s="982"/>
      <c r="L310" s="1278"/>
      <c r="M310" s="982"/>
      <c r="N310" s="982"/>
      <c r="O310" s="983"/>
    </row>
    <row r="311" spans="2:15" ht="15.75" customHeight="1">
      <c r="B311" s="1" t="s">
        <v>1494</v>
      </c>
      <c r="C311" s="1">
        <v>2</v>
      </c>
      <c r="D311" s="953"/>
      <c r="E311" s="537"/>
      <c r="F311" s="984" t="str">
        <f>IF(F309=$S$15,$T$11,IF(ROUNDDOWN(F309,0)=$S$11,$U$11,$T$11))</f>
        <v>　レベル　2</v>
      </c>
      <c r="G311" s="988" t="s">
        <v>2168</v>
      </c>
      <c r="H311" s="989"/>
      <c r="I311" s="989"/>
      <c r="J311" s="989"/>
      <c r="K311" s="989"/>
      <c r="L311" s="1279"/>
      <c r="M311" s="989"/>
      <c r="N311" s="989"/>
      <c r="O311" s="990"/>
    </row>
    <row r="312" spans="2:15" ht="15.75">
      <c r="B312" s="1">
        <v>3</v>
      </c>
      <c r="C312" s="1">
        <v>3</v>
      </c>
      <c r="D312" s="953"/>
      <c r="E312" s="537"/>
      <c r="F312" s="984" t="str">
        <f>IF(F309=$S$15,$T$12,IF(ROUNDDOWN(F309,0)=$S$12,$U$12,$T$12))</f>
        <v>■レベル　3</v>
      </c>
      <c r="G312" s="988" t="s">
        <v>425</v>
      </c>
      <c r="H312" s="989"/>
      <c r="I312" s="989"/>
      <c r="J312" s="989"/>
      <c r="K312" s="989"/>
      <c r="L312" s="1279"/>
      <c r="M312" s="989"/>
      <c r="N312" s="989"/>
      <c r="O312" s="990"/>
    </row>
    <row r="313" spans="2:15" ht="15.75">
      <c r="B313" s="1">
        <v>4</v>
      </c>
      <c r="C313" s="1">
        <v>4</v>
      </c>
      <c r="D313" s="953"/>
      <c r="E313" s="537"/>
      <c r="F313" s="984" t="str">
        <f>IF(F309=$S$15,$T$13,IF(ROUNDDOWN(F309,0)=$S$13,$U$13,$T$13))</f>
        <v>　レベル　4</v>
      </c>
      <c r="G313" s="988" t="s">
        <v>50</v>
      </c>
      <c r="H313" s="989"/>
      <c r="I313" s="989"/>
      <c r="J313" s="989"/>
      <c r="K313" s="989"/>
      <c r="L313" s="1279"/>
      <c r="M313" s="989"/>
      <c r="N313" s="989"/>
      <c r="O313" s="990"/>
    </row>
    <row r="314" spans="2:15" ht="15.75">
      <c r="B314" s="1">
        <v>5</v>
      </c>
      <c r="C314" s="1">
        <v>5</v>
      </c>
      <c r="D314" s="953"/>
      <c r="E314" s="537"/>
      <c r="F314" s="995" t="str">
        <f>IF(F309=$S$15,$T$14,IF(ROUNDDOWN(F309,0)=$S$14,$U$14,$T$14))</f>
        <v>　レベル　5</v>
      </c>
      <c r="G314" s="999" t="s">
        <v>3230</v>
      </c>
      <c r="H314" s="1000"/>
      <c r="I314" s="1000"/>
      <c r="J314" s="1000"/>
      <c r="K314" s="1000"/>
      <c r="L314" s="1280"/>
      <c r="M314" s="1000"/>
      <c r="N314" s="1000"/>
      <c r="O314" s="1001"/>
    </row>
    <row r="315" spans="2:15" ht="15.75">
      <c r="B315" s="1002">
        <v>0</v>
      </c>
      <c r="C315" s="1002">
        <v>0</v>
      </c>
      <c r="D315" s="953"/>
      <c r="E315" s="537"/>
      <c r="F315" s="1037"/>
      <c r="G315" s="1276"/>
      <c r="H315" s="1276"/>
      <c r="I315" s="1276"/>
      <c r="J315" s="1265"/>
      <c r="K315" s="1276"/>
      <c r="L315" s="1276"/>
      <c r="M315" s="1037"/>
      <c r="N315" s="1037"/>
      <c r="O315" s="1037"/>
    </row>
    <row r="316" spans="2:15" ht="15.75">
      <c r="D316" s="953"/>
      <c r="E316" s="537"/>
      <c r="F316" s="1121" t="s">
        <v>604</v>
      </c>
      <c r="G316" s="1083"/>
      <c r="H316" s="1083"/>
      <c r="I316" s="1083"/>
      <c r="J316" s="1083"/>
      <c r="K316" s="1083"/>
      <c r="L316" s="1083"/>
      <c r="M316" s="1037"/>
      <c r="N316" s="1037"/>
      <c r="O316" s="1037"/>
    </row>
    <row r="317" spans="2:15" ht="16.5" thickBot="1">
      <c r="D317" s="953"/>
      <c r="E317" s="1245"/>
      <c r="F317" s="1102"/>
      <c r="G317" s="966"/>
      <c r="H317" s="967"/>
      <c r="I317" s="968" t="s">
        <v>1358</v>
      </c>
      <c r="J317" s="969">
        <f>重み!M95</f>
        <v>0.2</v>
      </c>
      <c r="K317" s="1103"/>
      <c r="L317" s="1103"/>
      <c r="M317" s="1103"/>
      <c r="N317" s="1103"/>
      <c r="O317" s="978"/>
    </row>
    <row r="318" spans="2:15" ht="16.5" thickBot="1">
      <c r="D318" s="953"/>
      <c r="E318" s="1245"/>
      <c r="F318" s="1281">
        <f>IF(H325=T4,F325,IF(COUNTIF(F327:F332,$S$3)&lt;1,1,IF(COUNTIF(F327:F332,$S$3)=1,2,IF(COUNTIF(F327:F332,$S$3)=2,3,IF(COUNTIF(F327:F332,$S$3)=3,4,5)))))</f>
        <v>3</v>
      </c>
      <c r="G318" s="1164" t="s">
        <v>829</v>
      </c>
      <c r="H318" s="1246"/>
      <c r="I318" s="1282"/>
      <c r="J318" s="1247"/>
      <c r="K318" s="977"/>
      <c r="L318" s="1277"/>
      <c r="M318" s="977"/>
      <c r="N318" s="977"/>
      <c r="O318" s="978"/>
    </row>
    <row r="319" spans="2:15" ht="15.75">
      <c r="D319" s="953"/>
      <c r="E319" s="1174"/>
      <c r="F319" s="979" t="str">
        <f>IF(F318=$S$15,$T$10,IF(ROUNDDOWN(F318,0)=$S$10,$U$10,$T$10))</f>
        <v>　レベル　1</v>
      </c>
      <c r="G319" s="2067" t="s">
        <v>398</v>
      </c>
      <c r="H319" s="1278"/>
      <c r="I319" s="1278"/>
      <c r="J319" s="1278"/>
      <c r="K319" s="982"/>
      <c r="L319" s="1278"/>
      <c r="M319" s="982"/>
      <c r="N319" s="982"/>
      <c r="O319" s="983"/>
    </row>
    <row r="320" spans="2:15" ht="15.75" customHeight="1">
      <c r="D320" s="953"/>
      <c r="E320" s="1174"/>
      <c r="F320" s="984" t="str">
        <f>IF(F318=$S$15,$T$11,IF(ROUNDDOWN(F318,0)=$S$11,$U$11,$T$11))</f>
        <v>　レベル　2</v>
      </c>
      <c r="G320" s="1138" t="s">
        <v>48</v>
      </c>
      <c r="H320" s="1279"/>
      <c r="I320" s="1279"/>
      <c r="J320" s="1279"/>
      <c r="K320" s="989"/>
      <c r="L320" s="1279"/>
      <c r="M320" s="989"/>
      <c r="N320" s="989"/>
      <c r="O320" s="990"/>
    </row>
    <row r="321" spans="2:15" ht="15.75" customHeight="1">
      <c r="D321" s="953"/>
      <c r="E321" s="1174"/>
      <c r="F321" s="984" t="str">
        <f>IF(F318=$S$15,$T$12,IF(ROUNDDOWN(F318,0)=$S$12,$U$12,$T$12))</f>
        <v>■レベル　3</v>
      </c>
      <c r="G321" s="1138" t="s">
        <v>1790</v>
      </c>
      <c r="H321" s="1279"/>
      <c r="I321" s="1279"/>
      <c r="J321" s="1279"/>
      <c r="K321" s="989"/>
      <c r="L321" s="1279"/>
      <c r="M321" s="989"/>
      <c r="N321" s="989"/>
      <c r="O321" s="990"/>
    </row>
    <row r="322" spans="2:15" ht="15.75" customHeight="1">
      <c r="D322" s="953"/>
      <c r="E322" s="1174"/>
      <c r="F322" s="984" t="str">
        <f>IF(F318=$S$15,$T$13,IF(ROUNDDOWN(F318,0)=$S$13,$U$13,$T$13))</f>
        <v>　レベル　4</v>
      </c>
      <c r="G322" s="1138" t="s">
        <v>33</v>
      </c>
      <c r="H322" s="1279"/>
      <c r="I322" s="1279"/>
      <c r="J322" s="1279"/>
      <c r="K322" s="989"/>
      <c r="L322" s="1279"/>
      <c r="M322" s="989"/>
      <c r="N322" s="989"/>
      <c r="O322" s="990"/>
    </row>
    <row r="323" spans="2:15" ht="15.75" customHeight="1">
      <c r="D323" s="953"/>
      <c r="E323" s="1174"/>
      <c r="F323" s="995" t="str">
        <f>IF(F318=$S$15,$T$14,IF(ROUNDDOWN(F318,0)=$S$14,$U$14,$T$14))</f>
        <v>　レベル　5</v>
      </c>
      <c r="G323" s="1115" t="s">
        <v>52</v>
      </c>
      <c r="H323" s="1280"/>
      <c r="I323" s="1280"/>
      <c r="J323" s="1280"/>
      <c r="K323" s="1000"/>
      <c r="L323" s="1280"/>
      <c r="M323" s="1000"/>
      <c r="N323" s="1000"/>
      <c r="O323" s="1001"/>
    </row>
    <row r="324" spans="2:15" ht="16.5" thickBot="1">
      <c r="D324" s="1051"/>
      <c r="E324" s="1248"/>
      <c r="F324" s="1249" t="s">
        <v>2682</v>
      </c>
      <c r="G324" s="1047"/>
      <c r="H324" s="1250"/>
      <c r="I324" s="1047"/>
      <c r="J324" s="1250"/>
      <c r="K324" s="1047"/>
      <c r="L324" s="1047"/>
      <c r="M324" s="1047"/>
      <c r="N324" s="1047"/>
      <c r="O324" s="1047"/>
    </row>
    <row r="325" spans="2:15" ht="16.5" thickBot="1">
      <c r="D325" s="953"/>
      <c r="E325" s="537"/>
      <c r="F325" s="972">
        <v>3</v>
      </c>
      <c r="G325" s="1055" t="s">
        <v>2670</v>
      </c>
      <c r="H325" s="1056"/>
      <c r="I325" s="1037"/>
      <c r="J325" s="1251"/>
      <c r="K325" s="1037"/>
      <c r="L325" s="1037"/>
      <c r="M325" s="1037"/>
      <c r="N325" s="1037"/>
      <c r="O325" s="1037"/>
    </row>
    <row r="326" spans="2:15" ht="16.5" thickBot="1">
      <c r="B326" s="1">
        <v>1</v>
      </c>
      <c r="C326" s="1">
        <v>1</v>
      </c>
      <c r="D326" s="953"/>
      <c r="E326" s="537"/>
      <c r="F326" s="1270" t="s">
        <v>1794</v>
      </c>
      <c r="G326" s="1253" t="s">
        <v>45</v>
      </c>
      <c r="H326" s="1271"/>
      <c r="I326" s="1253"/>
      <c r="J326" s="1271"/>
      <c r="K326" s="1253"/>
      <c r="L326" s="1271"/>
      <c r="M326" s="1037"/>
      <c r="N326" s="1037"/>
      <c r="O326" s="1037"/>
    </row>
    <row r="327" spans="2:15" ht="15.75" customHeight="1">
      <c r="B327" s="1">
        <v>4</v>
      </c>
      <c r="C327" s="1">
        <v>4</v>
      </c>
      <c r="D327" s="953"/>
      <c r="E327" s="537"/>
      <c r="F327" s="1260"/>
      <c r="G327" s="1275" t="s">
        <v>1542</v>
      </c>
      <c r="H327" s="1283"/>
      <c r="I327" s="1283"/>
      <c r="J327" s="1283"/>
      <c r="K327" s="1283"/>
      <c r="L327" s="1284"/>
      <c r="M327" s="1037"/>
      <c r="N327" s="1037"/>
      <c r="O327" s="1037"/>
    </row>
    <row r="328" spans="2:15" ht="15.75" customHeight="1">
      <c r="B328" s="1">
        <v>5</v>
      </c>
      <c r="C328" s="1">
        <v>5</v>
      </c>
      <c r="D328" s="953"/>
      <c r="E328" s="537"/>
      <c r="F328" s="1263"/>
      <c r="G328" s="1225" t="s">
        <v>1543</v>
      </c>
      <c r="H328" s="1226"/>
      <c r="I328" s="1226"/>
      <c r="J328" s="1226"/>
      <c r="K328" s="1226"/>
      <c r="L328" s="1285"/>
      <c r="M328" s="1037"/>
      <c r="N328" s="1037"/>
      <c r="O328" s="1037"/>
    </row>
    <row r="329" spans="2:15" ht="73.5" customHeight="1">
      <c r="B329" s="1"/>
      <c r="C329" s="1"/>
      <c r="D329" s="953"/>
      <c r="E329" s="537"/>
      <c r="F329" s="2070" t="s">
        <v>2675</v>
      </c>
      <c r="G329" s="2838" t="s">
        <v>51</v>
      </c>
      <c r="H329" s="2899"/>
      <c r="I329" s="2899"/>
      <c r="J329" s="2899"/>
      <c r="K329" s="2899"/>
      <c r="L329" s="2900"/>
      <c r="M329" s="1037"/>
      <c r="N329" s="1037"/>
      <c r="O329" s="1037"/>
    </row>
    <row r="330" spans="2:15" ht="15.75" customHeight="1">
      <c r="B330" s="1"/>
      <c r="C330" s="1"/>
      <c r="D330" s="953"/>
      <c r="E330" s="537"/>
      <c r="F330" s="2070"/>
      <c r="G330" s="2074" t="s">
        <v>53</v>
      </c>
      <c r="H330" s="2076"/>
      <c r="I330" s="2076"/>
      <c r="J330" s="2076"/>
      <c r="K330" s="2076"/>
      <c r="L330" s="2062"/>
      <c r="M330" s="1037"/>
      <c r="N330" s="1037"/>
      <c r="O330" s="1037"/>
    </row>
    <row r="331" spans="2:15" ht="15.75" customHeight="1">
      <c r="B331" s="1"/>
      <c r="C331" s="1"/>
      <c r="D331" s="953"/>
      <c r="E331" s="537"/>
      <c r="F331" s="2070" t="s">
        <v>2675</v>
      </c>
      <c r="G331" s="2074" t="s">
        <v>54</v>
      </c>
      <c r="H331" s="2076"/>
      <c r="I331" s="2076"/>
      <c r="J331" s="2076"/>
      <c r="K331" s="2076"/>
      <c r="L331" s="2062"/>
      <c r="M331" s="1037"/>
      <c r="N331" s="1037"/>
      <c r="O331" s="1037"/>
    </row>
    <row r="332" spans="2:15" ht="16.5" thickBot="1">
      <c r="B332" s="1002">
        <v>0</v>
      </c>
      <c r="C332" s="1002">
        <v>0</v>
      </c>
      <c r="D332" s="953"/>
      <c r="E332" s="537"/>
      <c r="F332" s="1269"/>
      <c r="G332" s="2846" t="s">
        <v>55</v>
      </c>
      <c r="H332" s="2892"/>
      <c r="I332" s="2892"/>
      <c r="J332" s="2892"/>
      <c r="K332" s="2892"/>
      <c r="L332" s="2893"/>
      <c r="M332" s="1037"/>
      <c r="N332" s="1037"/>
      <c r="O332" s="1037"/>
    </row>
    <row r="333" spans="2:15" ht="15.75">
      <c r="D333" s="953"/>
      <c r="E333" s="537"/>
      <c r="F333" s="1276"/>
      <c r="G333" s="1276"/>
      <c r="H333" s="1286"/>
      <c r="I333" s="1286"/>
      <c r="J333" s="1286"/>
      <c r="K333" s="1286"/>
      <c r="L333" s="1037"/>
      <c r="M333" s="1037"/>
      <c r="N333" s="1037"/>
      <c r="O333" s="1037"/>
    </row>
    <row r="334" spans="2:15" ht="15.75">
      <c r="D334" s="949">
        <v>3</v>
      </c>
      <c r="E334" s="958" t="s">
        <v>1240</v>
      </c>
      <c r="F334" s="1083"/>
      <c r="G334" s="1083"/>
      <c r="H334" s="1083"/>
      <c r="I334" s="1083"/>
      <c r="J334" s="1083"/>
      <c r="K334" s="1083"/>
      <c r="L334" s="1083"/>
      <c r="M334" s="1083"/>
      <c r="N334" s="1083"/>
      <c r="O334" s="1083"/>
    </row>
    <row r="335" spans="2:15" ht="15.75">
      <c r="D335" s="949">
        <v>3.1</v>
      </c>
      <c r="E335" s="958" t="s">
        <v>1795</v>
      </c>
      <c r="F335" s="1083"/>
      <c r="G335" s="1038"/>
      <c r="H335" s="1083"/>
      <c r="I335" s="1083"/>
      <c r="J335" s="1083"/>
      <c r="K335" s="1083"/>
      <c r="L335" s="1038"/>
      <c r="M335" s="1083"/>
      <c r="N335" s="1083"/>
      <c r="O335" s="1083"/>
    </row>
    <row r="336" spans="2:15" ht="15.75">
      <c r="D336" s="953"/>
      <c r="E336" s="155"/>
      <c r="F336" s="1121" t="s">
        <v>1544</v>
      </c>
      <c r="G336" s="1038"/>
      <c r="H336" s="1083"/>
      <c r="I336" s="1004"/>
      <c r="J336" s="1041" t="str">
        <f>IF(OR(F338=0,AND(J337=0,O337=0)),$R$3,"")</f>
        <v/>
      </c>
      <c r="K336" s="1121"/>
      <c r="L336" s="1038"/>
      <c r="M336" s="1083"/>
      <c r="N336" s="1004"/>
      <c r="O336" s="1041"/>
    </row>
    <row r="337" spans="2:15" ht="16.5" thickBot="1">
      <c r="D337" s="953"/>
      <c r="E337" s="155"/>
      <c r="F337" s="965" t="s">
        <v>313</v>
      </c>
      <c r="G337" s="966"/>
      <c r="H337" s="967"/>
      <c r="I337" s="968" t="s">
        <v>1358</v>
      </c>
      <c r="J337" s="971">
        <f>重み!M99</f>
        <v>0.37241379310344824</v>
      </c>
      <c r="K337" s="965" t="s">
        <v>1961</v>
      </c>
      <c r="L337" s="966"/>
      <c r="M337" s="967"/>
      <c r="N337" s="968" t="s">
        <v>1358</v>
      </c>
      <c r="O337" s="971">
        <f>重み!N99</f>
        <v>0.10344827586206896</v>
      </c>
    </row>
    <row r="338" spans="2:15" ht="16.5" thickBot="1">
      <c r="D338" s="953"/>
      <c r="E338" s="155"/>
      <c r="F338" s="972">
        <v>3</v>
      </c>
      <c r="G338" s="1084" t="s">
        <v>1796</v>
      </c>
      <c r="H338" s="978"/>
      <c r="I338" s="2819" t="s">
        <v>1797</v>
      </c>
      <c r="J338" s="2841"/>
      <c r="K338" s="972">
        <v>3</v>
      </c>
      <c r="L338" s="1084" t="s">
        <v>1545</v>
      </c>
      <c r="M338" s="978"/>
      <c r="N338" s="1084" t="s">
        <v>1546</v>
      </c>
      <c r="O338" s="978"/>
    </row>
    <row r="339" spans="2:15" ht="15.75">
      <c r="B339" s="1">
        <v>1</v>
      </c>
      <c r="C339" s="1">
        <v>1</v>
      </c>
      <c r="D339" s="953"/>
      <c r="E339" s="155"/>
      <c r="F339" s="979" t="str">
        <f>IF(F338=$S$15,$T$10,IF(ROUNDDOWN(F338,0)=$S$10,$U$10,$T$10))</f>
        <v>　レベル　1</v>
      </c>
      <c r="G339" s="981" t="s">
        <v>1547</v>
      </c>
      <c r="H339" s="1244"/>
      <c r="I339" s="981" t="s">
        <v>1548</v>
      </c>
      <c r="J339" s="1287"/>
      <c r="K339" s="979" t="str">
        <f>IF(K338=$S$15,$T$10,IF(ROUNDDOWN(K338,0)=$S$10,$U$10,$T$10))</f>
        <v>　レベル　1</v>
      </c>
      <c r="L339" s="2731" t="s">
        <v>1547</v>
      </c>
      <c r="M339" s="2733"/>
      <c r="N339" s="2731" t="s">
        <v>1549</v>
      </c>
      <c r="O339" s="2733"/>
    </row>
    <row r="340" spans="2:15" ht="15.75" customHeight="1">
      <c r="B340" s="1">
        <v>2</v>
      </c>
      <c r="C340" s="1">
        <v>2</v>
      </c>
      <c r="D340" s="953"/>
      <c r="E340" s="155"/>
      <c r="F340" s="984" t="str">
        <f>IF(F338=$S$15,$T$11,IF(ROUNDDOWN(F338,0)=$S$11,$U$11,$T$11))</f>
        <v>　レベル　2</v>
      </c>
      <c r="G340" s="988" t="s">
        <v>1550</v>
      </c>
      <c r="H340" s="1123"/>
      <c r="I340" s="988" t="s">
        <v>1551</v>
      </c>
      <c r="J340" s="1288"/>
      <c r="K340" s="984" t="str">
        <f>IF(K338=$S$15,$T$11,IF(ROUNDDOWN(K338,0)=$S$11,$U$11,$T$11))</f>
        <v>　レベル　2</v>
      </c>
      <c r="L340" s="2727" t="s">
        <v>1798</v>
      </c>
      <c r="M340" s="2734"/>
      <c r="N340" s="2727" t="s">
        <v>1799</v>
      </c>
      <c r="O340" s="2734"/>
    </row>
    <row r="341" spans="2:15" ht="15.75" customHeight="1">
      <c r="B341" s="1">
        <v>3</v>
      </c>
      <c r="C341" s="1">
        <v>3</v>
      </c>
      <c r="D341" s="953"/>
      <c r="E341" s="155"/>
      <c r="F341" s="984" t="str">
        <f>IF(F338=$S$15,$T$12,IF(ROUNDDOWN(F338,0)=$S$12,$U$12,$T$12))</f>
        <v>■レベル　3</v>
      </c>
      <c r="G341" s="988" t="s">
        <v>1552</v>
      </c>
      <c r="H341" s="1123"/>
      <c r="I341" s="988" t="s">
        <v>1550</v>
      </c>
      <c r="J341" s="1288"/>
      <c r="K341" s="984" t="str">
        <f>IF(K338=$S$15,$T$12,IF(ROUNDDOWN(K338,0)=$S$12,$U$12,$T$12))</f>
        <v>■レベル　3</v>
      </c>
      <c r="L341" s="2727" t="s">
        <v>1552</v>
      </c>
      <c r="M341" s="2734"/>
      <c r="N341" s="2727" t="s">
        <v>1553</v>
      </c>
      <c r="O341" s="2734"/>
    </row>
    <row r="342" spans="2:15" ht="15.75" customHeight="1">
      <c r="B342" s="1">
        <v>4</v>
      </c>
      <c r="C342" s="1">
        <v>4</v>
      </c>
      <c r="D342" s="953"/>
      <c r="E342" s="155"/>
      <c r="F342" s="984" t="str">
        <f>IF(F338=$S$15,$T$13,IF(ROUNDDOWN(F338,0)=$S$13,$U$13,$T$13))</f>
        <v>　レベル　4</v>
      </c>
      <c r="G342" s="988" t="s">
        <v>1554</v>
      </c>
      <c r="H342" s="1123"/>
      <c r="I342" s="988" t="s">
        <v>1552</v>
      </c>
      <c r="J342" s="1288"/>
      <c r="K342" s="984" t="str">
        <f>IF(K338=$S$15,$T$13,IF(ROUNDDOWN(K338,0)=$S$13,$U$13,$T$13))</f>
        <v>　レベル　4</v>
      </c>
      <c r="L342" s="2727" t="s">
        <v>1800</v>
      </c>
      <c r="M342" s="2734"/>
      <c r="N342" s="2727" t="s">
        <v>1801</v>
      </c>
      <c r="O342" s="2734"/>
    </row>
    <row r="343" spans="2:15" ht="15.75">
      <c r="B343" s="1">
        <v>5</v>
      </c>
      <c r="C343" s="1">
        <v>5</v>
      </c>
      <c r="D343" s="953"/>
      <c r="E343" s="155"/>
      <c r="F343" s="995" t="str">
        <f>IF(F338=$S$15,$T$14,IF(ROUNDDOWN(F338,0)=$S$14,$U$14,$T$14))</f>
        <v>　レベル　5</v>
      </c>
      <c r="G343" s="999" t="s">
        <v>1555</v>
      </c>
      <c r="H343" s="1116"/>
      <c r="I343" s="999" t="s">
        <v>1556</v>
      </c>
      <c r="J343" s="1289"/>
      <c r="K343" s="995" t="str">
        <f>IF(K338=$S$15,$T$14,IF(ROUNDDOWN(K338,0)=$S$14,$U$14,$T$14))</f>
        <v>　レベル　5</v>
      </c>
      <c r="L343" s="2724" t="s">
        <v>1555</v>
      </c>
      <c r="M343" s="2743"/>
      <c r="N343" s="2724" t="s">
        <v>1557</v>
      </c>
      <c r="O343" s="2743"/>
    </row>
    <row r="344" spans="2:15" ht="15.75">
      <c r="B344" s="1002">
        <v>0</v>
      </c>
      <c r="C344" s="1002">
        <v>0</v>
      </c>
      <c r="D344" s="953"/>
      <c r="E344" s="155"/>
      <c r="F344" s="1037"/>
      <c r="G344" s="1037"/>
      <c r="H344" s="1037"/>
      <c r="I344" s="1037"/>
      <c r="J344" s="1037"/>
      <c r="K344" s="1037"/>
      <c r="L344" s="1037"/>
      <c r="M344" s="1037"/>
      <c r="N344" s="1037"/>
      <c r="O344" s="1037"/>
    </row>
    <row r="345" spans="2:15" ht="15.75">
      <c r="D345" s="953"/>
      <c r="E345" s="155"/>
      <c r="F345" s="1121" t="s">
        <v>1558</v>
      </c>
      <c r="G345" s="1038"/>
      <c r="H345" s="1083"/>
      <c r="I345" s="1004"/>
      <c r="J345" s="1041" t="str">
        <f>IF(OR(F347=0,AND(J346=0,O346=0)),$R$3,"")</f>
        <v/>
      </c>
      <c r="K345" s="1121"/>
      <c r="L345" s="1038"/>
      <c r="M345" s="1083"/>
      <c r="N345" s="1004"/>
      <c r="O345" s="1041"/>
    </row>
    <row r="346" spans="2:15" ht="16.5" thickBot="1">
      <c r="D346" s="953"/>
      <c r="E346" s="155"/>
      <c r="F346" s="965" t="s">
        <v>1559</v>
      </c>
      <c r="G346" s="966"/>
      <c r="H346" s="967"/>
      <c r="I346" s="968" t="s">
        <v>1358</v>
      </c>
      <c r="J346" s="971">
        <f>重み!M100</f>
        <v>0.45517241379310347</v>
      </c>
      <c r="K346" s="965" t="s">
        <v>1961</v>
      </c>
      <c r="L346" s="966"/>
      <c r="M346" s="967"/>
      <c r="N346" s="968" t="s">
        <v>1358</v>
      </c>
      <c r="O346" s="971">
        <f>重み!N100</f>
        <v>6.8965517241379323E-2</v>
      </c>
    </row>
    <row r="347" spans="2:15" ht="16.5" thickBot="1">
      <c r="D347" s="953"/>
      <c r="E347" s="155"/>
      <c r="F347" s="972">
        <v>3</v>
      </c>
      <c r="G347" s="1084" t="s">
        <v>1802</v>
      </c>
      <c r="H347" s="977"/>
      <c r="I347" s="977"/>
      <c r="J347" s="978"/>
      <c r="K347" s="972">
        <v>3</v>
      </c>
      <c r="L347" s="1084" t="s">
        <v>268</v>
      </c>
      <c r="M347" s="978"/>
      <c r="N347" s="1084"/>
      <c r="O347" s="1089"/>
    </row>
    <row r="348" spans="2:15" ht="15.75">
      <c r="B348" s="1">
        <v>1</v>
      </c>
      <c r="C348" s="1">
        <v>1</v>
      </c>
      <c r="D348" s="953"/>
      <c r="E348" s="155"/>
      <c r="F348" s="979" t="str">
        <f>IF(F347=$S$15,$T$10,IF(ROUNDDOWN(F347,0)=$S$10,$U$10,$T$10))</f>
        <v>　レベル　1</v>
      </c>
      <c r="G348" s="981" t="s">
        <v>1803</v>
      </c>
      <c r="H348" s="1244"/>
      <c r="I348" s="1244"/>
      <c r="J348" s="1287"/>
      <c r="K348" s="979" t="str">
        <f>IF(K347=$S$15,$T$10,IF(ROUNDDOWN(K347,0)=$S$10,$U$10,$T$10))</f>
        <v>　レベル　1</v>
      </c>
      <c r="L348" s="2731" t="s">
        <v>269</v>
      </c>
      <c r="M348" s="2757"/>
      <c r="N348" s="2757"/>
      <c r="O348" s="2732"/>
    </row>
    <row r="349" spans="2:15" ht="15.75">
      <c r="B349" s="1">
        <v>2</v>
      </c>
      <c r="C349" s="1">
        <v>2</v>
      </c>
      <c r="D349" s="953"/>
      <c r="E349" s="155"/>
      <c r="F349" s="984" t="str">
        <f>IF(F347=$S$15,$T$11,IF(ROUNDDOWN(F347,0)=$S$11,$U$11,$T$11))</f>
        <v>　レベル　2</v>
      </c>
      <c r="G349" s="988" t="s">
        <v>1804</v>
      </c>
      <c r="H349" s="1123"/>
      <c r="I349" s="1123"/>
      <c r="J349" s="1288"/>
      <c r="K349" s="984" t="str">
        <f>IF(K347=$S$15,$T$11,IF(ROUNDDOWN(K347,0)=$S$11,$U$11,$T$11))</f>
        <v>　レベル　2</v>
      </c>
      <c r="L349" s="2758" t="s">
        <v>270</v>
      </c>
      <c r="M349" s="2759"/>
      <c r="N349" s="2759"/>
      <c r="O349" s="2760"/>
    </row>
    <row r="350" spans="2:15" ht="15.75">
      <c r="B350" s="1">
        <v>3</v>
      </c>
      <c r="C350" s="1">
        <v>3</v>
      </c>
      <c r="D350" s="953"/>
      <c r="E350" s="950"/>
      <c r="F350" s="984" t="str">
        <f>IF(F347=$S$15,$T$12,IF(ROUNDDOWN(F347,0)=$S$12,$U$12,$T$12))</f>
        <v>■レベル　3</v>
      </c>
      <c r="G350" s="988" t="s">
        <v>1805</v>
      </c>
      <c r="H350" s="1123"/>
      <c r="I350" s="1123"/>
      <c r="J350" s="1288"/>
      <c r="K350" s="984" t="str">
        <f>IF(K347=$S$15,$T$12,IF(ROUNDDOWN(K347,0)=$S$12,$U$12,$T$12))</f>
        <v>■レベル　3</v>
      </c>
      <c r="L350" s="2758" t="s">
        <v>271</v>
      </c>
      <c r="M350" s="2759"/>
      <c r="N350" s="2759"/>
      <c r="O350" s="2760"/>
    </row>
    <row r="351" spans="2:15" ht="15.75">
      <c r="B351" s="1">
        <v>4</v>
      </c>
      <c r="C351" s="1">
        <v>4</v>
      </c>
      <c r="D351" s="953"/>
      <c r="E351" s="155"/>
      <c r="F351" s="984" t="str">
        <f>IF(F347=$S$15,$T$13,IF(ROUNDDOWN(F347,0)=$S$13,$U$13,$T$13))</f>
        <v>　レベル　4</v>
      </c>
      <c r="G351" s="988" t="s">
        <v>1806</v>
      </c>
      <c r="H351" s="1123"/>
      <c r="I351" s="1123"/>
      <c r="J351" s="1288"/>
      <c r="K351" s="984" t="str">
        <f>IF(K347=$S$15,$T$13,IF(ROUNDDOWN(K347,0)=$S$13,$U$13,$T$13))</f>
        <v>　レベル　4</v>
      </c>
      <c r="L351" s="2758" t="s">
        <v>272</v>
      </c>
      <c r="M351" s="2759"/>
      <c r="N351" s="2759"/>
      <c r="O351" s="2760"/>
    </row>
    <row r="352" spans="2:15" ht="15.75">
      <c r="B352" s="1">
        <v>5</v>
      </c>
      <c r="C352" s="1">
        <v>5</v>
      </c>
      <c r="D352" s="953"/>
      <c r="E352" s="155"/>
      <c r="F352" s="995" t="str">
        <f>IF(F347=$S$15,$T$14,IF(ROUNDDOWN(F347,0)=$S$14,$U$14,$T$14))</f>
        <v>　レベル　5</v>
      </c>
      <c r="G352" s="999" t="s">
        <v>273</v>
      </c>
      <c r="H352" s="1116"/>
      <c r="I352" s="1116"/>
      <c r="J352" s="1289"/>
      <c r="K352" s="995" t="str">
        <f>IF(K347=$S$15,$T$14,IF(ROUNDDOWN(K347,0)=$S$14,$U$14,$T$14))</f>
        <v>　レベル　5</v>
      </c>
      <c r="L352" s="2754" t="s">
        <v>273</v>
      </c>
      <c r="M352" s="2755"/>
      <c r="N352" s="2755"/>
      <c r="O352" s="2756"/>
    </row>
    <row r="353" spans="2:15" ht="15.75" customHeight="1">
      <c r="B353" s="1002">
        <v>0</v>
      </c>
      <c r="C353" s="1002">
        <v>0</v>
      </c>
      <c r="D353" s="953"/>
      <c r="E353" s="155"/>
      <c r="F353" s="1088"/>
      <c r="G353" s="1290" t="s">
        <v>1807</v>
      </c>
      <c r="H353" s="1291" t="s">
        <v>274</v>
      </c>
      <c r="I353" s="1291"/>
      <c r="J353" s="1292"/>
      <c r="K353" s="1292"/>
      <c r="L353" s="1088"/>
      <c r="M353" s="1088"/>
      <c r="N353" s="1088"/>
      <c r="O353" s="1088"/>
    </row>
    <row r="354" spans="2:15" ht="15.75">
      <c r="D354" s="953"/>
      <c r="E354" s="155"/>
      <c r="F354" s="1088"/>
      <c r="G354" s="1293"/>
      <c r="H354" s="1294" t="s">
        <v>275</v>
      </c>
      <c r="I354" s="1294"/>
      <c r="J354" s="1293"/>
      <c r="K354" s="1293"/>
      <c r="L354" s="1088"/>
      <c r="M354" s="1088"/>
      <c r="N354" s="1088"/>
      <c r="O354" s="1088"/>
    </row>
    <row r="355" spans="2:15" ht="15.75">
      <c r="D355" s="953"/>
      <c r="E355" s="155"/>
      <c r="F355" s="1088"/>
      <c r="G355" s="1088"/>
      <c r="H355" s="1088"/>
      <c r="I355" s="1088"/>
      <c r="J355" s="1088"/>
      <c r="K355" s="1088"/>
      <c r="L355" s="1088"/>
      <c r="M355" s="1088"/>
      <c r="N355" s="1088"/>
      <c r="O355" s="1088"/>
    </row>
    <row r="356" spans="2:15" ht="15.75">
      <c r="D356" s="949">
        <v>3.2</v>
      </c>
      <c r="E356" s="958" t="s">
        <v>1808</v>
      </c>
      <c r="F356" s="1121"/>
      <c r="G356" s="1038"/>
      <c r="H356" s="1083"/>
      <c r="I356" s="1004"/>
      <c r="J356" s="1041" t="str">
        <f>IF(OR(F358=0,AND(J357=0,O357=0)),$R$3,"")</f>
        <v/>
      </c>
      <c r="K356" s="1004"/>
      <c r="L356" s="1004"/>
      <c r="M356" s="1037"/>
      <c r="N356" s="1004"/>
      <c r="O356" s="1041"/>
    </row>
    <row r="357" spans="2:15" ht="16.5" thickBot="1">
      <c r="D357" s="953"/>
      <c r="E357" s="155"/>
      <c r="F357" s="1102" t="s">
        <v>313</v>
      </c>
      <c r="G357" s="966"/>
      <c r="H357" s="967"/>
      <c r="I357" s="968" t="s">
        <v>1358</v>
      </c>
      <c r="J357" s="969">
        <f>重み!M101</f>
        <v>0.24827586206896551</v>
      </c>
      <c r="K357" s="1103"/>
      <c r="L357" s="1105"/>
      <c r="M357" s="1106" t="s">
        <v>1961</v>
      </c>
      <c r="N357" s="968" t="s">
        <v>1358</v>
      </c>
      <c r="O357" s="970">
        <f>重み!N101</f>
        <v>8.6206896551724144E-2</v>
      </c>
    </row>
    <row r="358" spans="2:15" ht="16.5" thickBot="1">
      <c r="D358" s="953"/>
      <c r="E358" s="155"/>
      <c r="F358" s="972">
        <v>3</v>
      </c>
      <c r="G358" s="2819" t="s">
        <v>1809</v>
      </c>
      <c r="H358" s="2841"/>
      <c r="I358" s="1084" t="s">
        <v>1810</v>
      </c>
      <c r="J358" s="978"/>
      <c r="K358" s="1107" t="s">
        <v>1998</v>
      </c>
      <c r="L358" s="1108"/>
      <c r="M358" s="972">
        <v>3</v>
      </c>
      <c r="N358" s="1084" t="s">
        <v>1977</v>
      </c>
      <c r="O358" s="978"/>
    </row>
    <row r="359" spans="2:15" ht="15.75" customHeight="1">
      <c r="B359" s="1" t="s">
        <v>2167</v>
      </c>
      <c r="C359" s="1" t="s">
        <v>2167</v>
      </c>
      <c r="D359" s="953"/>
      <c r="E359" s="155"/>
      <c r="F359" s="979" t="str">
        <f>IF(F358=$S$15,$T$10,IF(ROUNDDOWN(F358,0)=$S$10,$U$10,$T$10))</f>
        <v>　レベル　1</v>
      </c>
      <c r="G359" s="2731" t="s">
        <v>1811</v>
      </c>
      <c r="H359" s="2733"/>
      <c r="I359" s="2731" t="s">
        <v>1811</v>
      </c>
      <c r="J359" s="2733"/>
      <c r="K359" s="2731" t="s">
        <v>1811</v>
      </c>
      <c r="L359" s="2733"/>
      <c r="M359" s="979" t="str">
        <f>IF(M358=$S$15,$T$10,IF(ROUNDDOWN(M358,0)=$S$10,$U$10,$T$10))</f>
        <v>　レベル　1</v>
      </c>
      <c r="N359" s="2731" t="s">
        <v>1811</v>
      </c>
      <c r="O359" s="2733"/>
    </row>
    <row r="360" spans="2:15" ht="15.75" customHeight="1">
      <c r="B360" s="1">
        <v>2</v>
      </c>
      <c r="C360" s="1">
        <v>2</v>
      </c>
      <c r="D360" s="953"/>
      <c r="E360" s="155"/>
      <c r="F360" s="984" t="str">
        <f>IF(F358=$S$15,$T$11,IF(ROUNDDOWN(F358,0)=$S$11,$U$11,$T$11))</f>
        <v>　レベル　2</v>
      </c>
      <c r="G360" s="2727" t="s">
        <v>1812</v>
      </c>
      <c r="H360" s="2734"/>
      <c r="I360" s="2727" t="s">
        <v>1813</v>
      </c>
      <c r="J360" s="2734"/>
      <c r="K360" s="2727" t="s">
        <v>1814</v>
      </c>
      <c r="L360" s="2734"/>
      <c r="M360" s="984" t="str">
        <f>IF(M358=$S$15,$T$11,IF(ROUNDDOWN(M358,0)=$S$11,$U$11,$T$11))</f>
        <v>　レベル　2</v>
      </c>
      <c r="N360" s="2727" t="s">
        <v>1815</v>
      </c>
      <c r="O360" s="2734"/>
    </row>
    <row r="361" spans="2:15" ht="15.75" customHeight="1">
      <c r="B361" s="1">
        <v>3</v>
      </c>
      <c r="C361" s="1">
        <v>3</v>
      </c>
      <c r="D361" s="953"/>
      <c r="E361" s="155"/>
      <c r="F361" s="984" t="str">
        <f>IF(F358=$S$15,$T$12,IF(ROUNDDOWN(F358,0)=$S$12,$U$12,$T$12))</f>
        <v>■レベル　3</v>
      </c>
      <c r="G361" s="2727" t="s">
        <v>1816</v>
      </c>
      <c r="H361" s="2734"/>
      <c r="I361" s="2727" t="s">
        <v>1817</v>
      </c>
      <c r="J361" s="2734"/>
      <c r="K361" s="2727" t="s">
        <v>2816</v>
      </c>
      <c r="L361" s="2734"/>
      <c r="M361" s="984" t="str">
        <f>IF(M358=$S$15,$T$12,IF(ROUNDDOWN(M358,0)=$S$12,$U$12,$T$12))</f>
        <v>■レベル　3</v>
      </c>
      <c r="N361" s="2727" t="s">
        <v>2817</v>
      </c>
      <c r="O361" s="2734"/>
    </row>
    <row r="362" spans="2:15" ht="15.75" customHeight="1">
      <c r="B362" s="1">
        <v>4</v>
      </c>
      <c r="C362" s="1">
        <v>4</v>
      </c>
      <c r="D362" s="953"/>
      <c r="E362" s="155"/>
      <c r="F362" s="984" t="str">
        <f>IF(F358=$S$15,$T$13,IF(ROUNDDOWN(F358,0)=$S$13,$U$13,$T$13))</f>
        <v>　レベル　4</v>
      </c>
      <c r="G362" s="2727" t="s">
        <v>2818</v>
      </c>
      <c r="H362" s="2734"/>
      <c r="I362" s="2727" t="s">
        <v>2819</v>
      </c>
      <c r="J362" s="2734"/>
      <c r="K362" s="2727" t="s">
        <v>1816</v>
      </c>
      <c r="L362" s="2734"/>
      <c r="M362" s="984" t="str">
        <f>IF(M358=$S$15,$T$13,IF(ROUNDDOWN(M358,0)=$S$13,$U$13,$T$13))</f>
        <v>　レベル　4</v>
      </c>
      <c r="N362" s="2727" t="s">
        <v>2297</v>
      </c>
      <c r="O362" s="2734"/>
    </row>
    <row r="363" spans="2:15" ht="15.75" customHeight="1">
      <c r="B363" s="1">
        <v>5</v>
      </c>
      <c r="C363" s="1">
        <v>5</v>
      </c>
      <c r="D363" s="953"/>
      <c r="E363" s="155"/>
      <c r="F363" s="995" t="str">
        <f>IF(F358=$S$15,$T$14,IF(ROUNDDOWN(F358,0)=$S$14,$U$14,$T$14))</f>
        <v>　レベル　5</v>
      </c>
      <c r="G363" s="2724" t="s">
        <v>2105</v>
      </c>
      <c r="H363" s="2743"/>
      <c r="I363" s="2724" t="s">
        <v>2106</v>
      </c>
      <c r="J363" s="2743"/>
      <c r="K363" s="2724" t="s">
        <v>2107</v>
      </c>
      <c r="L363" s="2743"/>
      <c r="M363" s="995" t="str">
        <f>IF(M358=$S$15,$T$14,IF(ROUNDDOWN(M358,0)=$S$14,$U$14,$T$14))</f>
        <v>　レベル　5</v>
      </c>
      <c r="N363" s="2724" t="s">
        <v>2108</v>
      </c>
      <c r="O363" s="2743"/>
    </row>
    <row r="364" spans="2:15" ht="15.75">
      <c r="B364" s="1002">
        <v>0</v>
      </c>
      <c r="C364" s="1002">
        <v>0</v>
      </c>
      <c r="D364" s="953"/>
      <c r="E364" s="537"/>
      <c r="F364" s="1037"/>
      <c r="G364" s="1037"/>
      <c r="H364" s="1037"/>
      <c r="I364" s="1037"/>
      <c r="J364" s="1037"/>
      <c r="K364" s="1037"/>
      <c r="L364" s="1037"/>
      <c r="M364" s="1037"/>
      <c r="N364" s="1037"/>
      <c r="O364" s="1037"/>
    </row>
    <row r="365" spans="2:15" ht="15.75">
      <c r="D365" s="949">
        <v>3.3</v>
      </c>
      <c r="E365" s="958" t="s">
        <v>2109</v>
      </c>
      <c r="F365" s="1083"/>
      <c r="G365" s="1038"/>
      <c r="H365" s="1083"/>
      <c r="I365" s="1083"/>
      <c r="J365" s="1083"/>
      <c r="K365" s="1083"/>
      <c r="L365" s="1038"/>
      <c r="M365" s="1083"/>
      <c r="N365" s="1083"/>
      <c r="O365" s="1083"/>
    </row>
    <row r="366" spans="2:15" ht="15.75">
      <c r="D366" s="949"/>
      <c r="E366" s="958"/>
      <c r="F366" s="1121" t="s">
        <v>276</v>
      </c>
      <c r="G366" s="1038"/>
      <c r="H366" s="1083"/>
      <c r="I366" s="1004"/>
      <c r="J366" s="1041"/>
      <c r="K366" s="1121" t="s">
        <v>277</v>
      </c>
      <c r="L366" s="1038"/>
      <c r="M366" s="1083"/>
      <c r="N366" s="1004"/>
      <c r="O366" s="1041"/>
    </row>
    <row r="367" spans="2:15" ht="16.5" thickBot="1">
      <c r="D367" s="953"/>
      <c r="E367" s="155"/>
      <c r="F367" s="965"/>
      <c r="G367" s="966"/>
      <c r="H367" s="967"/>
      <c r="I367" s="968" t="s">
        <v>1358</v>
      </c>
      <c r="J367" s="971">
        <f>重み!M103</f>
        <v>0.2</v>
      </c>
      <c r="K367" s="965"/>
      <c r="L367" s="966"/>
      <c r="M367" s="967"/>
      <c r="N367" s="968" t="s">
        <v>1358</v>
      </c>
      <c r="O367" s="971">
        <f>重み!M104</f>
        <v>0.2</v>
      </c>
    </row>
    <row r="368" spans="2:15" ht="16.5" thickBot="1">
      <c r="D368" s="953"/>
      <c r="E368" s="155"/>
      <c r="F368" s="972">
        <v>3</v>
      </c>
      <c r="G368" s="1084" t="s">
        <v>1490</v>
      </c>
      <c r="H368" s="978"/>
      <c r="I368" s="977"/>
      <c r="J368" s="978"/>
      <c r="K368" s="972">
        <v>3</v>
      </c>
      <c r="L368" s="1084" t="s">
        <v>1490</v>
      </c>
      <c r="M368" s="978"/>
      <c r="N368" s="1084"/>
      <c r="O368" s="1089"/>
    </row>
    <row r="369" spans="2:15" ht="21" customHeight="1">
      <c r="B369" s="1">
        <v>1</v>
      </c>
      <c r="C369" s="1">
        <v>1</v>
      </c>
      <c r="D369" s="953"/>
      <c r="E369" s="155"/>
      <c r="F369" s="979" t="str">
        <f>IF(F368=$S$15,$T$10,IF(ROUNDDOWN(F368,0)=$S$10,$U$10,$T$10))</f>
        <v>　レベル　1</v>
      </c>
      <c r="G369" s="2731" t="s">
        <v>2110</v>
      </c>
      <c r="H369" s="2832"/>
      <c r="I369" s="2832"/>
      <c r="J369" s="2833"/>
      <c r="K369" s="979" t="str">
        <f>IF(K368=$S$15,$T$10,IF(ROUNDDOWN(K368,0)=$S$10,$U$10,$T$10))</f>
        <v>　レベル　1</v>
      </c>
      <c r="L369" s="2731" t="s">
        <v>2111</v>
      </c>
      <c r="M369" s="2832"/>
      <c r="N369" s="2832"/>
      <c r="O369" s="2833"/>
    </row>
    <row r="370" spans="2:15" ht="38.25" customHeight="1">
      <c r="B370" s="1">
        <v>2</v>
      </c>
      <c r="C370" s="1">
        <v>2</v>
      </c>
      <c r="D370" s="953"/>
      <c r="E370" s="155"/>
      <c r="F370" s="984" t="str">
        <f>IF(F368=$S$15,$T$11,IF(ROUNDDOWN(F368,0)=$S$11,$U$11,$T$11))</f>
        <v>　レベル　2</v>
      </c>
      <c r="G370" s="2758" t="s">
        <v>1513</v>
      </c>
      <c r="H370" s="2759"/>
      <c r="I370" s="2759"/>
      <c r="J370" s="2760"/>
      <c r="K370" s="984" t="str">
        <f>IF(K368=$S$15,$T$11,IF(ROUNDDOWN(K368,0)=$S$11,$U$11,$T$11))</f>
        <v>　レベル　2</v>
      </c>
      <c r="L370" s="2758" t="s">
        <v>1514</v>
      </c>
      <c r="M370" s="2759"/>
      <c r="N370" s="2759"/>
      <c r="O370" s="2760"/>
    </row>
    <row r="371" spans="2:15" ht="38.25" customHeight="1">
      <c r="B371" s="1">
        <v>3</v>
      </c>
      <c r="C371" s="1">
        <v>3</v>
      </c>
      <c r="D371" s="953"/>
      <c r="E371" s="155"/>
      <c r="F371" s="984" t="str">
        <f>IF(F368=$S$15,$T$12,IF(ROUNDDOWN(F368,0)=$S$12,$U$12,$T$12))</f>
        <v>■レベル　3</v>
      </c>
      <c r="G371" s="2758" t="s">
        <v>278</v>
      </c>
      <c r="H371" s="2759"/>
      <c r="I371" s="2759"/>
      <c r="J371" s="2760"/>
      <c r="K371" s="984" t="str">
        <f>IF(K368=$S$15,$T$12,IF(ROUNDDOWN(K368,0)=$S$12,$U$12,$T$12))</f>
        <v>■レベル　3</v>
      </c>
      <c r="L371" s="2758" t="s">
        <v>1515</v>
      </c>
      <c r="M371" s="2759"/>
      <c r="N371" s="2759"/>
      <c r="O371" s="2760"/>
    </row>
    <row r="372" spans="2:15" ht="38.25" customHeight="1">
      <c r="B372" s="1">
        <v>4</v>
      </c>
      <c r="C372" s="1">
        <v>4</v>
      </c>
      <c r="D372" s="953"/>
      <c r="E372" s="155"/>
      <c r="F372" s="984" t="str">
        <f>IF(F368=$S$15,$T$13,IF(ROUNDDOWN(F368,0)=$S$13,$U$13,$T$13))</f>
        <v>　レベル　4</v>
      </c>
      <c r="G372" s="2758" t="s">
        <v>1516</v>
      </c>
      <c r="H372" s="2759"/>
      <c r="I372" s="2759"/>
      <c r="J372" s="2760"/>
      <c r="K372" s="984" t="str">
        <f>IF(K368=$S$15,$T$13,IF(ROUNDDOWN(K368,0)=$S$13,$U$13,$T$13))</f>
        <v>　レベル　4</v>
      </c>
      <c r="L372" s="2758" t="s">
        <v>1517</v>
      </c>
      <c r="M372" s="2759"/>
      <c r="N372" s="2759"/>
      <c r="O372" s="2760"/>
    </row>
    <row r="373" spans="2:15" ht="38.25" customHeight="1">
      <c r="B373" s="1">
        <v>5</v>
      </c>
      <c r="C373" s="1">
        <v>5</v>
      </c>
      <c r="D373" s="953"/>
      <c r="E373" s="155"/>
      <c r="F373" s="995" t="str">
        <f>IF(F368=$S$15,$T$14,IF(ROUNDDOWN(F368,0)=$S$14,$U$14,$T$14))</f>
        <v>　レベル　5</v>
      </c>
      <c r="G373" s="2754" t="s">
        <v>1336</v>
      </c>
      <c r="H373" s="2755"/>
      <c r="I373" s="2755"/>
      <c r="J373" s="2756"/>
      <c r="K373" s="995" t="str">
        <f>IF(K368=$S$15,$T$14,IF(ROUNDDOWN(K368,0)=$S$14,$U$14,$T$14))</f>
        <v>　レベル　5</v>
      </c>
      <c r="L373" s="2754" t="s">
        <v>1337</v>
      </c>
      <c r="M373" s="2755"/>
      <c r="N373" s="2755"/>
      <c r="O373" s="2756"/>
    </row>
    <row r="374" spans="2:15" ht="15.75">
      <c r="B374" s="1002">
        <v>0</v>
      </c>
      <c r="C374" s="1002">
        <v>0</v>
      </c>
      <c r="D374" s="953"/>
      <c r="E374" s="1097"/>
      <c r="F374" s="1120"/>
      <c r="G374" s="1120"/>
      <c r="H374" s="1120"/>
      <c r="I374" s="1120"/>
      <c r="J374" s="1118"/>
      <c r="K374" s="1118"/>
      <c r="L374" s="1120"/>
      <c r="M374" s="1120"/>
      <c r="N374" s="1118"/>
      <c r="O374" s="1295"/>
    </row>
    <row r="375" spans="2:15" ht="15.75">
      <c r="D375" s="953"/>
      <c r="E375" s="1097"/>
      <c r="F375" s="1121" t="s">
        <v>1518</v>
      </c>
      <c r="G375" s="1038"/>
      <c r="H375" s="1083"/>
      <c r="I375" s="1004"/>
      <c r="J375" s="1041"/>
      <c r="K375" s="1121" t="s">
        <v>119</v>
      </c>
      <c r="L375" s="1038"/>
      <c r="M375" s="1083"/>
      <c r="N375" s="1004"/>
      <c r="O375" s="1041"/>
    </row>
    <row r="376" spans="2:15" ht="16.5" thickBot="1">
      <c r="D376" s="953"/>
      <c r="E376" s="1097"/>
      <c r="F376" s="965"/>
      <c r="G376" s="966"/>
      <c r="H376" s="967"/>
      <c r="I376" s="968" t="s">
        <v>1358</v>
      </c>
      <c r="J376" s="971">
        <f>重み!M105</f>
        <v>0.1</v>
      </c>
      <c r="K376" s="965"/>
      <c r="L376" s="966"/>
      <c r="M376" s="967"/>
      <c r="N376" s="968" t="s">
        <v>1358</v>
      </c>
      <c r="O376" s="971">
        <f>重み!M106</f>
        <v>0.1</v>
      </c>
    </row>
    <row r="377" spans="2:15" ht="15.75" customHeight="1" thickBot="1">
      <c r="D377" s="953"/>
      <c r="E377" s="1097"/>
      <c r="F377" s="972">
        <v>3</v>
      </c>
      <c r="G377" s="1084" t="s">
        <v>1490</v>
      </c>
      <c r="H377" s="978"/>
      <c r="I377" s="977"/>
      <c r="J377" s="978"/>
      <c r="K377" s="972">
        <v>3</v>
      </c>
      <c r="L377" s="1084" t="s">
        <v>1490</v>
      </c>
      <c r="M377" s="978"/>
      <c r="N377" s="1084"/>
      <c r="O377" s="1089"/>
    </row>
    <row r="378" spans="2:15" ht="15.75" customHeight="1">
      <c r="B378" s="1">
        <v>1</v>
      </c>
      <c r="C378" s="1">
        <v>1</v>
      </c>
      <c r="D378" s="953"/>
      <c r="E378" s="1097"/>
      <c r="F378" s="979" t="str">
        <f>IF(F377=$S$15,$T$10,IF(ROUNDDOWN(F377,0)=$S$10,$U$10,$T$10))</f>
        <v>　レベル　1</v>
      </c>
      <c r="G378" s="2731" t="s">
        <v>1519</v>
      </c>
      <c r="H378" s="2832"/>
      <c r="I378" s="2832"/>
      <c r="J378" s="2833"/>
      <c r="K378" s="979" t="str">
        <f>IF(K377=$S$15,$T$10,IF(ROUNDDOWN(K377,0)=$S$10,$U$10,$T$10))</f>
        <v>　レベル　1</v>
      </c>
      <c r="L378" s="2731" t="s">
        <v>1520</v>
      </c>
      <c r="M378" s="2832"/>
      <c r="N378" s="2832"/>
      <c r="O378" s="2833"/>
    </row>
    <row r="379" spans="2:15" ht="15.75" customHeight="1">
      <c r="B379" s="1" t="s">
        <v>1494</v>
      </c>
      <c r="C379" s="1" t="s">
        <v>1494</v>
      </c>
      <c r="D379" s="953"/>
      <c r="E379" s="1097"/>
      <c r="F379" s="984" t="str">
        <f>IF(F377=$S$15,$T$11,IF(ROUNDDOWN(F377,0)=$S$11,$U$11,$T$11))</f>
        <v>　レベル　2</v>
      </c>
      <c r="G379" s="2758" t="s">
        <v>2168</v>
      </c>
      <c r="H379" s="2759"/>
      <c r="I379" s="2759"/>
      <c r="J379" s="2760"/>
      <c r="K379" s="984" t="str">
        <f>IF(K377=$S$15,$T$11,IF(ROUNDDOWN(K377,0)=$S$11,$U$11,$T$11))</f>
        <v>　レベル　2</v>
      </c>
      <c r="L379" s="2758" t="s">
        <v>2168</v>
      </c>
      <c r="M379" s="2759"/>
      <c r="N379" s="2759"/>
      <c r="O379" s="2760"/>
    </row>
    <row r="380" spans="2:15" ht="15.75">
      <c r="B380" s="1">
        <v>3</v>
      </c>
      <c r="C380" s="1">
        <v>3</v>
      </c>
      <c r="D380" s="953"/>
      <c r="E380" s="1097"/>
      <c r="F380" s="984" t="str">
        <f>IF(F377=$S$15,$T$12,IF(ROUNDDOWN(F377,0)=$S$12,$U$12,$T$12))</f>
        <v>■レベル　3</v>
      </c>
      <c r="G380" s="2758" t="s">
        <v>120</v>
      </c>
      <c r="H380" s="2759"/>
      <c r="I380" s="2759"/>
      <c r="J380" s="2760"/>
      <c r="K380" s="984" t="str">
        <f>IF(K377=$S$15,$T$12,IF(ROUNDDOWN(K377,0)=$S$12,$U$12,$T$12))</f>
        <v>■レベル　3</v>
      </c>
      <c r="L380" s="2758" t="s">
        <v>121</v>
      </c>
      <c r="M380" s="2759"/>
      <c r="N380" s="2759"/>
      <c r="O380" s="2760"/>
    </row>
    <row r="381" spans="2:15" ht="15.75" customHeight="1">
      <c r="B381" s="1" t="s">
        <v>1494</v>
      </c>
      <c r="C381" s="1" t="s">
        <v>1494</v>
      </c>
      <c r="D381" s="953"/>
      <c r="E381" s="1097" t="s">
        <v>122</v>
      </c>
      <c r="F381" s="984" t="str">
        <f>IF(F377=$S$15,$T$13,IF(ROUNDDOWN(F377,0)=$S$13,$U$13,$T$13))</f>
        <v>　レベル　4</v>
      </c>
      <c r="G381" s="2758" t="s">
        <v>2168</v>
      </c>
      <c r="H381" s="2759"/>
      <c r="I381" s="2759"/>
      <c r="J381" s="2760"/>
      <c r="K381" s="984" t="str">
        <f>IF(K377=$S$15,$T$13,IF(ROUNDDOWN(K377,0)=$S$13,$U$13,$T$13))</f>
        <v>　レベル　4</v>
      </c>
      <c r="L381" s="2758" t="s">
        <v>2168</v>
      </c>
      <c r="M381" s="2759"/>
      <c r="N381" s="2759"/>
      <c r="O381" s="2760"/>
    </row>
    <row r="382" spans="2:15" ht="32.25" customHeight="1">
      <c r="B382" s="1">
        <v>5</v>
      </c>
      <c r="C382" s="1">
        <v>5</v>
      </c>
      <c r="D382" s="953"/>
      <c r="E382" s="1097"/>
      <c r="F382" s="995" t="str">
        <f>IF(F377=$S$15,$T$14,IF(ROUNDDOWN(F377,0)=$S$14,$U$14,$T$14))</f>
        <v>　レベル　5</v>
      </c>
      <c r="G382" s="2754" t="s">
        <v>1521</v>
      </c>
      <c r="H382" s="2755"/>
      <c r="I382" s="2755"/>
      <c r="J382" s="2756"/>
      <c r="K382" s="995" t="str">
        <f>IF(K377=$S$15,$T$14,IF(ROUNDDOWN(K377,0)=$S$14,$U$14,$T$14))</f>
        <v>　レベル　5</v>
      </c>
      <c r="L382" s="2754" t="s">
        <v>1522</v>
      </c>
      <c r="M382" s="2755"/>
      <c r="N382" s="2755"/>
      <c r="O382" s="2756"/>
    </row>
    <row r="383" spans="2:15" ht="15.75">
      <c r="B383" s="1002">
        <v>0</v>
      </c>
      <c r="C383" s="1002">
        <v>0</v>
      </c>
      <c r="D383" s="953"/>
      <c r="E383" s="1097"/>
      <c r="F383" s="1120"/>
      <c r="G383" s="1120"/>
      <c r="H383" s="1120"/>
      <c r="I383" s="1120"/>
      <c r="J383" s="1118"/>
      <c r="K383" s="1118"/>
      <c r="L383" s="1120"/>
      <c r="M383" s="1120"/>
      <c r="N383" s="1118"/>
      <c r="O383" s="1295"/>
    </row>
    <row r="384" spans="2:15" ht="15.75">
      <c r="D384" s="953"/>
      <c r="E384" s="1097"/>
      <c r="F384" s="1121" t="s">
        <v>1523</v>
      </c>
      <c r="G384" s="1038"/>
      <c r="H384" s="1083"/>
      <c r="I384" s="1004"/>
      <c r="J384" s="1041"/>
      <c r="K384" s="1121" t="s">
        <v>1524</v>
      </c>
      <c r="L384" s="1038"/>
      <c r="M384" s="1083"/>
      <c r="N384" s="1004"/>
      <c r="O384" s="1041"/>
    </row>
    <row r="385" spans="2:15" ht="16.5" thickBot="1">
      <c r="D385" s="953"/>
      <c r="E385" s="1097"/>
      <c r="F385" s="965"/>
      <c r="G385" s="966"/>
      <c r="H385" s="967"/>
      <c r="I385" s="968" t="s">
        <v>1358</v>
      </c>
      <c r="J385" s="971">
        <f>重み!M107</f>
        <v>0.2</v>
      </c>
      <c r="K385" s="965"/>
      <c r="L385" s="966"/>
      <c r="M385" s="967"/>
      <c r="N385" s="968" t="s">
        <v>1358</v>
      </c>
      <c r="O385" s="971">
        <f>重み!M108</f>
        <v>0.2</v>
      </c>
    </row>
    <row r="386" spans="2:15" ht="16.5" thickBot="1">
      <c r="D386" s="953"/>
      <c r="E386" s="1097"/>
      <c r="F386" s="972">
        <v>3</v>
      </c>
      <c r="G386" s="1084" t="s">
        <v>1490</v>
      </c>
      <c r="H386" s="978"/>
      <c r="I386" s="977"/>
      <c r="J386" s="978"/>
      <c r="K386" s="972">
        <v>3</v>
      </c>
      <c r="L386" s="1084" t="s">
        <v>1490</v>
      </c>
      <c r="M386" s="978"/>
      <c r="N386" s="1084"/>
      <c r="O386" s="1089"/>
    </row>
    <row r="387" spans="2:15" ht="30.75" customHeight="1">
      <c r="B387" s="1">
        <v>1</v>
      </c>
      <c r="C387" s="1" t="s">
        <v>1494</v>
      </c>
      <c r="D387" s="953"/>
      <c r="E387" s="342" t="str">
        <f>IF(AND(D389="対象外",H388&gt;0.001),"★入力エラー：レベル１～５を選択し直してください！","")</f>
        <v/>
      </c>
      <c r="F387" s="979" t="str">
        <f>IF(F386=$S$15,$T$10,IF(ROUNDDOWN(F386,0)=$S$10,$U$10,$T$10))</f>
        <v>　レベル　1</v>
      </c>
      <c r="G387" s="2731" t="s">
        <v>56</v>
      </c>
      <c r="H387" s="2832"/>
      <c r="I387" s="2832"/>
      <c r="J387" s="2833"/>
      <c r="K387" s="979" t="str">
        <f>IF(K386=$S$15,$T$10,IF(ROUNDDOWN(K386,0)=$S$10,$U$10,$T$10))</f>
        <v>　レベル　1</v>
      </c>
      <c r="L387" s="2731" t="s">
        <v>2168</v>
      </c>
      <c r="M387" s="2832"/>
      <c r="N387" s="2832"/>
      <c r="O387" s="2833"/>
    </row>
    <row r="388" spans="2:15" ht="15.75">
      <c r="B388" s="1" t="s">
        <v>1494</v>
      </c>
      <c r="C388" s="1" t="s">
        <v>1494</v>
      </c>
      <c r="D388" s="953"/>
      <c r="E388" s="1097"/>
      <c r="F388" s="984" t="str">
        <f>IF(F386=$S$15,$T$11,IF(ROUNDDOWN(F386,0)=$S$11,$U$11,$T$11))</f>
        <v>　レベル　2</v>
      </c>
      <c r="G388" s="2758" t="s">
        <v>2168</v>
      </c>
      <c r="H388" s="2759"/>
      <c r="I388" s="2759"/>
      <c r="J388" s="2760"/>
      <c r="K388" s="984" t="str">
        <f>IF(K386=$S$15,$T$11,IF(ROUNDDOWN(K386,0)=$S$11,$U$11,$T$11))</f>
        <v>　レベル　2</v>
      </c>
      <c r="L388" s="2758" t="s">
        <v>2168</v>
      </c>
      <c r="M388" s="2759"/>
      <c r="N388" s="2759"/>
      <c r="O388" s="2760"/>
    </row>
    <row r="389" spans="2:15" ht="35.25" customHeight="1">
      <c r="B389" s="1">
        <v>3</v>
      </c>
      <c r="C389" s="1">
        <v>3</v>
      </c>
      <c r="D389" s="953"/>
      <c r="E389" s="1097"/>
      <c r="F389" s="984" t="str">
        <f>IF(F386=$S$15,$T$12,IF(ROUNDDOWN(F386,0)=$S$12,$U$12,$T$12))</f>
        <v>■レベル　3</v>
      </c>
      <c r="G389" s="2758" t="s">
        <v>57</v>
      </c>
      <c r="H389" s="2759"/>
      <c r="I389" s="2759"/>
      <c r="J389" s="2760"/>
      <c r="K389" s="984" t="str">
        <f>IF(K386=$S$15,$T$12,IF(ROUNDDOWN(K386,0)=$S$12,$U$12,$T$12))</f>
        <v>■レベル　3</v>
      </c>
      <c r="L389" s="2758" t="s">
        <v>1525</v>
      </c>
      <c r="M389" s="2759"/>
      <c r="N389" s="2759"/>
      <c r="O389" s="2760"/>
    </row>
    <row r="390" spans="2:15" ht="31.5" customHeight="1">
      <c r="B390" s="1">
        <v>4</v>
      </c>
      <c r="C390" s="1">
        <v>4</v>
      </c>
      <c r="D390" s="953"/>
      <c r="E390" s="1097"/>
      <c r="F390" s="984" t="str">
        <f>IF(F386=$S$15,$T$13,IF(ROUNDDOWN(F386,0)=$S$13,$U$13,$T$13))</f>
        <v>　レベル　4</v>
      </c>
      <c r="G390" s="2758" t="s">
        <v>59</v>
      </c>
      <c r="H390" s="2759"/>
      <c r="I390" s="2759"/>
      <c r="J390" s="2760"/>
      <c r="K390" s="984" t="str">
        <f>IF(K386=$S$15,$T$13,IF(ROUNDDOWN(K386,0)=$S$13,$U$13,$T$13))</f>
        <v>　レベル　4</v>
      </c>
      <c r="L390" s="2758" t="s">
        <v>500</v>
      </c>
      <c r="M390" s="2759"/>
      <c r="N390" s="2759"/>
      <c r="O390" s="2760"/>
    </row>
    <row r="391" spans="2:15" ht="36.75" customHeight="1">
      <c r="B391" s="1">
        <v>5</v>
      </c>
      <c r="C391" s="1" t="s">
        <v>1494</v>
      </c>
      <c r="D391" s="953"/>
      <c r="E391" s="1097"/>
      <c r="F391" s="995" t="str">
        <f>IF(F386=$S$15,$T$14,IF(ROUNDDOWN(F386,0)=$S$14,$U$14,$T$14))</f>
        <v>　レベル　5</v>
      </c>
      <c r="G391" s="2754" t="s">
        <v>58</v>
      </c>
      <c r="H391" s="2755"/>
      <c r="I391" s="2755"/>
      <c r="J391" s="2756"/>
      <c r="K391" s="995" t="str">
        <f>IF(K386=$S$15,$T$14,IF(ROUNDDOWN(K386,0)=$S$14,$U$14,$T$14))</f>
        <v>　レベル　5</v>
      </c>
      <c r="L391" s="2754" t="s">
        <v>2168</v>
      </c>
      <c r="M391" s="2755"/>
      <c r="N391" s="2755"/>
      <c r="O391" s="2756"/>
    </row>
    <row r="392" spans="2:15">
      <c r="B392" s="1002">
        <v>0</v>
      </c>
      <c r="C392" s="1002">
        <v>0</v>
      </c>
    </row>
    <row r="396" spans="2:15"/>
    <row r="397" spans="2:15"/>
    <row r="398" spans="2:15"/>
    <row r="399" spans="2:15"/>
    <row r="400" spans="2:15"/>
    <row r="401"/>
  </sheetData>
  <sheetProtection algorithmName="SHA-512" hashValue="LxJAXaaMpBpVjQ2B59psgkZSjZv49A0qdwqHsLUSqf4eOTGvfvv54OpE3VH43lddCzaN+E4EJHP8TIOvLl4+KA==" saltValue="oeU+l34UMtv3bBZy/xXOQw==" spinCount="100000" sheet="1" objects="1" scenarios="1"/>
  <mergeCells count="328">
    <mergeCell ref="G303:N303"/>
    <mergeCell ref="G304:N304"/>
    <mergeCell ref="G329:L329"/>
    <mergeCell ref="G293:H293"/>
    <mergeCell ref="I293:J293"/>
    <mergeCell ref="K293:L293"/>
    <mergeCell ref="M294:N294"/>
    <mergeCell ref="M293:N293"/>
    <mergeCell ref="G291:H291"/>
    <mergeCell ref="L127:O127"/>
    <mergeCell ref="L128:O128"/>
    <mergeCell ref="G129:K129"/>
    <mergeCell ref="G243:J243"/>
    <mergeCell ref="G292:H292"/>
    <mergeCell ref="L130:O130"/>
    <mergeCell ref="L137:O137"/>
    <mergeCell ref="G141:H141"/>
    <mergeCell ref="I141:M141"/>
    <mergeCell ref="G142:H142"/>
    <mergeCell ref="I142:M142"/>
    <mergeCell ref="L133:O133"/>
    <mergeCell ref="L134:O134"/>
    <mergeCell ref="L135:O135"/>
    <mergeCell ref="L136:O136"/>
    <mergeCell ref="L131:O131"/>
    <mergeCell ref="G132:K132"/>
    <mergeCell ref="L132:O132"/>
    <mergeCell ref="H149:J149"/>
    <mergeCell ref="L149:N149"/>
    <mergeCell ref="H150:J150"/>
    <mergeCell ref="L150:N150"/>
    <mergeCell ref="H147:J147"/>
    <mergeCell ref="L147:N147"/>
    <mergeCell ref="G31:J31"/>
    <mergeCell ref="K31:N31"/>
    <mergeCell ref="N39:O39"/>
    <mergeCell ref="G47:J47"/>
    <mergeCell ref="K47:N47"/>
    <mergeCell ref="G32:J32"/>
    <mergeCell ref="K32:N32"/>
    <mergeCell ref="G40:H40"/>
    <mergeCell ref="I40:J40"/>
    <mergeCell ref="N40:O40"/>
    <mergeCell ref="I38:J38"/>
    <mergeCell ref="N38:O38"/>
    <mergeCell ref="G39:H39"/>
    <mergeCell ref="I39:J39"/>
    <mergeCell ref="L126:O126"/>
    <mergeCell ref="I255:J255"/>
    <mergeCell ref="K255:L255"/>
    <mergeCell ref="G262:L262"/>
    <mergeCell ref="G252:H252"/>
    <mergeCell ref="G251:H251"/>
    <mergeCell ref="I251:J251"/>
    <mergeCell ref="G64:J64"/>
    <mergeCell ref="L64:O64"/>
    <mergeCell ref="G65:J65"/>
    <mergeCell ref="L65:O65"/>
    <mergeCell ref="G244:J244"/>
    <mergeCell ref="G245:J245"/>
    <mergeCell ref="G66:J66"/>
    <mergeCell ref="L66:O66"/>
    <mergeCell ref="G103:I103"/>
    <mergeCell ref="G67:J67"/>
    <mergeCell ref="L67:O67"/>
    <mergeCell ref="N73:O77"/>
    <mergeCell ref="N117:O121"/>
    <mergeCell ref="L125:O125"/>
    <mergeCell ref="G242:J242"/>
    <mergeCell ref="G261:L261"/>
    <mergeCell ref="G253:H253"/>
    <mergeCell ref="K362:L362"/>
    <mergeCell ref="G294:H294"/>
    <mergeCell ref="I294:J294"/>
    <mergeCell ref="K294:L294"/>
    <mergeCell ref="L351:O351"/>
    <mergeCell ref="L349:O349"/>
    <mergeCell ref="L350:O350"/>
    <mergeCell ref="G362:H362"/>
    <mergeCell ref="I362:J362"/>
    <mergeCell ref="L339:M339"/>
    <mergeCell ref="N362:O362"/>
    <mergeCell ref="G358:H358"/>
    <mergeCell ref="G305:N305"/>
    <mergeCell ref="G300:N300"/>
    <mergeCell ref="G301:N301"/>
    <mergeCell ref="G302:N302"/>
    <mergeCell ref="G332:L332"/>
    <mergeCell ref="N342:O342"/>
    <mergeCell ref="K359:L359"/>
    <mergeCell ref="K360:L360"/>
    <mergeCell ref="L341:M341"/>
    <mergeCell ref="N341:O341"/>
    <mergeCell ref="L343:M343"/>
    <mergeCell ref="N343:O343"/>
    <mergeCell ref="G28:J28"/>
    <mergeCell ref="K28:N28"/>
    <mergeCell ref="G38:H38"/>
    <mergeCell ref="I292:J292"/>
    <mergeCell ref="G273:H273"/>
    <mergeCell ref="I273:J273"/>
    <mergeCell ref="G281:L281"/>
    <mergeCell ref="G282:L282"/>
    <mergeCell ref="G279:L279"/>
    <mergeCell ref="M292:N292"/>
    <mergeCell ref="K292:L292"/>
    <mergeCell ref="G254:H254"/>
    <mergeCell ref="I254:J254"/>
    <mergeCell ref="K254:L254"/>
    <mergeCell ref="K251:L251"/>
    <mergeCell ref="I252:J252"/>
    <mergeCell ref="K30:N30"/>
    <mergeCell ref="G30:J30"/>
    <mergeCell ref="G29:J29"/>
    <mergeCell ref="K29:N29"/>
    <mergeCell ref="G56:J56"/>
    <mergeCell ref="L56:O56"/>
    <mergeCell ref="L129:O129"/>
    <mergeCell ref="G131:K131"/>
    <mergeCell ref="G381:J381"/>
    <mergeCell ref="L381:O381"/>
    <mergeCell ref="G363:H363"/>
    <mergeCell ref="I363:J363"/>
    <mergeCell ref="N363:O363"/>
    <mergeCell ref="G370:J370"/>
    <mergeCell ref="L370:O370"/>
    <mergeCell ref="G380:J380"/>
    <mergeCell ref="L380:O380"/>
    <mergeCell ref="L378:O378"/>
    <mergeCell ref="K363:L363"/>
    <mergeCell ref="L14:M14"/>
    <mergeCell ref="N14:O14"/>
    <mergeCell ref="G19:J19"/>
    <mergeCell ref="L19:O19"/>
    <mergeCell ref="G23:J23"/>
    <mergeCell ref="L23:O23"/>
    <mergeCell ref="G10:H10"/>
    <mergeCell ref="I10:J10"/>
    <mergeCell ref="G11:H11"/>
    <mergeCell ref="I11:J11"/>
    <mergeCell ref="L10:M10"/>
    <mergeCell ref="N10:O10"/>
    <mergeCell ref="L11:M11"/>
    <mergeCell ref="N11:O11"/>
    <mergeCell ref="L12:M12"/>
    <mergeCell ref="N12:O12"/>
    <mergeCell ref="L13:M13"/>
    <mergeCell ref="G20:J20"/>
    <mergeCell ref="N13:O13"/>
    <mergeCell ref="G22:J22"/>
    <mergeCell ref="L22:O22"/>
    <mergeCell ref="G14:H14"/>
    <mergeCell ref="I14:J14"/>
    <mergeCell ref="L20:O20"/>
    <mergeCell ref="G21:J21"/>
    <mergeCell ref="L21:O21"/>
    <mergeCell ref="L58:O58"/>
    <mergeCell ref="G59:J59"/>
    <mergeCell ref="L59:O59"/>
    <mergeCell ref="G60:J60"/>
    <mergeCell ref="L60:O60"/>
    <mergeCell ref="G58:J58"/>
    <mergeCell ref="G57:J57"/>
    <mergeCell ref="L57:O57"/>
    <mergeCell ref="G41:H41"/>
    <mergeCell ref="I41:J41"/>
    <mergeCell ref="N41:O41"/>
    <mergeCell ref="G42:H42"/>
    <mergeCell ref="I42:J42"/>
    <mergeCell ref="N42:O42"/>
    <mergeCell ref="G50:J50"/>
    <mergeCell ref="K50:N50"/>
    <mergeCell ref="G49:J49"/>
    <mergeCell ref="K49:N49"/>
    <mergeCell ref="G48:J48"/>
    <mergeCell ref="K48:N48"/>
    <mergeCell ref="G51:J51"/>
    <mergeCell ref="K51:N51"/>
    <mergeCell ref="H148:J148"/>
    <mergeCell ref="L148:N148"/>
    <mergeCell ref="G143:H143"/>
    <mergeCell ref="I143:M143"/>
    <mergeCell ref="I144:K144"/>
    <mergeCell ref="H146:J146"/>
    <mergeCell ref="L146:N146"/>
    <mergeCell ref="H155:J155"/>
    <mergeCell ref="L155:N155"/>
    <mergeCell ref="H156:J156"/>
    <mergeCell ref="L156:N156"/>
    <mergeCell ref="H153:J153"/>
    <mergeCell ref="L153:N153"/>
    <mergeCell ref="H154:J154"/>
    <mergeCell ref="L154:N154"/>
    <mergeCell ref="H151:J151"/>
    <mergeCell ref="L151:N151"/>
    <mergeCell ref="H152:J152"/>
    <mergeCell ref="L152:N152"/>
    <mergeCell ref="F179:F180"/>
    <mergeCell ref="I179:K179"/>
    <mergeCell ref="L179:N179"/>
    <mergeCell ref="I180:K180"/>
    <mergeCell ref="L180:N180"/>
    <mergeCell ref="N170:O174"/>
    <mergeCell ref="G178:H180"/>
    <mergeCell ref="I178:K178"/>
    <mergeCell ref="L178:N178"/>
    <mergeCell ref="F185:F186"/>
    <mergeCell ref="I185:K185"/>
    <mergeCell ref="L185:N185"/>
    <mergeCell ref="I186:K186"/>
    <mergeCell ref="L186:N186"/>
    <mergeCell ref="G184:H186"/>
    <mergeCell ref="I184:K184"/>
    <mergeCell ref="L184:N184"/>
    <mergeCell ref="I181:K181"/>
    <mergeCell ref="L181:N181"/>
    <mergeCell ref="F182:F183"/>
    <mergeCell ref="I182:K182"/>
    <mergeCell ref="L182:N182"/>
    <mergeCell ref="I183:K183"/>
    <mergeCell ref="L183:N183"/>
    <mergeCell ref="G181:H183"/>
    <mergeCell ref="L197:O197"/>
    <mergeCell ref="I197:J197"/>
    <mergeCell ref="G197:H197"/>
    <mergeCell ref="G196:H196"/>
    <mergeCell ref="L196:O196"/>
    <mergeCell ref="I196:J196"/>
    <mergeCell ref="G187:H187"/>
    <mergeCell ref="L194:O194"/>
    <mergeCell ref="L195:O195"/>
    <mergeCell ref="I194:J194"/>
    <mergeCell ref="I195:J195"/>
    <mergeCell ref="G194:H194"/>
    <mergeCell ref="G195:H195"/>
    <mergeCell ref="G283:L283"/>
    <mergeCell ref="G284:L284"/>
    <mergeCell ref="I291:J291"/>
    <mergeCell ref="K291:L291"/>
    <mergeCell ref="K252:L252"/>
    <mergeCell ref="M291:N291"/>
    <mergeCell ref="G255:H255"/>
    <mergeCell ref="L232:O232"/>
    <mergeCell ref="L198:O198"/>
    <mergeCell ref="G206:J206"/>
    <mergeCell ref="G207:J207"/>
    <mergeCell ref="I198:J198"/>
    <mergeCell ref="G198:H198"/>
    <mergeCell ref="G208:J208"/>
    <mergeCell ref="L216:O216"/>
    <mergeCell ref="L217:O217"/>
    <mergeCell ref="G264:L264"/>
    <mergeCell ref="G263:L263"/>
    <mergeCell ref="I253:J253"/>
    <mergeCell ref="K253:L253"/>
    <mergeCell ref="G285:L285"/>
    <mergeCell ref="G391:J391"/>
    <mergeCell ref="L391:O391"/>
    <mergeCell ref="G389:J389"/>
    <mergeCell ref="L389:O389"/>
    <mergeCell ref="G390:J390"/>
    <mergeCell ref="L390:O390"/>
    <mergeCell ref="L372:O372"/>
    <mergeCell ref="N360:O360"/>
    <mergeCell ref="G361:H361"/>
    <mergeCell ref="L382:O382"/>
    <mergeCell ref="G379:J379"/>
    <mergeCell ref="N361:O361"/>
    <mergeCell ref="G360:H360"/>
    <mergeCell ref="G373:J373"/>
    <mergeCell ref="K361:L361"/>
    <mergeCell ref="G382:J382"/>
    <mergeCell ref="L379:O379"/>
    <mergeCell ref="G371:J371"/>
    <mergeCell ref="L371:O371"/>
    <mergeCell ref="G372:J372"/>
    <mergeCell ref="I361:J361"/>
    <mergeCell ref="I360:J360"/>
    <mergeCell ref="G369:J369"/>
    <mergeCell ref="L369:O369"/>
    <mergeCell ref="G12:H12"/>
    <mergeCell ref="I12:J12"/>
    <mergeCell ref="G13:H13"/>
    <mergeCell ref="I13:J13"/>
    <mergeCell ref="L373:O373"/>
    <mergeCell ref="G378:J378"/>
    <mergeCell ref="I338:J338"/>
    <mergeCell ref="G387:J387"/>
    <mergeCell ref="K250:L250"/>
    <mergeCell ref="K258:L258"/>
    <mergeCell ref="G359:H359"/>
    <mergeCell ref="I359:J359"/>
    <mergeCell ref="N359:O359"/>
    <mergeCell ref="L348:O348"/>
    <mergeCell ref="K295:L295"/>
    <mergeCell ref="M295:N295"/>
    <mergeCell ref="N339:O339"/>
    <mergeCell ref="L340:M340"/>
    <mergeCell ref="N340:O340"/>
    <mergeCell ref="L352:O352"/>
    <mergeCell ref="L342:M342"/>
    <mergeCell ref="L233:O233"/>
    <mergeCell ref="L234:O234"/>
    <mergeCell ref="L235:O235"/>
    <mergeCell ref="K94:M94"/>
    <mergeCell ref="G112:I112"/>
    <mergeCell ref="H165:N165"/>
    <mergeCell ref="H161:I161"/>
    <mergeCell ref="H162:I162"/>
    <mergeCell ref="J161:N161"/>
    <mergeCell ref="J162:N162"/>
    <mergeCell ref="L387:O387"/>
    <mergeCell ref="G388:J388"/>
    <mergeCell ref="L388:O388"/>
    <mergeCell ref="G241:J241"/>
    <mergeCell ref="L236:O236"/>
    <mergeCell ref="G235:J235"/>
    <mergeCell ref="G269:H269"/>
    <mergeCell ref="I269:J269"/>
    <mergeCell ref="G295:H295"/>
    <mergeCell ref="I295:J295"/>
    <mergeCell ref="G270:H270"/>
    <mergeCell ref="I270:J270"/>
    <mergeCell ref="G272:H272"/>
    <mergeCell ref="I272:J272"/>
    <mergeCell ref="G271:H271"/>
    <mergeCell ref="I271:J271"/>
    <mergeCell ref="G280:L280"/>
  </mergeCells>
  <phoneticPr fontId="21"/>
  <conditionalFormatting sqref="F9 F18 F27 F37 F46 F193 F203 F212 F221 F231 F240 F309 F338 F347 F358 F368 F377 F386">
    <cfRule type="expression" dxfId="113" priority="18" stopIfTrue="1">
      <formula>AND(OR(F9&lt;1,F9&gt;5),F9&lt;&gt;0)</formula>
    </cfRule>
    <cfRule type="expression" dxfId="112" priority="19" stopIfTrue="1">
      <formula>$J8&gt;0</formula>
    </cfRule>
  </conditionalFormatting>
  <conditionalFormatting sqref="F62 F79 F123 F176 F257 F275 F297 F325">
    <cfRule type="expression" dxfId="111" priority="20" stopIfTrue="1">
      <formula>AND(OR(F62&lt;1,F62&gt;5),F62&lt;&gt;0)</formula>
    </cfRule>
    <cfRule type="expression" dxfId="110" priority="21" stopIfTrue="1">
      <formula>AND($J54&gt;0,$H62="ON")</formula>
    </cfRule>
  </conditionalFormatting>
  <conditionalFormatting sqref="F64:F67">
    <cfRule type="expression" dxfId="109" priority="36" stopIfTrue="1">
      <formula>AND($J$54&gt;0,$H$62&lt;&gt;"ON")</formula>
    </cfRule>
  </conditionalFormatting>
  <conditionalFormatting sqref="F81:F92">
    <cfRule type="expression" dxfId="108" priority="35" stopIfTrue="1">
      <formula>$J$71&gt;0</formula>
    </cfRule>
    <cfRule type="expression" dxfId="107" priority="34" stopIfTrue="1">
      <formula>AND($J$71&gt;0,$H$79=$T$4)</formula>
    </cfRule>
  </conditionalFormatting>
  <conditionalFormatting sqref="F96:F102">
    <cfRule type="expression" dxfId="106" priority="10" stopIfTrue="1">
      <formula>OR($J$71=0,500&gt;=$M$71,$K$94&lt;&gt;$V$4)</formula>
    </cfRule>
  </conditionalFormatting>
  <conditionalFormatting sqref="F106:F111">
    <cfRule type="expression" dxfId="105" priority="11" stopIfTrue="1">
      <formula>AND($J$71&gt;0,$K$94&lt;&gt;$V$4,$M$71&gt;500)</formula>
    </cfRule>
  </conditionalFormatting>
  <conditionalFormatting sqref="F125:F137">
    <cfRule type="expression" dxfId="104" priority="32" stopIfTrue="1">
      <formula>$J$115&gt;0</formula>
    </cfRule>
    <cfRule type="expression" dxfId="103" priority="31" stopIfTrue="1">
      <formula>AND($J$115&gt;0,$H$123=$T$4)</formula>
    </cfRule>
  </conditionalFormatting>
  <conditionalFormatting sqref="F146 F151:F152 F154 F156">
    <cfRule type="expression" dxfId="102" priority="2" stopIfTrue="1">
      <formula>AND($J$115&gt;0,$M$115&gt;500)</formula>
    </cfRule>
  </conditionalFormatting>
  <conditionalFormatting sqref="F147:F148">
    <cfRule type="expression" dxfId="101" priority="3" stopIfTrue="1">
      <formula>AND($J$115&gt;0,$M$115&gt;500,$I$144=$V$4)</formula>
    </cfRule>
  </conditionalFormatting>
  <conditionalFormatting sqref="F149:F150 F153 F155">
    <cfRule type="expression" dxfId="100" priority="4" stopIfTrue="1">
      <formula>AND($J$115&gt;0,$M$115&gt;500,$I$144&lt;&gt;$V$4)</formula>
    </cfRule>
  </conditionalFormatting>
  <conditionalFormatting sqref="F178:F186">
    <cfRule type="expression" dxfId="99" priority="1" stopIfTrue="1">
      <formula>$J$168&gt;0</formula>
    </cfRule>
  </conditionalFormatting>
  <conditionalFormatting sqref="F261:F264">
    <cfRule type="expression" dxfId="98" priority="51" stopIfTrue="1">
      <formula>AND($J$249&gt;0.0001,H$257=$T$3)</formula>
    </cfRule>
  </conditionalFormatting>
  <conditionalFormatting sqref="F279:F283">
    <cfRule type="expression" dxfId="97" priority="23" stopIfTrue="1">
      <formula>AND($J$267&gt;0.001,$H$275=$T$3)</formula>
    </cfRule>
  </conditionalFormatting>
  <conditionalFormatting sqref="F284:F285">
    <cfRule type="expression" dxfId="96" priority="24" stopIfTrue="1">
      <formula>AND($J$267&gt;0.001,$H$275=$T$3,$G$277&gt;0)</formula>
    </cfRule>
  </conditionalFormatting>
  <conditionalFormatting sqref="F300:F305">
    <cfRule type="expression" dxfId="95" priority="22" stopIfTrue="1">
      <formula>AND($J$289&gt;0.001,$H$297=$T$3)</formula>
    </cfRule>
  </conditionalFormatting>
  <conditionalFormatting sqref="F327 F332">
    <cfRule type="expression" dxfId="94" priority="15" stopIfTrue="1">
      <formula>AND($J$317&gt;0.001,$H$325=$T$3)</formula>
    </cfRule>
  </conditionalFormatting>
  <conditionalFormatting sqref="F328:F331">
    <cfRule type="expression" dxfId="93" priority="16" stopIfTrue="1">
      <formula>AND($J$317&gt;0.001,$H$325=$T$3)</formula>
    </cfRule>
  </conditionalFormatting>
  <conditionalFormatting sqref="H62">
    <cfRule type="expression" dxfId="92" priority="38" stopIfTrue="1">
      <formula>$J$54&gt;0</formula>
    </cfRule>
  </conditionalFormatting>
  <conditionalFormatting sqref="H79">
    <cfRule type="expression" dxfId="91" priority="33" stopIfTrue="1">
      <formula>$J$71&gt;0</formula>
    </cfRule>
  </conditionalFormatting>
  <conditionalFormatting sqref="H123">
    <cfRule type="expression" dxfId="90" priority="30" stopIfTrue="1">
      <formula>$J$115&gt;0</formula>
    </cfRule>
  </conditionalFormatting>
  <conditionalFormatting sqref="H176">
    <cfRule type="expression" dxfId="89" priority="25" stopIfTrue="1">
      <formula>$J$168&gt;0</formula>
    </cfRule>
  </conditionalFormatting>
  <conditionalFormatting sqref="H257 H275 H297 H325">
    <cfRule type="expression" dxfId="88" priority="14" stopIfTrue="1">
      <formula>J249&gt;0</formula>
    </cfRule>
  </conditionalFormatting>
  <conditionalFormatting sqref="I144">
    <cfRule type="expression" dxfId="87" priority="8" stopIfTrue="1">
      <formula>$O$3=$U$3</formula>
    </cfRule>
  </conditionalFormatting>
  <conditionalFormatting sqref="K9 K18 M37 K193 K203 K212 K221 K231 K338 K347 M358 K368 K377 K386">
    <cfRule type="expression" dxfId="86" priority="13" stopIfTrue="1">
      <formula>$O8&gt;0</formula>
    </cfRule>
    <cfRule type="expression" dxfId="85" priority="12" stopIfTrue="1">
      <formula>AND(OR(K9&lt;1,K9&gt;5),K9&lt;&gt;0)</formula>
    </cfRule>
  </conditionalFormatting>
  <conditionalFormatting sqref="K62">
    <cfRule type="expression" dxfId="84" priority="40" stopIfTrue="1">
      <formula>AND(OR(K62&lt;1,K62&gt;5),K62&lt;&gt;0)</formula>
    </cfRule>
    <cfRule type="expression" dxfId="83" priority="41" stopIfTrue="1">
      <formula>AND($O$54&gt;0,$M$62="ON")</formula>
    </cfRule>
  </conditionalFormatting>
  <conditionalFormatting sqref="K64:K67">
    <cfRule type="expression" dxfId="82" priority="37" stopIfTrue="1">
      <formula>AND($O$54&gt;0,$M$62&lt;&gt;"ON")</formula>
    </cfRule>
  </conditionalFormatting>
  <conditionalFormatting sqref="K94">
    <cfRule type="expression" dxfId="81" priority="9" stopIfTrue="1">
      <formula>$O$3=$U$3</formula>
    </cfRule>
  </conditionalFormatting>
  <conditionalFormatting sqref="M62">
    <cfRule type="expression" dxfId="80" priority="39" stopIfTrue="1">
      <formula>$O$54&gt;0</formula>
    </cfRule>
  </conditionalFormatting>
  <dataValidations count="15">
    <dataValidation type="list" allowBlank="1" showInputMessage="1" sqref="K9 K18 M37 K193 K203 K212 K221 K231 K338 K347 M358 K368 K377 K386" xr:uid="{00000000-0002-0000-0700-000000000000}">
      <formula1>$C10:$C15</formula1>
    </dataValidation>
    <dataValidation type="list" allowBlank="1" showInputMessage="1" showErrorMessage="1" sqref="F327:F332 F261:F264 F279:F285 F300:F305" xr:uid="{00000000-0002-0000-0700-000001000000}">
      <formula1>$S$3:$S$4</formula1>
    </dataValidation>
    <dataValidation type="list" allowBlank="1" showInputMessage="1" sqref="F9 F18 F27 F37 F46 F212 F193 F203 F221 F338 F347 F358 F368 F377 F386 F309 F275 F257 F240 F231 F176 F123 F79" xr:uid="{00000000-0002-0000-0700-000002000000}">
      <formula1>$B10:$B15</formula1>
    </dataValidation>
    <dataValidation type="list" allowBlank="1" showInputMessage="1" sqref="F297" xr:uid="{00000000-0002-0000-0700-000003000000}">
      <formula1>$B298:$B302</formula1>
    </dataValidation>
    <dataValidation type="list" allowBlank="1" showInputMessage="1" showErrorMessage="1" sqref="H325 H297 M62 H62 H79 H123 H176 H257 H275" xr:uid="{00000000-0002-0000-0700-000004000000}">
      <formula1>$T$3:$T$4</formula1>
    </dataValidation>
    <dataValidation type="list" allowBlank="1" showInputMessage="1" showErrorMessage="1" sqref="F178 F184 F181" xr:uid="{00000000-0002-0000-0700-000005000000}">
      <formula1>"0,-1"</formula1>
    </dataValidation>
    <dataValidation type="list" allowBlank="1" showInputMessage="1" showErrorMessage="1" sqref="F153:F155 F97 F100 F150:F151 F146 F102 F110:F111 F185 F182 F179:F180" xr:uid="{00000000-0002-0000-0700-000006000000}">
      <formula1>"0,1"</formula1>
    </dataValidation>
    <dataValidation type="list" allowBlank="1" showInputMessage="1" showErrorMessage="1" sqref="F106:F108 F96 F98 F147:F148" xr:uid="{00000000-0002-0000-0700-000007000000}">
      <formula1>"0,3"</formula1>
    </dataValidation>
    <dataValidation type="list" allowBlank="1" showInputMessage="1" showErrorMessage="1" sqref="F109 F99 F101 F152 F149 F156" xr:uid="{00000000-0002-0000-0700-000008000000}">
      <formula1>"0,2"</formula1>
    </dataValidation>
    <dataValidation type="list" allowBlank="1" showInputMessage="1" showErrorMessage="1" sqref="K94:M94 I144:K144" xr:uid="{00000000-0002-0000-0700-000009000000}">
      <formula1>$V$3:$V$4</formula1>
    </dataValidation>
    <dataValidation type="list" allowBlank="1" showInputMessage="1" showErrorMessage="1" sqref="F125 F81" xr:uid="{00000000-0002-0000-0700-00000A000000}">
      <formula1>"○, "</formula1>
    </dataValidation>
    <dataValidation type="list" allowBlank="1" showInputMessage="1" showErrorMessage="1" sqref="F126:F137 F64:F67 K64:K67 F82:F92" xr:uid="{00000000-0002-0000-0700-00000B000000}">
      <formula1>"○,　"</formula1>
    </dataValidation>
    <dataValidation type="list" allowBlank="1" showInputMessage="1" sqref="K62" xr:uid="{00000000-0002-0000-0700-00000C000000}">
      <formula1>$C$56:$C$61</formula1>
    </dataValidation>
    <dataValidation type="list" allowBlank="1" showInputMessage="1" sqref="F62" xr:uid="{00000000-0002-0000-0700-00000D000000}">
      <formula1>$B$56:$B$61</formula1>
    </dataValidation>
    <dataValidation type="list" allowBlank="1" showInputMessage="1" sqref="F325" xr:uid="{00000000-0002-0000-0700-00000E000000}">
      <formula1>$B326:$B332</formula1>
    </dataValidation>
  </dataValidations>
  <printOptions horizontalCentered="1"/>
  <pageMargins left="0.59055118110236227" right="0.59055118110236227" top="0.78740157480314965" bottom="0.59055118110236227" header="0.51181102362204722" footer="0.51181102362204722"/>
  <pageSetup paperSize="9" scale="67" fitToHeight="6" orientation="portrait" verticalDpi="4294967293" r:id="rId1"/>
  <headerFooter alignWithMargins="0">
    <oddHeader>&amp;L&amp;F&amp;R&amp;A</oddHeader>
    <oddFooter>&amp;C&amp;P/&amp;N</oddFooter>
  </headerFooter>
  <rowBreaks count="7" manualBreakCount="7">
    <brk id="43" min="2" max="15" man="1"/>
    <brk id="113" min="2" max="15" man="1"/>
    <brk id="166" min="2" max="15" man="1"/>
    <brk id="209" min="2" max="15" man="1"/>
    <brk id="265" min="2" max="15" man="1"/>
    <brk id="306" min="2" max="15" man="1"/>
    <brk id="355" min="2" max="15" man="1"/>
  </rowBreaks>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autoPageBreaks="0"/>
  </sheetPr>
  <dimension ref="B1:U115"/>
  <sheetViews>
    <sheetView showGridLines="0" zoomScaleNormal="100" zoomScalePageLayoutView="50" workbookViewId="0">
      <selection activeCell="D5" sqref="D5"/>
    </sheetView>
  </sheetViews>
  <sheetFormatPr defaultColWidth="0" defaultRowHeight="13.5" zeroHeight="1"/>
  <cols>
    <col min="1" max="1" width="2.375" customWidth="1"/>
    <col min="2" max="2" width="7.125" hidden="1" customWidth="1"/>
    <col min="3" max="3" width="3.375" hidden="1" customWidth="1"/>
    <col min="4" max="4" width="4.375" style="2283" customWidth="1"/>
    <col min="5" max="5" width="2.125" style="136" customWidth="1"/>
    <col min="6" max="8" width="12.125" style="136" customWidth="1"/>
    <col min="9" max="9" width="14.875" style="136" customWidth="1"/>
    <col min="10" max="15" width="12.125" style="136" customWidth="1"/>
    <col min="16" max="16" width="1.75" customWidth="1"/>
    <col min="17" max="17" width="10.125" hidden="1" customWidth="1"/>
  </cols>
  <sheetData>
    <row r="1" spans="2:21" ht="15.75">
      <c r="D1" s="953"/>
      <c r="E1" s="537"/>
      <c r="F1" s="537"/>
      <c r="G1" s="537"/>
      <c r="H1" s="537"/>
      <c r="I1" s="537"/>
      <c r="J1" s="1296"/>
      <c r="K1" s="537"/>
      <c r="L1" s="537"/>
      <c r="M1" s="951" t="s">
        <v>2697</v>
      </c>
      <c r="N1" s="952" t="str">
        <f>メイン!C11</f>
        <v>○○ビル</v>
      </c>
      <c r="O1" s="952"/>
      <c r="R1" t="s">
        <v>1326</v>
      </c>
    </row>
    <row r="2" spans="2:21" ht="16.5" thickBot="1">
      <c r="D2" s="953"/>
      <c r="E2" s="537"/>
      <c r="F2" s="537"/>
      <c r="G2" s="537"/>
      <c r="H2" s="537"/>
      <c r="I2" s="537"/>
      <c r="J2" s="1296"/>
      <c r="K2" s="537"/>
      <c r="L2" s="537"/>
      <c r="M2" s="537"/>
      <c r="N2" s="537"/>
      <c r="O2" s="537"/>
    </row>
    <row r="3" spans="2:21" ht="18.75" thickBot="1">
      <c r="D3" s="1297" t="s">
        <v>2598</v>
      </c>
      <c r="E3" s="1298"/>
      <c r="F3" s="954"/>
      <c r="G3" s="954"/>
      <c r="H3" s="955"/>
      <c r="I3" s="956" t="s">
        <v>2589</v>
      </c>
      <c r="J3" s="954"/>
      <c r="K3" s="954"/>
      <c r="L3" s="155"/>
      <c r="M3" s="155"/>
      <c r="N3" s="954"/>
      <c r="O3" s="1081" t="str">
        <f>IF(メイン!E39=0,"",メイン!E39)</f>
        <v/>
      </c>
      <c r="R3">
        <v>0</v>
      </c>
      <c r="S3" t="s">
        <v>2599</v>
      </c>
      <c r="U3" t="str">
        <f>メイン!I39</f>
        <v>基本設計段階</v>
      </c>
    </row>
    <row r="4" spans="2:21" ht="17.25">
      <c r="D4" s="953"/>
      <c r="E4" s="1298"/>
      <c r="F4" s="954"/>
      <c r="G4" s="954"/>
      <c r="H4" s="954"/>
      <c r="I4" s="954"/>
      <c r="J4" s="1299"/>
      <c r="K4" s="954"/>
      <c r="L4" s="954"/>
      <c r="M4" s="954"/>
      <c r="N4" s="954"/>
      <c r="O4" s="954"/>
      <c r="R4">
        <v>1</v>
      </c>
      <c r="T4" t="s">
        <v>2600</v>
      </c>
      <c r="U4" t="str">
        <f>メイン!I40</f>
        <v>実施設計段階</v>
      </c>
    </row>
    <row r="5" spans="2:21" ht="17.25">
      <c r="D5" s="953">
        <v>1</v>
      </c>
      <c r="E5" s="958" t="s">
        <v>3248</v>
      </c>
      <c r="F5" s="959"/>
      <c r="G5" s="954"/>
      <c r="H5" s="954"/>
      <c r="I5" s="954"/>
      <c r="J5" s="1299"/>
      <c r="K5" s="954"/>
      <c r="L5" s="954"/>
      <c r="M5" s="954"/>
      <c r="N5" s="954"/>
      <c r="O5" s="954"/>
      <c r="R5">
        <v>2</v>
      </c>
      <c r="U5" t="str">
        <f>メイン!I41</f>
        <v>竣工段階</v>
      </c>
    </row>
    <row r="6" spans="2:21" ht="15" thickBot="1">
      <c r="D6" s="2285"/>
      <c r="E6" s="959"/>
      <c r="F6" s="965"/>
      <c r="G6" s="966"/>
      <c r="H6" s="967"/>
      <c r="I6" s="967"/>
      <c r="J6" s="967"/>
      <c r="K6" s="967"/>
      <c r="L6" s="967"/>
      <c r="M6" s="2927" t="s">
        <v>1358</v>
      </c>
      <c r="N6" s="2927"/>
      <c r="O6" s="1300">
        <f>重み!M110</f>
        <v>0.3</v>
      </c>
      <c r="S6" t="s">
        <v>2601</v>
      </c>
    </row>
    <row r="7" spans="2:21" ht="19.5" customHeight="1" thickBot="1">
      <c r="D7" s="953"/>
      <c r="E7" s="958"/>
      <c r="F7" s="1301">
        <f>ROUND(IF(H28&lt;=2,1,IF(H28&lt;=5,2,IF(H28&lt;=8,3,IF(H28&lt;=11,4,IF(H28&gt;=12,5))))),0)</f>
        <v>3</v>
      </c>
      <c r="G7" s="2960" t="s">
        <v>501</v>
      </c>
      <c r="H7" s="2961"/>
      <c r="I7" s="2961"/>
      <c r="J7" s="2961"/>
      <c r="K7" s="2961"/>
      <c r="L7" s="2961"/>
      <c r="M7" s="2961"/>
      <c r="N7" s="2961"/>
      <c r="O7" s="2961"/>
      <c r="R7" t="s">
        <v>220</v>
      </c>
      <c r="S7" t="s">
        <v>2602</v>
      </c>
    </row>
    <row r="8" spans="2:21" ht="26.25" customHeight="1">
      <c r="D8" s="953"/>
      <c r="E8" s="142"/>
      <c r="F8" s="979" t="str">
        <f>IF(ROUNDDOWN($F$7,0)=$S$10,$U$10,$T$10)</f>
        <v>　レベル　1</v>
      </c>
      <c r="G8" s="981" t="s">
        <v>3306</v>
      </c>
      <c r="H8" s="982"/>
      <c r="I8" s="982"/>
      <c r="J8" s="982"/>
      <c r="K8" s="982"/>
      <c r="L8" s="982"/>
      <c r="M8" s="982"/>
      <c r="N8" s="982"/>
      <c r="O8" s="983"/>
    </row>
    <row r="9" spans="2:21" ht="26.25" customHeight="1">
      <c r="D9" s="953"/>
      <c r="E9" s="142"/>
      <c r="F9" s="984" t="str">
        <f>IF(ROUNDDOWN($F$7,0)=$S$11,$U$11,$T$11)</f>
        <v>　レベル　2</v>
      </c>
      <c r="G9" s="988" t="s">
        <v>3307</v>
      </c>
      <c r="H9" s="989"/>
      <c r="I9" s="989"/>
      <c r="J9" s="989"/>
      <c r="K9" s="989"/>
      <c r="L9" s="989"/>
      <c r="M9" s="989"/>
      <c r="N9" s="989"/>
      <c r="O9" s="990"/>
    </row>
    <row r="10" spans="2:21" ht="26.25" customHeight="1">
      <c r="D10" s="953"/>
      <c r="E10" s="142"/>
      <c r="F10" s="984" t="str">
        <f>IF(ROUNDDOWN($F$7,0)=$S$12,$U$12,$T$12)</f>
        <v>■レベル　3</v>
      </c>
      <c r="G10" s="988" t="s">
        <v>3305</v>
      </c>
      <c r="H10" s="989"/>
      <c r="I10" s="989"/>
      <c r="J10" s="989"/>
      <c r="K10" s="989"/>
      <c r="L10" s="989"/>
      <c r="M10" s="989"/>
      <c r="N10" s="989"/>
      <c r="O10" s="990"/>
      <c r="S10">
        <v>1</v>
      </c>
      <c r="T10" t="s">
        <v>2603</v>
      </c>
      <c r="U10" t="s">
        <v>2604</v>
      </c>
    </row>
    <row r="11" spans="2:21" ht="27" customHeight="1">
      <c r="D11" s="953"/>
      <c r="E11" s="142"/>
      <c r="F11" s="984" t="str">
        <f>IF(ROUNDDOWN($F$7,0)=$S$13,$U$13,$T$13)</f>
        <v>　レベル　4</v>
      </c>
      <c r="G11" s="988" t="s">
        <v>3304</v>
      </c>
      <c r="H11" s="989"/>
      <c r="I11" s="989"/>
      <c r="J11" s="989"/>
      <c r="K11" s="989"/>
      <c r="L11" s="989"/>
      <c r="M11" s="989"/>
      <c r="N11" s="989"/>
      <c r="O11" s="990"/>
      <c r="S11">
        <v>2</v>
      </c>
      <c r="T11" t="s">
        <v>1327</v>
      </c>
      <c r="U11" t="s">
        <v>1328</v>
      </c>
    </row>
    <row r="12" spans="2:21" ht="26.25" customHeight="1">
      <c r="D12" s="953"/>
      <c r="E12" s="142"/>
      <c r="F12" s="995" t="str">
        <f>IF(ROUNDDOWN($F$7,0)=$S$14,$U$14,$T$14)</f>
        <v>　レベル　5</v>
      </c>
      <c r="G12" s="999" t="s">
        <v>3303</v>
      </c>
      <c r="H12" s="1000"/>
      <c r="I12" s="1000"/>
      <c r="J12" s="1000"/>
      <c r="K12" s="1000"/>
      <c r="L12" s="1000"/>
      <c r="M12" s="1000"/>
      <c r="N12" s="1000"/>
      <c r="O12" s="1001"/>
      <c r="S12">
        <v>3</v>
      </c>
      <c r="T12" t="s">
        <v>1332</v>
      </c>
      <c r="U12" t="s">
        <v>1333</v>
      </c>
    </row>
    <row r="13" spans="2:21" ht="20.25" customHeight="1">
      <c r="D13" s="953"/>
      <c r="E13" s="142"/>
      <c r="F13" s="537"/>
      <c r="G13" s="1303" t="s">
        <v>418</v>
      </c>
      <c r="H13" s="537"/>
      <c r="I13" s="551"/>
      <c r="J13" s="1296"/>
      <c r="K13" s="537"/>
      <c r="L13" s="537"/>
      <c r="M13" s="537"/>
      <c r="N13" s="537"/>
      <c r="O13" s="537"/>
      <c r="S13">
        <v>4</v>
      </c>
      <c r="T13" t="s">
        <v>1216</v>
      </c>
      <c r="U13" t="s">
        <v>1217</v>
      </c>
    </row>
    <row r="14" spans="2:21" ht="16.5" thickBot="1">
      <c r="D14" s="953"/>
      <c r="E14" s="142"/>
      <c r="F14" s="537"/>
      <c r="G14" s="1304" t="s">
        <v>225</v>
      </c>
      <c r="H14" s="2953" t="s">
        <v>1736</v>
      </c>
      <c r="I14" s="2954"/>
      <c r="J14" s="2953" t="s">
        <v>1729</v>
      </c>
      <c r="K14" s="2954"/>
      <c r="L14" s="2954"/>
      <c r="M14" s="2954"/>
      <c r="N14" s="2955"/>
      <c r="O14" s="1213" t="s">
        <v>1737</v>
      </c>
      <c r="S14">
        <v>5</v>
      </c>
      <c r="T14" t="s">
        <v>1223</v>
      </c>
      <c r="U14" t="s">
        <v>1224</v>
      </c>
    </row>
    <row r="15" spans="2:21" ht="34.5" customHeight="1">
      <c r="B15" s="1147" t="s">
        <v>226</v>
      </c>
      <c r="D15" s="953"/>
      <c r="E15" s="537"/>
      <c r="F15" s="537"/>
      <c r="G15" s="1306">
        <v>1</v>
      </c>
      <c r="H15" s="2838" t="s">
        <v>3231</v>
      </c>
      <c r="I15" s="2934"/>
      <c r="J15" s="2854" t="s">
        <v>3232</v>
      </c>
      <c r="K15" s="2921"/>
      <c r="L15" s="2921"/>
      <c r="M15" s="2921"/>
      <c r="N15" s="2922"/>
      <c r="O15" s="1310">
        <v>1</v>
      </c>
      <c r="S15">
        <v>0</v>
      </c>
      <c r="T15" t="s">
        <v>2605</v>
      </c>
      <c r="U15" t="s">
        <v>2605</v>
      </c>
    </row>
    <row r="16" spans="2:21" ht="27" customHeight="1">
      <c r="B16" s="1147"/>
      <c r="D16" s="953"/>
      <c r="E16" s="537"/>
      <c r="F16" s="537"/>
      <c r="G16" s="2925">
        <v>3</v>
      </c>
      <c r="H16" s="2962" t="s">
        <v>3233</v>
      </c>
      <c r="I16" s="2963"/>
      <c r="J16" s="2854" t="s">
        <v>3234</v>
      </c>
      <c r="K16" s="2921"/>
      <c r="L16" s="2921"/>
      <c r="M16" s="2921"/>
      <c r="N16" s="2922"/>
      <c r="O16" s="2968" t="s">
        <v>227</v>
      </c>
    </row>
    <row r="17" spans="4:15" ht="34.5" customHeight="1">
      <c r="D17" s="953"/>
      <c r="E17" s="537"/>
      <c r="F17" s="537"/>
      <c r="G17" s="2972"/>
      <c r="H17" s="2964"/>
      <c r="I17" s="2965"/>
      <c r="J17" s="2854" t="s">
        <v>3235</v>
      </c>
      <c r="K17" s="2921"/>
      <c r="L17" s="2921"/>
      <c r="M17" s="2921"/>
      <c r="N17" s="2922"/>
      <c r="O17" s="2969"/>
    </row>
    <row r="18" spans="4:15" ht="27" customHeight="1">
      <c r="D18" s="953"/>
      <c r="E18" s="537"/>
      <c r="F18" s="537"/>
      <c r="G18" s="2926"/>
      <c r="H18" s="2964"/>
      <c r="I18" s="2965"/>
      <c r="J18" s="2854" t="s">
        <v>3236</v>
      </c>
      <c r="K18" s="2921"/>
      <c r="L18" s="2921"/>
      <c r="M18" s="2921"/>
      <c r="N18" s="2922"/>
      <c r="O18" s="2970"/>
    </row>
    <row r="19" spans="4:15" ht="27" customHeight="1">
      <c r="D19" s="953"/>
      <c r="E19" s="537"/>
      <c r="F19" s="537"/>
      <c r="G19" s="2925">
        <v>2</v>
      </c>
      <c r="H19" s="2964"/>
      <c r="I19" s="2965"/>
      <c r="J19" s="2854" t="s">
        <v>3237</v>
      </c>
      <c r="K19" s="2921"/>
      <c r="L19" s="2921"/>
      <c r="M19" s="2921"/>
      <c r="N19" s="2922"/>
      <c r="O19" s="2968" t="s">
        <v>228</v>
      </c>
    </row>
    <row r="20" spans="4:15" ht="27" customHeight="1">
      <c r="D20" s="953"/>
      <c r="E20" s="537"/>
      <c r="F20" s="537"/>
      <c r="G20" s="2926"/>
      <c r="H20" s="2966"/>
      <c r="I20" s="2967"/>
      <c r="J20" s="2854" t="s">
        <v>3238</v>
      </c>
      <c r="K20" s="2921"/>
      <c r="L20" s="2921"/>
      <c r="M20" s="2921"/>
      <c r="N20" s="2922"/>
      <c r="O20" s="2970"/>
    </row>
    <row r="21" spans="4:15" ht="27" customHeight="1">
      <c r="D21" s="953"/>
      <c r="E21" s="537"/>
      <c r="F21" s="537"/>
      <c r="G21" s="1316">
        <v>1</v>
      </c>
      <c r="H21" s="2937" t="s">
        <v>3239</v>
      </c>
      <c r="I21" s="2946"/>
      <c r="J21" s="2854" t="s">
        <v>3240</v>
      </c>
      <c r="K21" s="2921"/>
      <c r="L21" s="2921"/>
      <c r="M21" s="2921"/>
      <c r="N21" s="2922"/>
      <c r="O21" s="1310">
        <v>1</v>
      </c>
    </row>
    <row r="22" spans="4:15" ht="27" customHeight="1">
      <c r="D22" s="953"/>
      <c r="E22" s="537"/>
      <c r="F22" s="537"/>
      <c r="G22" s="1316">
        <v>0</v>
      </c>
      <c r="H22" s="2971"/>
      <c r="I22" s="2948"/>
      <c r="J22" s="2854" t="s">
        <v>3241</v>
      </c>
      <c r="K22" s="2921"/>
      <c r="L22" s="2921"/>
      <c r="M22" s="2921"/>
      <c r="N22" s="2922"/>
      <c r="O22" s="1310">
        <v>1</v>
      </c>
    </row>
    <row r="23" spans="4:15" ht="27" customHeight="1">
      <c r="D23" s="953"/>
      <c r="E23" s="537"/>
      <c r="F23" s="537"/>
      <c r="G23" s="1316">
        <v>0</v>
      </c>
      <c r="H23" s="2949"/>
      <c r="I23" s="2950"/>
      <c r="J23" s="2854" t="s">
        <v>3242</v>
      </c>
      <c r="K23" s="2921"/>
      <c r="L23" s="2921"/>
      <c r="M23" s="2921"/>
      <c r="N23" s="2922"/>
      <c r="O23" s="1310">
        <v>1</v>
      </c>
    </row>
    <row r="24" spans="4:15" ht="27" customHeight="1">
      <c r="D24" s="953"/>
      <c r="E24" s="537"/>
      <c r="F24" s="537"/>
      <c r="G24" s="1316">
        <v>0</v>
      </c>
      <c r="H24" s="2937" t="s">
        <v>3243</v>
      </c>
      <c r="I24" s="2946"/>
      <c r="J24" s="2854" t="s">
        <v>3244</v>
      </c>
      <c r="K24" s="2921"/>
      <c r="L24" s="2921"/>
      <c r="M24" s="2921"/>
      <c r="N24" s="2922"/>
      <c r="O24" s="1310">
        <v>1</v>
      </c>
    </row>
    <row r="25" spans="4:15" ht="27" customHeight="1">
      <c r="D25" s="953"/>
      <c r="E25" s="537"/>
      <c r="F25" s="537"/>
      <c r="G25" s="1316">
        <v>0</v>
      </c>
      <c r="H25" s="2947"/>
      <c r="I25" s="2948"/>
      <c r="J25" s="2854" t="s">
        <v>3245</v>
      </c>
      <c r="K25" s="2921"/>
      <c r="L25" s="2921"/>
      <c r="M25" s="2921"/>
      <c r="N25" s="2922"/>
      <c r="O25" s="1310">
        <v>1</v>
      </c>
    </row>
    <row r="26" spans="4:15" ht="27" customHeight="1">
      <c r="D26" s="953"/>
      <c r="E26" s="537"/>
      <c r="F26" s="537"/>
      <c r="G26" s="1316">
        <v>0</v>
      </c>
      <c r="H26" s="2949"/>
      <c r="I26" s="2950"/>
      <c r="J26" s="2854" t="s">
        <v>3246</v>
      </c>
      <c r="K26" s="2921"/>
      <c r="L26" s="2921"/>
      <c r="M26" s="2921"/>
      <c r="N26" s="2922"/>
      <c r="O26" s="1310">
        <v>1</v>
      </c>
    </row>
    <row r="27" spans="4:15" ht="27" customHeight="1" thickBot="1">
      <c r="D27" s="953"/>
      <c r="E27" s="537"/>
      <c r="F27" s="537"/>
      <c r="G27" s="1317">
        <v>0</v>
      </c>
      <c r="H27" s="2838" t="s">
        <v>3247</v>
      </c>
      <c r="I27" s="2934"/>
      <c r="J27" s="2854" t="s">
        <v>229</v>
      </c>
      <c r="K27" s="2921"/>
      <c r="L27" s="2921"/>
      <c r="M27" s="2921"/>
      <c r="N27" s="2922"/>
      <c r="O27" s="1310">
        <v>1</v>
      </c>
    </row>
    <row r="28" spans="4:15" ht="25.5" customHeight="1">
      <c r="D28" s="953"/>
      <c r="E28" s="537"/>
      <c r="F28" s="537"/>
      <c r="G28" s="1208" t="s">
        <v>2780</v>
      </c>
      <c r="H28" s="2824">
        <f>SUM(G15:G27)</f>
        <v>7</v>
      </c>
      <c r="I28" s="2824"/>
      <c r="J28" s="1210"/>
      <c r="K28" s="1211"/>
      <c r="L28" s="1210"/>
      <c r="M28" s="1211"/>
      <c r="N28" s="1210"/>
      <c r="O28" s="1220"/>
    </row>
    <row r="29" spans="4:15" ht="14.25" customHeight="1"/>
    <row r="30" spans="4:15" ht="14.25" customHeight="1">
      <c r="D30" s="953">
        <v>2</v>
      </c>
      <c r="E30" s="958" t="s">
        <v>230</v>
      </c>
      <c r="F30" s="959"/>
    </row>
    <row r="31" spans="4:15" ht="15" thickBot="1">
      <c r="D31" s="2285"/>
      <c r="E31" s="959"/>
      <c r="F31" s="965"/>
      <c r="G31" s="966"/>
      <c r="H31" s="967"/>
      <c r="I31" s="967"/>
      <c r="J31" s="967"/>
      <c r="K31" s="967"/>
      <c r="L31" s="967"/>
      <c r="M31" s="2927" t="s">
        <v>1358</v>
      </c>
      <c r="N31" s="2927"/>
      <c r="O31" s="1300">
        <f>重み!M111</f>
        <v>0.4</v>
      </c>
    </row>
    <row r="32" spans="4:15" ht="26.25" customHeight="1" thickBot="1">
      <c r="D32" s="953"/>
      <c r="E32" s="958"/>
      <c r="F32" s="1301">
        <f>IF(I39="ON",G39,ROUND(IF(H50=0,1,IF(H50&lt;=2,2,IF(H50&lt;=3,3,IF(H50&lt;=4,4,IF(H50&gt;=5,5))))),0))</f>
        <v>3</v>
      </c>
      <c r="G32" s="2928" t="s">
        <v>501</v>
      </c>
      <c r="H32" s="2929"/>
      <c r="I32" s="2929"/>
      <c r="J32" s="2929"/>
      <c r="K32" s="2929"/>
      <c r="L32" s="2929"/>
      <c r="M32" s="2929"/>
      <c r="N32" s="2929"/>
      <c r="O32" s="2818"/>
    </row>
    <row r="33" spans="4:15" ht="26.25" customHeight="1">
      <c r="D33" s="953"/>
      <c r="E33" s="142"/>
      <c r="F33" s="984" t="str">
        <f>IF(ROUNDDOWN($F$32,0)=$S$10,$U$10,$T$10)</f>
        <v>　レベル　1</v>
      </c>
      <c r="G33" s="2865" t="s">
        <v>231</v>
      </c>
      <c r="H33" s="2883"/>
      <c r="I33" s="2883"/>
      <c r="J33" s="2883"/>
      <c r="K33" s="2883"/>
      <c r="L33" s="2883"/>
      <c r="M33" s="2883"/>
      <c r="N33" s="2883"/>
      <c r="O33" s="2884"/>
    </row>
    <row r="34" spans="4:15" ht="26.25" customHeight="1">
      <c r="D34" s="953"/>
      <c r="E34" s="142"/>
      <c r="F34" s="984" t="str">
        <f>IF(ROUNDDOWN($F$32,0)=$S$11,$U$11,$T$11)</f>
        <v>　レベル　2</v>
      </c>
      <c r="G34" s="2854" t="s">
        <v>2391</v>
      </c>
      <c r="H34" s="2921"/>
      <c r="I34" s="2921"/>
      <c r="J34" s="2921"/>
      <c r="K34" s="2921"/>
      <c r="L34" s="2921"/>
      <c r="M34" s="2921"/>
      <c r="N34" s="2921"/>
      <c r="O34" s="2922"/>
    </row>
    <row r="35" spans="4:15" ht="26.25" customHeight="1">
      <c r="D35" s="953"/>
      <c r="E35" s="142"/>
      <c r="F35" s="984" t="str">
        <f>IF(ROUNDDOWN($F$32,0)=$S$12,$U$12,$T$12)</f>
        <v>■レベル　3</v>
      </c>
      <c r="G35" s="2854" t="s">
        <v>337</v>
      </c>
      <c r="H35" s="2921"/>
      <c r="I35" s="2921"/>
      <c r="J35" s="2921"/>
      <c r="K35" s="2921"/>
      <c r="L35" s="2921"/>
      <c r="M35" s="2921"/>
      <c r="N35" s="2921"/>
      <c r="O35" s="2922"/>
    </row>
    <row r="36" spans="4:15" ht="25.5" customHeight="1">
      <c r="D36" s="953"/>
      <c r="E36" s="142"/>
      <c r="F36" s="984" t="str">
        <f>IF(ROUNDDOWN($F$32,0)=$S$13,$U$13,$T$13)</f>
        <v>　レベル　4</v>
      </c>
      <c r="G36" s="2854" t="s">
        <v>232</v>
      </c>
      <c r="H36" s="2921"/>
      <c r="I36" s="2921"/>
      <c r="J36" s="2921"/>
      <c r="K36" s="2921"/>
      <c r="L36" s="2921"/>
      <c r="M36" s="2921"/>
      <c r="N36" s="2921"/>
      <c r="O36" s="2922"/>
    </row>
    <row r="37" spans="4:15" ht="26.25" customHeight="1">
      <c r="D37" s="953"/>
      <c r="E37" s="142"/>
      <c r="F37" s="995" t="str">
        <f>IF(ROUNDDOWN($F$32,0)=$S$14,$U$14,$T$14)</f>
        <v>　レベル　5</v>
      </c>
      <c r="G37" s="2856" t="s">
        <v>233</v>
      </c>
      <c r="H37" s="2973"/>
      <c r="I37" s="2973"/>
      <c r="J37" s="2973"/>
      <c r="K37" s="2973"/>
      <c r="L37" s="2973"/>
      <c r="M37" s="2973"/>
      <c r="N37" s="2973"/>
      <c r="O37" s="2974"/>
    </row>
    <row r="38" spans="4:15" ht="7.5" customHeight="1" thickBot="1">
      <c r="D38" s="953"/>
      <c r="E38" s="143"/>
      <c r="F38" s="143"/>
      <c r="G38" s="143"/>
      <c r="H38" s="143"/>
      <c r="I38" s="143"/>
      <c r="J38" s="143"/>
      <c r="K38" s="143"/>
      <c r="L38" s="143"/>
      <c r="M38" s="143"/>
      <c r="N38" s="143"/>
      <c r="O38" s="143"/>
    </row>
    <row r="39" spans="4:15" ht="23.25" customHeight="1" thickBot="1">
      <c r="D39" s="953"/>
      <c r="E39" s="142"/>
      <c r="F39" s="537"/>
      <c r="G39" s="972">
        <v>3</v>
      </c>
      <c r="H39" s="1320" t="s">
        <v>2670</v>
      </c>
      <c r="I39" s="1056"/>
      <c r="J39" s="143"/>
      <c r="K39" s="143"/>
      <c r="L39" s="143"/>
      <c r="M39" s="143"/>
      <c r="N39" s="143"/>
      <c r="O39" s="143"/>
    </row>
    <row r="40" spans="4:15" ht="52.5" customHeight="1">
      <c r="D40" s="953"/>
      <c r="E40" s="143"/>
      <c r="F40" s="143"/>
      <c r="G40" s="2975" t="s">
        <v>338</v>
      </c>
      <c r="H40" s="2976"/>
      <c r="I40" s="2976"/>
      <c r="J40" s="2976"/>
      <c r="K40" s="2976"/>
      <c r="L40" s="2976"/>
      <c r="M40" s="2976"/>
      <c r="N40" s="2976"/>
      <c r="O40" s="2976"/>
    </row>
    <row r="41" spans="4:15" ht="21" customHeight="1">
      <c r="D41" s="953"/>
      <c r="E41" s="142"/>
      <c r="F41" s="537"/>
      <c r="G41" s="1303" t="s">
        <v>418</v>
      </c>
      <c r="H41" s="537"/>
      <c r="I41" s="551"/>
      <c r="J41" s="1296"/>
      <c r="K41" s="537"/>
      <c r="L41" s="537"/>
      <c r="M41" s="537"/>
      <c r="N41" s="537"/>
      <c r="O41" s="537"/>
    </row>
    <row r="42" spans="4:15" ht="25.5" customHeight="1" thickBot="1">
      <c r="D42" s="953"/>
      <c r="E42" s="142"/>
      <c r="F42" s="537"/>
      <c r="G42" s="1304" t="s">
        <v>225</v>
      </c>
      <c r="H42" s="2953" t="s">
        <v>1736</v>
      </c>
      <c r="I42" s="2954"/>
      <c r="J42" s="2953" t="s">
        <v>1729</v>
      </c>
      <c r="K42" s="2954"/>
      <c r="L42" s="2954"/>
      <c r="M42" s="2954"/>
      <c r="N42" s="2955"/>
      <c r="O42" s="1213" t="s">
        <v>1737</v>
      </c>
    </row>
    <row r="43" spans="4:15" ht="39.75" customHeight="1">
      <c r="D43" s="953"/>
      <c r="E43" s="537"/>
      <c r="F43" s="537"/>
      <c r="G43" s="1321">
        <v>2</v>
      </c>
      <c r="H43" s="2882" t="s">
        <v>339</v>
      </c>
      <c r="I43" s="2945"/>
      <c r="J43" s="2951" t="s">
        <v>340</v>
      </c>
      <c r="K43" s="2951"/>
      <c r="L43" s="2951"/>
      <c r="M43" s="2951"/>
      <c r="N43" s="2952"/>
      <c r="O43" s="1307">
        <v>2</v>
      </c>
    </row>
    <row r="44" spans="4:15" ht="25.5" customHeight="1">
      <c r="D44" s="953"/>
      <c r="E44" s="537"/>
      <c r="F44" s="537"/>
      <c r="G44" s="1322">
        <v>1</v>
      </c>
      <c r="H44" s="2838" t="s">
        <v>234</v>
      </c>
      <c r="I44" s="2932"/>
      <c r="J44" s="2854" t="s">
        <v>2392</v>
      </c>
      <c r="K44" s="2921"/>
      <c r="L44" s="2921"/>
      <c r="M44" s="2921"/>
      <c r="N44" s="2922"/>
      <c r="O44" s="1310">
        <v>1</v>
      </c>
    </row>
    <row r="45" spans="4:15" ht="39.75" customHeight="1">
      <c r="D45" s="953"/>
      <c r="E45" s="537"/>
      <c r="F45" s="537"/>
      <c r="G45" s="1322">
        <v>0</v>
      </c>
      <c r="H45" s="2838" t="s">
        <v>2393</v>
      </c>
      <c r="I45" s="2932"/>
      <c r="J45" s="2854" t="s">
        <v>130</v>
      </c>
      <c r="K45" s="2921"/>
      <c r="L45" s="2921"/>
      <c r="M45" s="2921"/>
      <c r="N45" s="2922"/>
      <c r="O45" s="1323">
        <v>1</v>
      </c>
    </row>
    <row r="46" spans="4:15" ht="25.5" customHeight="1">
      <c r="D46" s="953"/>
      <c r="E46" s="537"/>
      <c r="F46" s="537"/>
      <c r="G46" s="1322">
        <v>0</v>
      </c>
      <c r="H46" s="2838" t="s">
        <v>235</v>
      </c>
      <c r="I46" s="2932"/>
      <c r="J46" s="2854" t="s">
        <v>131</v>
      </c>
      <c r="K46" s="2921"/>
      <c r="L46" s="2921"/>
      <c r="M46" s="2921"/>
      <c r="N46" s="2922"/>
      <c r="O46" s="1323">
        <v>1</v>
      </c>
    </row>
    <row r="47" spans="4:15" ht="39.75" customHeight="1">
      <c r="D47" s="953"/>
      <c r="E47" s="537"/>
      <c r="F47" s="537"/>
      <c r="G47" s="1322">
        <v>0</v>
      </c>
      <c r="H47" s="2838" t="s">
        <v>236</v>
      </c>
      <c r="I47" s="2933"/>
      <c r="J47" s="2854" t="s">
        <v>132</v>
      </c>
      <c r="K47" s="2921"/>
      <c r="L47" s="2921"/>
      <c r="M47" s="2921"/>
      <c r="N47" s="2922"/>
      <c r="O47" s="1323">
        <v>1</v>
      </c>
    </row>
    <row r="48" spans="4:15" ht="25.5" customHeight="1">
      <c r="D48" s="953"/>
      <c r="E48" s="537"/>
      <c r="F48" s="537"/>
      <c r="G48" s="2935">
        <v>0</v>
      </c>
      <c r="H48" s="2937" t="s">
        <v>237</v>
      </c>
      <c r="I48" s="2938"/>
      <c r="J48" s="1324" t="s">
        <v>133</v>
      </c>
      <c r="K48" s="1312"/>
      <c r="L48" s="1312"/>
      <c r="M48" s="1312"/>
      <c r="N48" s="1313"/>
      <c r="O48" s="2915">
        <v>1</v>
      </c>
    </row>
    <row r="49" spans="2:15" ht="25.5" customHeight="1" thickBot="1">
      <c r="D49" s="953"/>
      <c r="E49" s="537"/>
      <c r="F49" s="537"/>
      <c r="G49" s="2936"/>
      <c r="H49" s="2939"/>
      <c r="I49" s="2940"/>
      <c r="J49" s="2942"/>
      <c r="K49" s="2943"/>
      <c r="L49" s="2943"/>
      <c r="M49" s="2943"/>
      <c r="N49" s="2944"/>
      <c r="O49" s="2941"/>
    </row>
    <row r="50" spans="2:15" ht="29.25" customHeight="1">
      <c r="D50" s="953"/>
      <c r="E50" s="537"/>
      <c r="F50" s="537"/>
      <c r="G50" s="1208" t="s">
        <v>134</v>
      </c>
      <c r="H50" s="2824">
        <f>SUM(G43:G49)</f>
        <v>3</v>
      </c>
      <c r="I50" s="2824"/>
      <c r="J50" s="1210"/>
      <c r="K50" s="1211"/>
      <c r="L50" s="1210"/>
      <c r="M50" s="1211"/>
      <c r="N50" s="1210"/>
      <c r="O50" s="1220"/>
    </row>
    <row r="51" spans="2:15" ht="14.25" customHeight="1">
      <c r="D51" s="953"/>
      <c r="E51" s="155"/>
      <c r="F51" s="1097"/>
      <c r="G51" s="2930"/>
      <c r="H51" s="2931"/>
      <c r="I51" s="2931"/>
      <c r="J51" s="2931"/>
      <c r="K51" s="2931"/>
      <c r="L51" s="2931"/>
      <c r="M51" s="2931"/>
      <c r="N51" s="2931"/>
      <c r="O51" s="2931"/>
    </row>
    <row r="52" spans="2:15" ht="15.75">
      <c r="D52" s="953"/>
      <c r="E52" s="155"/>
      <c r="F52" s="1097"/>
      <c r="G52" s="1140"/>
      <c r="H52" s="1140"/>
      <c r="I52" s="1140"/>
      <c r="J52" s="1140"/>
      <c r="K52" s="1140"/>
      <c r="L52" s="1140"/>
      <c r="M52" s="1140"/>
      <c r="N52" s="1140"/>
      <c r="O52" s="1140"/>
    </row>
    <row r="53" spans="2:15" ht="13.5" customHeight="1">
      <c r="D53" s="2286">
        <v>3</v>
      </c>
      <c r="E53" s="958" t="s">
        <v>238</v>
      </c>
      <c r="F53" s="958"/>
      <c r="G53" s="959"/>
      <c r="H53" s="959"/>
      <c r="I53" s="1326"/>
      <c r="J53" s="959"/>
      <c r="K53" s="959"/>
      <c r="L53" s="959"/>
      <c r="M53" s="959"/>
      <c r="N53" s="959"/>
      <c r="O53" s="959"/>
    </row>
    <row r="54" spans="2:15" ht="13.5" customHeight="1">
      <c r="D54" s="953">
        <v>3.1</v>
      </c>
      <c r="E54" s="958" t="s">
        <v>239</v>
      </c>
      <c r="F54" s="959"/>
      <c r="G54" s="959"/>
      <c r="H54" s="959"/>
      <c r="I54" s="1326"/>
      <c r="J54" s="959"/>
      <c r="K54" s="959"/>
      <c r="L54" s="959"/>
      <c r="M54" s="959"/>
      <c r="N54" s="959"/>
      <c r="O54" s="959"/>
    </row>
    <row r="55" spans="2:15" ht="15" thickBot="1">
      <c r="B55" t="s">
        <v>778</v>
      </c>
      <c r="D55" s="2285"/>
      <c r="E55" s="959"/>
      <c r="F55" s="965"/>
      <c r="G55" s="966"/>
      <c r="H55" s="967"/>
      <c r="I55" s="967"/>
      <c r="J55" s="967"/>
      <c r="K55" s="967"/>
      <c r="L55" s="967"/>
      <c r="M55" s="2927" t="s">
        <v>1358</v>
      </c>
      <c r="N55" s="2927"/>
      <c r="O55" s="1300">
        <f>重み!M113</f>
        <v>0.5</v>
      </c>
    </row>
    <row r="56" spans="2:15" ht="23.25" customHeight="1" thickBot="1">
      <c r="B56" s="1185" t="s">
        <v>2534</v>
      </c>
      <c r="C56" t="s">
        <v>135</v>
      </c>
      <c r="D56" s="953"/>
      <c r="E56" s="142"/>
      <c r="F56" s="1327">
        <f>ROUND(IF(H83&lt;1,1,IF(H83&lt;=2,2,IF(H83&lt;=4,3,IF(H83=5,4,IF(H83&gt;=6,5))))),0)</f>
        <v>3</v>
      </c>
      <c r="G56" s="2928" t="s">
        <v>501</v>
      </c>
      <c r="H56" s="2929"/>
      <c r="I56" s="2929"/>
      <c r="J56" s="2929"/>
      <c r="K56" s="2929"/>
      <c r="L56" s="2929"/>
      <c r="M56" s="2929"/>
      <c r="N56" s="2929"/>
      <c r="O56" s="2818"/>
    </row>
    <row r="57" spans="2:15" ht="24.75" customHeight="1">
      <c r="D57" s="953"/>
      <c r="E57" s="142"/>
      <c r="F57" s="979" t="str">
        <f>IF(ROUNDDOWN($F$56,0)=$S$10,$U$10,$T$10)</f>
        <v>　レベル　1</v>
      </c>
      <c r="G57" s="981" t="s">
        <v>240</v>
      </c>
      <c r="H57" s="982"/>
      <c r="I57" s="982"/>
      <c r="J57" s="982"/>
      <c r="K57" s="982"/>
      <c r="L57" s="982"/>
      <c r="M57" s="982"/>
      <c r="N57" s="982"/>
      <c r="O57" s="983"/>
    </row>
    <row r="58" spans="2:15" ht="24.75" customHeight="1">
      <c r="D58" s="953"/>
      <c r="E58" s="142"/>
      <c r="F58" s="984" t="str">
        <f>IF(ROUNDDOWN($F$56,0)=$S$11,$U$11,$T$11)</f>
        <v>　レベル　2</v>
      </c>
      <c r="G58" s="988" t="s">
        <v>3308</v>
      </c>
      <c r="H58" s="989"/>
      <c r="I58" s="989"/>
      <c r="J58" s="989"/>
      <c r="K58" s="989"/>
      <c r="L58" s="989"/>
      <c r="M58" s="989"/>
      <c r="N58" s="989"/>
      <c r="O58" s="990"/>
    </row>
    <row r="59" spans="2:15" ht="24.75" customHeight="1">
      <c r="D59" s="953"/>
      <c r="E59" s="142"/>
      <c r="F59" s="984" t="str">
        <f>IF(ROUNDDOWN($F$56,0)=$S$12,$U$12,$T$12)</f>
        <v>■レベル　3</v>
      </c>
      <c r="G59" s="988" t="s">
        <v>3309</v>
      </c>
      <c r="H59" s="989"/>
      <c r="I59" s="989"/>
      <c r="J59" s="989"/>
      <c r="K59" s="989"/>
      <c r="L59" s="989"/>
      <c r="M59" s="989"/>
      <c r="N59" s="989"/>
      <c r="O59" s="990"/>
    </row>
    <row r="60" spans="2:15" ht="24.75" customHeight="1">
      <c r="D60" s="953"/>
      <c r="E60" s="142"/>
      <c r="F60" s="984" t="str">
        <f>IF(ROUNDDOWN($F$56,0)=$S$13,$U$13,$T$13)</f>
        <v>　レベル　4</v>
      </c>
      <c r="G60" s="988" t="s">
        <v>3310</v>
      </c>
      <c r="H60" s="989"/>
      <c r="I60" s="989"/>
      <c r="J60" s="989"/>
      <c r="K60" s="989"/>
      <c r="L60" s="989"/>
      <c r="M60" s="989"/>
      <c r="N60" s="989"/>
      <c r="O60" s="990"/>
    </row>
    <row r="61" spans="2:15" ht="24.75" customHeight="1">
      <c r="D61" s="953"/>
      <c r="E61" s="142"/>
      <c r="F61" s="995" t="str">
        <f>IF(ROUNDDOWN($F$56,0)=$S$14,$U$14,$T$14)</f>
        <v>　レベル　5</v>
      </c>
      <c r="G61" s="999" t="s">
        <v>3311</v>
      </c>
      <c r="H61" s="1000"/>
      <c r="I61" s="1000"/>
      <c r="J61" s="1000"/>
      <c r="K61" s="1000"/>
      <c r="L61" s="1000"/>
      <c r="M61" s="1000"/>
      <c r="N61" s="1000"/>
      <c r="O61" s="1001"/>
    </row>
    <row r="62" spans="2:15" ht="23.25" customHeight="1">
      <c r="D62" s="953"/>
      <c r="E62" s="142"/>
      <c r="F62" s="537"/>
      <c r="G62" s="1303" t="s">
        <v>418</v>
      </c>
      <c r="H62" s="537"/>
      <c r="I62" s="551"/>
      <c r="J62" s="1296"/>
      <c r="K62" s="537"/>
      <c r="L62" s="537"/>
      <c r="M62" s="537"/>
      <c r="N62" s="537"/>
      <c r="O62" s="537"/>
    </row>
    <row r="63" spans="2:15" ht="28.5" customHeight="1" thickBot="1">
      <c r="D63" s="953"/>
      <c r="E63" s="142"/>
      <c r="F63" s="537"/>
      <c r="G63" s="1304" t="s">
        <v>225</v>
      </c>
      <c r="H63" s="2953" t="s">
        <v>1736</v>
      </c>
      <c r="I63" s="2954"/>
      <c r="J63" s="2953" t="s">
        <v>1729</v>
      </c>
      <c r="K63" s="2954"/>
      <c r="L63" s="2954"/>
      <c r="M63" s="2954"/>
      <c r="N63" s="2955"/>
      <c r="O63" s="1213" t="s">
        <v>1737</v>
      </c>
    </row>
    <row r="64" spans="2:15" ht="48" customHeight="1">
      <c r="D64" s="953"/>
      <c r="E64" s="537"/>
      <c r="F64" s="537"/>
      <c r="G64" s="1328">
        <v>1</v>
      </c>
      <c r="H64" s="2956" t="s">
        <v>136</v>
      </c>
      <c r="I64" s="2957"/>
      <c r="J64" s="2865" t="s">
        <v>137</v>
      </c>
      <c r="K64" s="2883"/>
      <c r="L64" s="2883"/>
      <c r="M64" s="2883"/>
      <c r="N64" s="2884"/>
      <c r="O64" s="1329">
        <v>1</v>
      </c>
    </row>
    <row r="65" spans="2:15" ht="57.75" customHeight="1">
      <c r="D65" s="953"/>
      <c r="E65" s="537"/>
      <c r="F65" s="537"/>
      <c r="G65" s="1330">
        <v>1</v>
      </c>
      <c r="H65" s="2958"/>
      <c r="I65" s="2959"/>
      <c r="J65" s="2905" t="s">
        <v>1063</v>
      </c>
      <c r="K65" s="2906"/>
      <c r="L65" s="2906"/>
      <c r="M65" s="2906"/>
      <c r="N65" s="2907"/>
      <c r="O65" s="1325">
        <v>1</v>
      </c>
    </row>
    <row r="66" spans="2:15" ht="15.75" customHeight="1">
      <c r="D66" s="953"/>
      <c r="E66" s="537"/>
      <c r="F66" s="537"/>
      <c r="G66" s="2901">
        <v>1</v>
      </c>
      <c r="H66" s="2908" t="s">
        <v>138</v>
      </c>
      <c r="I66" s="2981"/>
      <c r="J66" s="2905" t="s">
        <v>663</v>
      </c>
      <c r="K66" s="2906"/>
      <c r="L66" s="2906"/>
      <c r="M66" s="2906"/>
      <c r="N66" s="2907"/>
      <c r="O66" s="2915">
        <v>1</v>
      </c>
    </row>
    <row r="67" spans="2:15" ht="53.25" customHeight="1">
      <c r="D67" s="953"/>
      <c r="E67" s="537"/>
      <c r="F67" s="537"/>
      <c r="G67" s="2977"/>
      <c r="H67" s="2910"/>
      <c r="I67" s="2982"/>
      <c r="J67" s="2918" t="s">
        <v>664</v>
      </c>
      <c r="K67" s="2919"/>
      <c r="L67" s="2919"/>
      <c r="M67" s="2919"/>
      <c r="N67" s="2920"/>
      <c r="O67" s="2916"/>
    </row>
    <row r="68" spans="2:15" ht="31.5" customHeight="1">
      <c r="D68" s="953"/>
      <c r="E68" s="537"/>
      <c r="F68" s="537"/>
      <c r="G68" s="2902"/>
      <c r="H68" s="2910"/>
      <c r="I68" s="2982"/>
      <c r="J68" s="2918" t="s">
        <v>665</v>
      </c>
      <c r="K68" s="2919"/>
      <c r="L68" s="2919"/>
      <c r="M68" s="2919"/>
      <c r="N68" s="2920"/>
      <c r="O68" s="2917"/>
    </row>
    <row r="69" spans="2:15" ht="52.5" customHeight="1">
      <c r="D69" s="953"/>
      <c r="E69" s="537"/>
      <c r="F69" s="537"/>
      <c r="G69" s="2901">
        <v>0</v>
      </c>
      <c r="H69" s="2910"/>
      <c r="I69" s="2982"/>
      <c r="J69" s="2854" t="s">
        <v>666</v>
      </c>
      <c r="K69" s="2921"/>
      <c r="L69" s="2921"/>
      <c r="M69" s="2921"/>
      <c r="N69" s="2922"/>
      <c r="O69" s="1333">
        <v>1</v>
      </c>
    </row>
    <row r="70" spans="2:15" ht="34.5" hidden="1" customHeight="1">
      <c r="D70" s="953"/>
      <c r="E70" s="537"/>
      <c r="F70" s="537"/>
      <c r="G70" s="2902"/>
      <c r="H70" s="2912"/>
      <c r="I70" s="2983"/>
      <c r="J70" s="1311" t="s">
        <v>667</v>
      </c>
      <c r="K70" s="1312"/>
      <c r="L70" s="1312"/>
      <c r="M70" s="1312"/>
      <c r="N70" s="1313"/>
      <c r="O70" s="1332"/>
    </row>
    <row r="71" spans="2:15" ht="20.25" customHeight="1">
      <c r="D71" s="953"/>
      <c r="E71" s="537"/>
      <c r="F71" s="537"/>
      <c r="G71" s="2901">
        <v>0</v>
      </c>
      <c r="H71" s="2908" t="s">
        <v>668</v>
      </c>
      <c r="I71" s="2909"/>
      <c r="J71" s="2905" t="s">
        <v>669</v>
      </c>
      <c r="K71" s="2906"/>
      <c r="L71" s="2906"/>
      <c r="M71" s="2906"/>
      <c r="N71" s="2907"/>
      <c r="O71" s="2915">
        <v>1</v>
      </c>
    </row>
    <row r="72" spans="2:15" ht="55.5" customHeight="1">
      <c r="D72" s="953"/>
      <c r="E72" s="537"/>
      <c r="F72" s="537"/>
      <c r="G72" s="2977"/>
      <c r="H72" s="2910"/>
      <c r="I72" s="2911"/>
      <c r="J72" s="2918" t="s">
        <v>1187</v>
      </c>
      <c r="K72" s="2919"/>
      <c r="L72" s="2919"/>
      <c r="M72" s="2919"/>
      <c r="N72" s="2920"/>
      <c r="O72" s="2916"/>
    </row>
    <row r="73" spans="2:15" ht="46.5" customHeight="1">
      <c r="D73" s="953"/>
      <c r="E73" s="537"/>
      <c r="F73" s="537"/>
      <c r="G73" s="2902"/>
      <c r="H73" s="2912"/>
      <c r="I73" s="2913"/>
      <c r="J73" s="2898" t="s">
        <v>1188</v>
      </c>
      <c r="K73" s="2903"/>
      <c r="L73" s="2903"/>
      <c r="M73" s="2903"/>
      <c r="N73" s="2904"/>
      <c r="O73" s="2917"/>
    </row>
    <row r="74" spans="2:15" ht="23.25" customHeight="1">
      <c r="D74" s="953"/>
      <c r="E74" s="537"/>
      <c r="F74" s="537"/>
      <c r="G74" s="2901">
        <v>0</v>
      </c>
      <c r="H74" s="2908" t="s">
        <v>2112</v>
      </c>
      <c r="I74" s="2909"/>
      <c r="J74" s="2905" t="s">
        <v>1189</v>
      </c>
      <c r="K74" s="2906"/>
      <c r="L74" s="2906"/>
      <c r="M74" s="2906"/>
      <c r="N74" s="2907"/>
      <c r="O74" s="2978">
        <v>1</v>
      </c>
    </row>
    <row r="75" spans="2:15" ht="48" customHeight="1">
      <c r="D75" s="953"/>
      <c r="E75" s="537"/>
      <c r="F75" s="537"/>
      <c r="G75" s="2977"/>
      <c r="H75" s="2910"/>
      <c r="I75" s="2911"/>
      <c r="J75" s="2918" t="s">
        <v>1190</v>
      </c>
      <c r="K75" s="2919"/>
      <c r="L75" s="2919"/>
      <c r="M75" s="2919"/>
      <c r="N75" s="2920"/>
      <c r="O75" s="2979"/>
    </row>
    <row r="76" spans="2:15" ht="46.5" customHeight="1">
      <c r="D76" s="953"/>
      <c r="E76" s="537"/>
      <c r="F76" s="537"/>
      <c r="G76" s="2977"/>
      <c r="H76" s="2910"/>
      <c r="I76" s="2911"/>
      <c r="J76" s="2918" t="s">
        <v>1191</v>
      </c>
      <c r="K76" s="2919"/>
      <c r="L76" s="2919"/>
      <c r="M76" s="2919"/>
      <c r="N76" s="2920"/>
      <c r="O76" s="2979"/>
    </row>
    <row r="77" spans="2:15" ht="44.25" customHeight="1">
      <c r="D77" s="953"/>
      <c r="E77" s="537"/>
      <c r="F77" s="537"/>
      <c r="G77" s="2977"/>
      <c r="H77" s="2912"/>
      <c r="I77" s="2913"/>
      <c r="J77" s="2898" t="s">
        <v>1192</v>
      </c>
      <c r="K77" s="2903"/>
      <c r="L77" s="2903"/>
      <c r="M77" s="2903"/>
      <c r="N77" s="2904"/>
      <c r="O77" s="2980"/>
    </row>
    <row r="78" spans="2:15" ht="44.25" customHeight="1">
      <c r="B78" s="1147" t="s">
        <v>2113</v>
      </c>
      <c r="D78" s="953"/>
      <c r="E78" s="537"/>
      <c r="F78" s="537"/>
      <c r="G78" s="1330">
        <v>0</v>
      </c>
      <c r="H78" s="2923" t="s">
        <v>2114</v>
      </c>
      <c r="I78" s="2924"/>
      <c r="J78" s="2854" t="s">
        <v>2115</v>
      </c>
      <c r="K78" s="2921"/>
      <c r="L78" s="2921"/>
      <c r="M78" s="2921"/>
      <c r="N78" s="2922"/>
      <c r="O78" s="1334">
        <v>1</v>
      </c>
    </row>
    <row r="79" spans="2:15" ht="44.25" customHeight="1">
      <c r="D79" s="953"/>
      <c r="E79" s="537"/>
      <c r="F79" s="537"/>
      <c r="G79" s="2901">
        <v>0</v>
      </c>
      <c r="H79" s="2908" t="s">
        <v>3249</v>
      </c>
      <c r="I79" s="2909"/>
      <c r="J79" s="2905" t="s">
        <v>3251</v>
      </c>
      <c r="K79" s="2906"/>
      <c r="L79" s="2906"/>
      <c r="M79" s="2906"/>
      <c r="N79" s="2907"/>
      <c r="O79" s="1219">
        <v>1</v>
      </c>
    </row>
    <row r="80" spans="2:15" ht="45" customHeight="1">
      <c r="D80" s="953"/>
      <c r="E80" s="537"/>
      <c r="F80" s="537"/>
      <c r="G80" s="2902"/>
      <c r="H80" s="2912"/>
      <c r="I80" s="2913"/>
      <c r="J80" s="2898" t="s">
        <v>2695</v>
      </c>
      <c r="K80" s="2903"/>
      <c r="L80" s="2903"/>
      <c r="M80" s="2903"/>
      <c r="N80" s="2904"/>
      <c r="O80" s="1335"/>
    </row>
    <row r="81" spans="4:15" ht="16.5" customHeight="1">
      <c r="D81" s="953"/>
      <c r="E81" s="537"/>
      <c r="F81" s="537"/>
      <c r="G81" s="2901">
        <v>0</v>
      </c>
      <c r="H81" s="2910" t="s">
        <v>3250</v>
      </c>
      <c r="I81" s="2911"/>
      <c r="J81" s="2918" t="s">
        <v>3252</v>
      </c>
      <c r="K81" s="2919"/>
      <c r="L81" s="2919"/>
      <c r="M81" s="2919"/>
      <c r="N81" s="2920"/>
      <c r="O81" s="2987">
        <v>1</v>
      </c>
    </row>
    <row r="82" spans="4:15" ht="41.25" customHeight="1" thickBot="1">
      <c r="D82" s="953"/>
      <c r="E82" s="537"/>
      <c r="F82" s="537"/>
      <c r="G82" s="2984"/>
      <c r="H82" s="2985"/>
      <c r="I82" s="2986"/>
      <c r="J82" s="2942"/>
      <c r="K82" s="2943"/>
      <c r="L82" s="2943"/>
      <c r="M82" s="2943"/>
      <c r="N82" s="2944"/>
      <c r="O82" s="2988"/>
    </row>
    <row r="83" spans="4:15" ht="29.25" customHeight="1">
      <c r="D83" s="953"/>
      <c r="E83" s="537"/>
      <c r="F83" s="537"/>
      <c r="G83" s="1208" t="s">
        <v>1304</v>
      </c>
      <c r="H83" s="2824">
        <f>SUM(G64:G82)</f>
        <v>3</v>
      </c>
      <c r="I83" s="2824"/>
      <c r="J83" s="1210"/>
      <c r="K83" s="1211"/>
      <c r="L83" s="1210"/>
      <c r="M83" s="1211"/>
      <c r="N83" s="1210"/>
      <c r="O83" s="1220"/>
    </row>
    <row r="84" spans="4:15" ht="21.75" customHeight="1">
      <c r="D84" s="953"/>
      <c r="E84" s="537"/>
      <c r="F84" s="537"/>
      <c r="G84" s="537"/>
      <c r="H84" s="537"/>
      <c r="I84" s="537"/>
      <c r="J84" s="1296"/>
      <c r="K84" s="537"/>
      <c r="L84" s="537"/>
      <c r="M84" s="537"/>
      <c r="N84" s="537"/>
      <c r="O84" s="537"/>
    </row>
    <row r="85" spans="4:15" ht="21.75" customHeight="1">
      <c r="D85" s="953">
        <v>3.2</v>
      </c>
      <c r="E85" s="958" t="s">
        <v>2580</v>
      </c>
      <c r="F85" s="959"/>
      <c r="G85" s="537"/>
      <c r="H85" s="537"/>
      <c r="I85" s="537"/>
      <c r="J85" s="1296"/>
      <c r="K85" s="537"/>
      <c r="L85" s="537"/>
      <c r="M85" s="537"/>
      <c r="N85" s="537"/>
      <c r="O85" s="537"/>
    </row>
    <row r="86" spans="4:15" ht="14.25" thickBot="1">
      <c r="D86" s="155"/>
      <c r="E86" s="537"/>
      <c r="F86" s="965"/>
      <c r="G86" s="966"/>
      <c r="H86" s="967"/>
      <c r="I86" s="967"/>
      <c r="J86" s="967"/>
      <c r="K86" s="967"/>
      <c r="L86" s="967"/>
      <c r="M86" s="2927" t="s">
        <v>1358</v>
      </c>
      <c r="N86" s="2927"/>
      <c r="O86" s="1300">
        <f>重み!M114</f>
        <v>0.5</v>
      </c>
    </row>
    <row r="87" spans="4:15" ht="25.5" customHeight="1" thickBot="1">
      <c r="D87" s="953"/>
      <c r="E87" s="142"/>
      <c r="F87" s="1327">
        <f>ROUND(IF(H110=0,1,IF(H110&lt;=5,2,IF(H110&lt;=11,3,IF(H110&lt;=17,4,IF(H110&gt;=18,5))))),0)</f>
        <v>3</v>
      </c>
      <c r="G87" s="2928" t="s">
        <v>501</v>
      </c>
      <c r="H87" s="2929"/>
      <c r="I87" s="2929"/>
      <c r="J87" s="2929"/>
      <c r="K87" s="2929"/>
      <c r="L87" s="2929"/>
      <c r="M87" s="2929"/>
      <c r="N87" s="2929"/>
      <c r="O87" s="2818"/>
    </row>
    <row r="88" spans="4:15" ht="25.5" customHeight="1">
      <c r="D88" s="953"/>
      <c r="E88" s="142"/>
      <c r="F88" s="979" t="str">
        <f>IF(ROUNDDOWN($F$87,0)=$S$10,$U$10,$T$10)</f>
        <v>　レベル　1</v>
      </c>
      <c r="G88" s="2865" t="s">
        <v>2116</v>
      </c>
      <c r="H88" s="2883"/>
      <c r="I88" s="2883"/>
      <c r="J88" s="2883"/>
      <c r="K88" s="2883"/>
      <c r="L88" s="2883"/>
      <c r="M88" s="2883"/>
      <c r="N88" s="2883"/>
      <c r="O88" s="2884"/>
    </row>
    <row r="89" spans="4:15" ht="25.5" customHeight="1">
      <c r="D89" s="953"/>
      <c r="E89" s="142"/>
      <c r="F89" s="984" t="str">
        <f>IF(ROUNDDOWN($F$87,0)=$S$11,$U$11,$T$11)</f>
        <v>　レベル　2</v>
      </c>
      <c r="G89" s="2854" t="s">
        <v>2117</v>
      </c>
      <c r="H89" s="2921"/>
      <c r="I89" s="2921"/>
      <c r="J89" s="2921"/>
      <c r="K89" s="2921"/>
      <c r="L89" s="2921"/>
      <c r="M89" s="2921"/>
      <c r="N89" s="2921"/>
      <c r="O89" s="2922"/>
    </row>
    <row r="90" spans="4:15" ht="25.5" customHeight="1">
      <c r="D90" s="953"/>
      <c r="E90" s="142"/>
      <c r="F90" s="984" t="str">
        <f>IF(ROUNDDOWN($F$87,0)=$S$12,$U$12,$T$12)</f>
        <v>■レベル　3</v>
      </c>
      <c r="G90" s="2854" t="s">
        <v>2118</v>
      </c>
      <c r="H90" s="2921"/>
      <c r="I90" s="2921"/>
      <c r="J90" s="2921"/>
      <c r="K90" s="2921"/>
      <c r="L90" s="2921"/>
      <c r="M90" s="2921"/>
      <c r="N90" s="2921"/>
      <c r="O90" s="2922"/>
    </row>
    <row r="91" spans="4:15" ht="25.5" customHeight="1">
      <c r="D91" s="953"/>
      <c r="E91" s="142"/>
      <c r="F91" s="984" t="str">
        <f>IF(ROUNDDOWN($F$87,0)=$S$13,$U$13,$T$13)</f>
        <v>　レベル　4</v>
      </c>
      <c r="G91" s="2854" t="s">
        <v>2119</v>
      </c>
      <c r="H91" s="2921"/>
      <c r="I91" s="2921"/>
      <c r="J91" s="2921"/>
      <c r="K91" s="2921"/>
      <c r="L91" s="2921"/>
      <c r="M91" s="2921"/>
      <c r="N91" s="2921"/>
      <c r="O91" s="2922"/>
    </row>
    <row r="92" spans="4:15" ht="25.5" customHeight="1">
      <c r="D92" s="953"/>
      <c r="E92" s="142"/>
      <c r="F92" s="995" t="str">
        <f>IF(ROUNDDOWN($F$87,0)=$S$14,$U$14,$T$14)</f>
        <v>　レベル　5</v>
      </c>
      <c r="G92" s="2856" t="s">
        <v>1318</v>
      </c>
      <c r="H92" s="2973"/>
      <c r="I92" s="2973"/>
      <c r="J92" s="2973"/>
      <c r="K92" s="2973"/>
      <c r="L92" s="2973"/>
      <c r="M92" s="2973"/>
      <c r="N92" s="2973"/>
      <c r="O92" s="2974"/>
    </row>
    <row r="93" spans="4:15">
      <c r="D93" s="155"/>
      <c r="E93" s="537"/>
      <c r="F93" s="537"/>
      <c r="G93" s="1303" t="s">
        <v>418</v>
      </c>
      <c r="H93" s="537"/>
      <c r="I93" s="537"/>
      <c r="J93" s="537"/>
      <c r="K93" s="537"/>
      <c r="L93" s="537"/>
      <c r="M93" s="537"/>
      <c r="N93" s="537"/>
      <c r="O93" s="537"/>
    </row>
    <row r="94" spans="4:15" ht="25.5" customHeight="1" thickBot="1">
      <c r="D94" s="953"/>
      <c r="E94" s="537"/>
      <c r="F94" s="537"/>
      <c r="G94" s="1304" t="s">
        <v>225</v>
      </c>
      <c r="H94" s="2953" t="s">
        <v>1736</v>
      </c>
      <c r="I94" s="2954"/>
      <c r="J94" s="2953" t="s">
        <v>1729</v>
      </c>
      <c r="K94" s="2954"/>
      <c r="L94" s="2954"/>
      <c r="M94" s="2954"/>
      <c r="N94" s="2955"/>
      <c r="O94" s="1213" t="s">
        <v>1737</v>
      </c>
    </row>
    <row r="95" spans="4:15" ht="36" customHeight="1">
      <c r="G95" s="1328">
        <v>2</v>
      </c>
      <c r="H95" s="2908" t="s">
        <v>2581</v>
      </c>
      <c r="I95" s="2909"/>
      <c r="J95" s="2865" t="s">
        <v>2582</v>
      </c>
      <c r="K95" s="2883"/>
      <c r="L95" s="2883"/>
      <c r="M95" s="2883"/>
      <c r="N95" s="2884"/>
      <c r="O95" s="1329">
        <v>2</v>
      </c>
    </row>
    <row r="96" spans="4:15" ht="30.75" customHeight="1">
      <c r="G96" s="2901">
        <v>3</v>
      </c>
      <c r="H96" s="2910"/>
      <c r="I96" s="2911"/>
      <c r="J96" s="2905" t="s">
        <v>2583</v>
      </c>
      <c r="K96" s="2906"/>
      <c r="L96" s="2906"/>
      <c r="M96" s="2906"/>
      <c r="N96" s="2907"/>
      <c r="O96" s="2914" t="s">
        <v>227</v>
      </c>
    </row>
    <row r="97" spans="4:15" ht="57.75" customHeight="1">
      <c r="G97" s="2902"/>
      <c r="H97" s="2910"/>
      <c r="I97" s="2911"/>
      <c r="J97" s="2898" t="s">
        <v>2080</v>
      </c>
      <c r="K97" s="2903"/>
      <c r="L97" s="2903"/>
      <c r="M97" s="2903"/>
      <c r="N97" s="2904"/>
      <c r="O97" s="2914"/>
    </row>
    <row r="98" spans="4:15" ht="19.5" customHeight="1">
      <c r="G98" s="2901">
        <v>1</v>
      </c>
      <c r="H98" s="2908" t="s">
        <v>2081</v>
      </c>
      <c r="I98" s="2909"/>
      <c r="J98" s="2905" t="s">
        <v>2082</v>
      </c>
      <c r="K98" s="2906"/>
      <c r="L98" s="2906"/>
      <c r="M98" s="2906"/>
      <c r="N98" s="2907"/>
      <c r="O98" s="2914" t="s">
        <v>227</v>
      </c>
    </row>
    <row r="99" spans="4:15" ht="57.75" customHeight="1">
      <c r="G99" s="2902"/>
      <c r="H99" s="2912"/>
      <c r="I99" s="2913"/>
      <c r="J99" s="2898" t="s">
        <v>2083</v>
      </c>
      <c r="K99" s="2903"/>
      <c r="L99" s="2903"/>
      <c r="M99" s="2903"/>
      <c r="N99" s="2904"/>
      <c r="O99" s="2914"/>
    </row>
    <row r="100" spans="4:15" ht="30.75" customHeight="1">
      <c r="G100" s="2901">
        <v>0</v>
      </c>
      <c r="H100" s="2908" t="s">
        <v>2084</v>
      </c>
      <c r="I100" s="2909"/>
      <c r="J100" s="2905" t="s">
        <v>2085</v>
      </c>
      <c r="K100" s="2906"/>
      <c r="L100" s="2906"/>
      <c r="M100" s="2906"/>
      <c r="N100" s="2907"/>
      <c r="O100" s="2914" t="s">
        <v>227</v>
      </c>
    </row>
    <row r="101" spans="4:15" ht="57.75" customHeight="1">
      <c r="G101" s="2902"/>
      <c r="H101" s="2910"/>
      <c r="I101" s="2911"/>
      <c r="J101" s="2898" t="s">
        <v>1196</v>
      </c>
      <c r="K101" s="2903"/>
      <c r="L101" s="2903"/>
      <c r="M101" s="2903"/>
      <c r="N101" s="2904"/>
      <c r="O101" s="2914"/>
    </row>
    <row r="102" spans="4:15" ht="19.5" customHeight="1">
      <c r="G102" s="2901">
        <v>0</v>
      </c>
      <c r="H102" s="2910"/>
      <c r="I102" s="2911"/>
      <c r="J102" s="2905" t="s">
        <v>2086</v>
      </c>
      <c r="K102" s="2906"/>
      <c r="L102" s="2906"/>
      <c r="M102" s="2906"/>
      <c r="N102" s="2907"/>
      <c r="O102" s="2914" t="s">
        <v>227</v>
      </c>
    </row>
    <row r="103" spans="4:15" ht="57.75" customHeight="1">
      <c r="G103" s="2902"/>
      <c r="H103" s="2912"/>
      <c r="I103" s="2913"/>
      <c r="J103" s="2898" t="s">
        <v>2087</v>
      </c>
      <c r="K103" s="2903"/>
      <c r="L103" s="2903"/>
      <c r="M103" s="2903"/>
      <c r="N103" s="2904"/>
      <c r="O103" s="2914"/>
    </row>
    <row r="104" spans="4:15" ht="19.5" customHeight="1">
      <c r="G104" s="2901">
        <v>0</v>
      </c>
      <c r="H104" s="2908" t="s">
        <v>2088</v>
      </c>
      <c r="I104" s="2909"/>
      <c r="J104" s="2905" t="s">
        <v>2124</v>
      </c>
      <c r="K104" s="2906"/>
      <c r="L104" s="2906"/>
      <c r="M104" s="2906"/>
      <c r="N104" s="2907"/>
      <c r="O104" s="2914" t="s">
        <v>1319</v>
      </c>
    </row>
    <row r="105" spans="4:15" ht="33.75" customHeight="1">
      <c r="G105" s="2902"/>
      <c r="H105" s="2910"/>
      <c r="I105" s="2911"/>
      <c r="J105" s="2898" t="s">
        <v>2125</v>
      </c>
      <c r="K105" s="2903"/>
      <c r="L105" s="2903"/>
      <c r="M105" s="2903"/>
      <c r="N105" s="2904"/>
      <c r="O105" s="2914"/>
    </row>
    <row r="106" spans="4:15" ht="19.5" customHeight="1">
      <c r="G106" s="2901">
        <v>0</v>
      </c>
      <c r="H106" s="2910"/>
      <c r="I106" s="2911"/>
      <c r="J106" s="2905" t="s">
        <v>2126</v>
      </c>
      <c r="K106" s="2906"/>
      <c r="L106" s="2906"/>
      <c r="M106" s="2906"/>
      <c r="N106" s="2907"/>
      <c r="O106" s="2914" t="s">
        <v>227</v>
      </c>
    </row>
    <row r="107" spans="4:15" ht="60.75" customHeight="1">
      <c r="G107" s="2902"/>
      <c r="H107" s="2912"/>
      <c r="I107" s="2913"/>
      <c r="J107" s="2898" t="s">
        <v>3253</v>
      </c>
      <c r="K107" s="2903"/>
      <c r="L107" s="2903"/>
      <c r="M107" s="2903"/>
      <c r="N107" s="2904"/>
      <c r="O107" s="2914"/>
    </row>
    <row r="108" spans="4:15" ht="69" customHeight="1">
      <c r="G108" s="1331">
        <v>0</v>
      </c>
      <c r="H108" s="2908" t="s">
        <v>976</v>
      </c>
      <c r="I108" s="2909"/>
      <c r="J108" s="2854" t="s">
        <v>261</v>
      </c>
      <c r="K108" s="2921"/>
      <c r="L108" s="2921"/>
      <c r="M108" s="2921"/>
      <c r="N108" s="2922"/>
      <c r="O108" s="1336" t="s">
        <v>2518</v>
      </c>
    </row>
    <row r="109" spans="4:15" ht="74.25" customHeight="1" thickBot="1">
      <c r="G109" s="1337">
        <v>0</v>
      </c>
      <c r="H109" s="2912"/>
      <c r="I109" s="2913"/>
      <c r="J109" s="2898" t="s">
        <v>262</v>
      </c>
      <c r="K109" s="2903"/>
      <c r="L109" s="2903"/>
      <c r="M109" s="2903"/>
      <c r="N109" s="2904"/>
      <c r="O109" s="1338" t="s">
        <v>2518</v>
      </c>
    </row>
    <row r="110" spans="4:15" ht="30" customHeight="1">
      <c r="D110" s="953"/>
      <c r="E110" s="537"/>
      <c r="F110" s="537"/>
      <c r="G110" s="1208" t="s">
        <v>1305</v>
      </c>
      <c r="H110" s="2824">
        <f>SUM(G95:G109)</f>
        <v>6</v>
      </c>
      <c r="I110" s="2824"/>
      <c r="J110" s="1210"/>
      <c r="K110" s="1211"/>
      <c r="L110" s="1210"/>
      <c r="M110" s="1211"/>
      <c r="N110" s="1210"/>
      <c r="O110" s="1220"/>
    </row>
    <row r="111" spans="4:15"/>
    <row r="112" spans="4:15" ht="13.5" hidden="1" customHeight="1"/>
    <row r="113" ht="13.5" hidden="1" customHeight="1"/>
    <row r="114" ht="13.5" hidden="1" customHeight="1"/>
    <row r="115" ht="13.5" hidden="1" customHeight="1"/>
  </sheetData>
  <sheetProtection password="B4B8" sheet="1" objects="1" scenarios="1"/>
  <mergeCells count="135">
    <mergeCell ref="H110:I110"/>
    <mergeCell ref="G89:O89"/>
    <mergeCell ref="G90:O90"/>
    <mergeCell ref="G91:O91"/>
    <mergeCell ref="G92:O92"/>
    <mergeCell ref="O96:O97"/>
    <mergeCell ref="H95:I97"/>
    <mergeCell ref="J108:N108"/>
    <mergeCell ref="M86:N86"/>
    <mergeCell ref="G87:O87"/>
    <mergeCell ref="G88:O88"/>
    <mergeCell ref="H98:I99"/>
    <mergeCell ref="H94:I94"/>
    <mergeCell ref="J94:N94"/>
    <mergeCell ref="J95:N95"/>
    <mergeCell ref="J99:N99"/>
    <mergeCell ref="H100:I103"/>
    <mergeCell ref="J101:N101"/>
    <mergeCell ref="J102:N102"/>
    <mergeCell ref="J103:N103"/>
    <mergeCell ref="J100:N100"/>
    <mergeCell ref="J96:N96"/>
    <mergeCell ref="O104:O105"/>
    <mergeCell ref="O106:O107"/>
    <mergeCell ref="G79:G80"/>
    <mergeCell ref="H79:I80"/>
    <mergeCell ref="J79:N79"/>
    <mergeCell ref="J80:N80"/>
    <mergeCell ref="G81:G82"/>
    <mergeCell ref="H81:I82"/>
    <mergeCell ref="J81:N81"/>
    <mergeCell ref="O81:O82"/>
    <mergeCell ref="J82:N82"/>
    <mergeCell ref="G71:G73"/>
    <mergeCell ref="H71:I73"/>
    <mergeCell ref="J71:N71"/>
    <mergeCell ref="G66:G68"/>
    <mergeCell ref="J66:N66"/>
    <mergeCell ref="O71:O73"/>
    <mergeCell ref="J72:N72"/>
    <mergeCell ref="J73:N73"/>
    <mergeCell ref="G74:G77"/>
    <mergeCell ref="H74:I77"/>
    <mergeCell ref="J74:N74"/>
    <mergeCell ref="O74:O77"/>
    <mergeCell ref="J75:N75"/>
    <mergeCell ref="J76:N76"/>
    <mergeCell ref="J77:N77"/>
    <mergeCell ref="G69:G70"/>
    <mergeCell ref="H66:I70"/>
    <mergeCell ref="J23:N23"/>
    <mergeCell ref="H42:I42"/>
    <mergeCell ref="J42:N42"/>
    <mergeCell ref="G34:O34"/>
    <mergeCell ref="G35:O35"/>
    <mergeCell ref="G36:O36"/>
    <mergeCell ref="G37:O37"/>
    <mergeCell ref="G40:O40"/>
    <mergeCell ref="G33:O33"/>
    <mergeCell ref="J24:N24"/>
    <mergeCell ref="J27:N27"/>
    <mergeCell ref="J25:N25"/>
    <mergeCell ref="J43:N43"/>
    <mergeCell ref="H63:I63"/>
    <mergeCell ref="J63:N63"/>
    <mergeCell ref="H64:I65"/>
    <mergeCell ref="J64:N64"/>
    <mergeCell ref="J65:N65"/>
    <mergeCell ref="J47:N47"/>
    <mergeCell ref="M6:N6"/>
    <mergeCell ref="G7:O7"/>
    <mergeCell ref="H14:I14"/>
    <mergeCell ref="J14:N14"/>
    <mergeCell ref="H15:I15"/>
    <mergeCell ref="J15:N15"/>
    <mergeCell ref="J16:N16"/>
    <mergeCell ref="J20:N20"/>
    <mergeCell ref="J21:N21"/>
    <mergeCell ref="J17:N17"/>
    <mergeCell ref="J18:N18"/>
    <mergeCell ref="J19:N19"/>
    <mergeCell ref="H16:I20"/>
    <mergeCell ref="O16:O18"/>
    <mergeCell ref="O19:O20"/>
    <mergeCell ref="H21:I23"/>
    <mergeCell ref="G16:G18"/>
    <mergeCell ref="G19:G20"/>
    <mergeCell ref="J22:N22"/>
    <mergeCell ref="J26:N26"/>
    <mergeCell ref="M55:N55"/>
    <mergeCell ref="G56:O56"/>
    <mergeCell ref="H50:I50"/>
    <mergeCell ref="G51:O51"/>
    <mergeCell ref="H45:I45"/>
    <mergeCell ref="J45:N45"/>
    <mergeCell ref="H46:I46"/>
    <mergeCell ref="J46:N46"/>
    <mergeCell ref="H47:I47"/>
    <mergeCell ref="H28:I28"/>
    <mergeCell ref="M31:N31"/>
    <mergeCell ref="G32:O32"/>
    <mergeCell ref="H27:I27"/>
    <mergeCell ref="H44:I44"/>
    <mergeCell ref="J44:N44"/>
    <mergeCell ref="G48:G49"/>
    <mergeCell ref="H48:I49"/>
    <mergeCell ref="O48:O49"/>
    <mergeCell ref="J49:N49"/>
    <mergeCell ref="H43:I43"/>
    <mergeCell ref="H24:I26"/>
    <mergeCell ref="O100:O101"/>
    <mergeCell ref="O102:O103"/>
    <mergeCell ref="H108:I109"/>
    <mergeCell ref="J104:N104"/>
    <mergeCell ref="J105:N105"/>
    <mergeCell ref="J106:N106"/>
    <mergeCell ref="J107:N107"/>
    <mergeCell ref="J109:N109"/>
    <mergeCell ref="O66:O68"/>
    <mergeCell ref="J67:N67"/>
    <mergeCell ref="J68:N68"/>
    <mergeCell ref="J69:N69"/>
    <mergeCell ref="H83:I83"/>
    <mergeCell ref="H78:I78"/>
    <mergeCell ref="J78:N78"/>
    <mergeCell ref="O98:O99"/>
    <mergeCell ref="G104:G105"/>
    <mergeCell ref="G106:G107"/>
    <mergeCell ref="J97:N97"/>
    <mergeCell ref="J98:N98"/>
    <mergeCell ref="G96:G97"/>
    <mergeCell ref="G98:G99"/>
    <mergeCell ref="G100:G101"/>
    <mergeCell ref="G102:G103"/>
    <mergeCell ref="H104:I107"/>
  </mergeCells>
  <phoneticPr fontId="21"/>
  <conditionalFormatting sqref="G15:G16 G19 G21:G27">
    <cfRule type="expression" dxfId="79" priority="1" stopIfTrue="1">
      <formula>$O$6&gt;0.001</formula>
    </cfRule>
  </conditionalFormatting>
  <conditionalFormatting sqref="G39">
    <cfRule type="expression" dxfId="78" priority="2" stopIfTrue="1">
      <formula>AND(OR(G39&lt;1,G39&gt;5),G39&lt;&gt;0)</formula>
    </cfRule>
    <cfRule type="expression" dxfId="77" priority="3" stopIfTrue="1">
      <formula>AND(O31&gt;0,I39="ON")</formula>
    </cfRule>
  </conditionalFormatting>
  <conditionalFormatting sqref="G43:G48">
    <cfRule type="expression" dxfId="76" priority="8" stopIfTrue="1">
      <formula>AND($O$31&gt;0.001,$I$39=0)</formula>
    </cfRule>
  </conditionalFormatting>
  <conditionalFormatting sqref="G64:G69 G71:G79 G81:G82">
    <cfRule type="expression" dxfId="75" priority="7" stopIfTrue="1">
      <formula>$O$55&gt;0.001</formula>
    </cfRule>
  </conditionalFormatting>
  <conditionalFormatting sqref="G95:G109">
    <cfRule type="expression" dxfId="74" priority="10" stopIfTrue="1">
      <formula>$O$86&gt;0.001</formula>
    </cfRule>
  </conditionalFormatting>
  <conditionalFormatting sqref="I39">
    <cfRule type="expression" dxfId="73" priority="9" stopIfTrue="1">
      <formula>$O$31&gt;0</formula>
    </cfRule>
  </conditionalFormatting>
  <conditionalFormatting sqref="J49:N49">
    <cfRule type="expression" dxfId="72" priority="6" stopIfTrue="1">
      <formula>$G$48&gt;0</formula>
    </cfRule>
  </conditionalFormatting>
  <conditionalFormatting sqref="J82:N82">
    <cfRule type="expression" dxfId="71" priority="5" stopIfTrue="1">
      <formula>$G$81=1</formula>
    </cfRule>
  </conditionalFormatting>
  <dataValidations xWindow="204" yWindow="530" count="7">
    <dataValidation type="list" allowBlank="1" showInputMessage="1" showErrorMessage="1" sqref="G108:G109 G19" xr:uid="{00000000-0002-0000-0800-000000000000}">
      <formula1>"0,1,2"</formula1>
    </dataValidation>
    <dataValidation type="list" allowBlank="1" showInputMessage="1" showErrorMessage="1" sqref="G106:G107 G96:G103 G16:G18" xr:uid="{00000000-0002-0000-0800-000001000000}">
      <formula1>"0,1,2,3"</formula1>
    </dataValidation>
    <dataValidation type="list" allowBlank="1" showInputMessage="1" showErrorMessage="1" sqref="G81 G74 G71 G69 G44:G49 G64:G66 G78:G79 G21:G27 G15" xr:uid="{00000000-0002-0000-0800-000002000000}">
      <formula1>"0,1"</formula1>
    </dataValidation>
    <dataValidation type="list" allowBlank="1" showInputMessage="1" showErrorMessage="1" sqref="G95 G43" xr:uid="{00000000-0002-0000-0800-000003000000}">
      <formula1>"0,2"</formula1>
    </dataValidation>
    <dataValidation type="list" allowBlank="1" showInputMessage="1" showErrorMessage="1" sqref="G39" xr:uid="{00000000-0002-0000-0800-000004000000}">
      <formula1>"1,2,3,4,5"</formula1>
    </dataValidation>
    <dataValidation type="list" allowBlank="1" showInputMessage="1" showErrorMessage="1" sqref="I39" xr:uid="{00000000-0002-0000-0800-000005000000}">
      <formula1>$T$3:$T$4</formula1>
    </dataValidation>
    <dataValidation type="list" allowBlank="1" showInputMessage="1" showErrorMessage="1" sqref="G104:G105" xr:uid="{00000000-0002-0000-0800-000006000000}">
      <formula1>"0,2,3"</formula1>
    </dataValidation>
  </dataValidations>
  <printOptions horizontalCentered="1"/>
  <pageMargins left="0.59055118110236227" right="0.59055118110236227" top="0.78740157480314965" bottom="0.59055118110236227" header="0.51181102362204722" footer="0.51181102362204722"/>
  <pageSetup paperSize="9" scale="68" fitToHeight="4" orientation="portrait" verticalDpi="4294967293" r:id="rId1"/>
  <headerFooter alignWithMargins="0">
    <oddHeader>&amp;L&amp;F&amp;R&amp;A</oddHeader>
    <oddFooter>&amp;C&amp;P/&amp;N</oddFooter>
  </headerFooter>
  <rowBreaks count="3" manualBreakCount="3">
    <brk id="29" max="16383" man="1"/>
    <brk id="52" max="16383" man="1"/>
    <brk id="84" max="16383" man="1"/>
  </row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pageSetUpPr autoPageBreaks="0"/>
  </sheetPr>
  <dimension ref="A1:IV304"/>
  <sheetViews>
    <sheetView showGridLines="0" zoomScaleNormal="100" zoomScaleSheetLayoutView="100" zoomScalePageLayoutView="75" workbookViewId="0">
      <selection activeCell="L93" sqref="L93"/>
    </sheetView>
  </sheetViews>
  <sheetFormatPr defaultColWidth="0" defaultRowHeight="13.5" zeroHeight="1"/>
  <cols>
    <col min="1" max="1" width="2.125" customWidth="1"/>
    <col min="2" max="2" width="11" hidden="1" customWidth="1"/>
    <col min="3" max="3" width="6" hidden="1" customWidth="1"/>
    <col min="4" max="4" width="6.25" style="2288" customWidth="1"/>
    <col min="5" max="5" width="1.75" style="1989" customWidth="1"/>
    <col min="6" max="6" width="11.625" style="1989" customWidth="1"/>
    <col min="7" max="14" width="12.625" style="1989" customWidth="1"/>
    <col min="15" max="15" width="12.75" style="1989" customWidth="1"/>
    <col min="16" max="16" width="1.625" customWidth="1"/>
    <col min="17" max="17" width="14.125" hidden="1" customWidth="1"/>
    <col min="18" max="18" width="16.25" hidden="1" customWidth="1"/>
    <col min="19" max="19" width="3.375" hidden="1" customWidth="1"/>
    <col min="20" max="20" width="10.25" hidden="1" customWidth="1"/>
    <col min="21" max="21" width="13" hidden="1" customWidth="1"/>
    <col min="22" max="35" width="11.375" hidden="1" customWidth="1"/>
    <col min="36" max="16384" width="10.75" hidden="1"/>
  </cols>
  <sheetData>
    <row r="1" spans="2:21" ht="15.75">
      <c r="D1" s="949"/>
      <c r="E1" s="950"/>
      <c r="F1" s="950"/>
      <c r="G1" s="950"/>
      <c r="H1" s="950"/>
      <c r="I1" s="950"/>
      <c r="J1" s="950"/>
      <c r="K1" s="950"/>
      <c r="L1" s="950"/>
      <c r="M1" s="951" t="s">
        <v>2697</v>
      </c>
      <c r="N1" s="952" t="str">
        <f>メイン!C11</f>
        <v>○○ビル</v>
      </c>
      <c r="O1" s="952"/>
      <c r="R1" t="s">
        <v>1326</v>
      </c>
    </row>
    <row r="2" spans="2:21" ht="8.25" customHeight="1" thickBot="1">
      <c r="D2" s="953"/>
      <c r="E2" s="537"/>
      <c r="F2" s="537"/>
      <c r="G2" s="537"/>
      <c r="H2" s="537"/>
      <c r="I2" s="537"/>
      <c r="J2" s="537"/>
      <c r="K2" s="537"/>
      <c r="L2" s="537"/>
      <c r="M2" s="537"/>
      <c r="N2" s="537"/>
      <c r="O2" s="537"/>
    </row>
    <row r="3" spans="2:21" ht="18.75" thickBot="1">
      <c r="D3" s="1396" t="s">
        <v>2210</v>
      </c>
      <c r="E3" s="537"/>
      <c r="F3" s="537"/>
      <c r="G3" s="537"/>
      <c r="H3" s="955"/>
      <c r="I3" s="956" t="s">
        <v>2589</v>
      </c>
      <c r="J3" s="950"/>
      <c r="K3" s="950"/>
      <c r="L3" s="537"/>
      <c r="M3" s="537"/>
      <c r="N3" s="537"/>
      <c r="O3" s="964" t="str">
        <f>IF(メイン!E39=0,"",メイン!E39)</f>
        <v/>
      </c>
      <c r="R3" t="s">
        <v>1354</v>
      </c>
      <c r="S3" t="s">
        <v>1956</v>
      </c>
      <c r="U3" t="str">
        <f>メイン!I39</f>
        <v>基本設計段階</v>
      </c>
    </row>
    <row r="4" spans="2:21" ht="6" customHeight="1">
      <c r="D4" s="953"/>
      <c r="E4" s="537"/>
      <c r="F4" s="537"/>
      <c r="G4" s="537"/>
      <c r="H4" s="537"/>
      <c r="I4" s="537"/>
      <c r="J4" s="537"/>
      <c r="K4" s="537"/>
      <c r="L4" s="537"/>
      <c r="M4" s="155"/>
      <c r="N4" s="537"/>
      <c r="O4" s="537"/>
      <c r="T4" t="s">
        <v>1957</v>
      </c>
      <c r="U4" t="str">
        <f>メイン!I40</f>
        <v>実施設計段階</v>
      </c>
    </row>
    <row r="5" spans="2:21" ht="14.25" customHeight="1">
      <c r="D5" s="953"/>
      <c r="E5" s="551"/>
      <c r="F5" s="551"/>
      <c r="G5" s="551"/>
      <c r="H5" s="551"/>
      <c r="I5" s="551"/>
      <c r="J5" s="537"/>
      <c r="K5" s="537"/>
      <c r="L5" s="155"/>
      <c r="M5" s="155"/>
      <c r="N5" s="537"/>
      <c r="O5" s="537"/>
      <c r="U5" t="str">
        <f>メイン!I41</f>
        <v>竣工段階</v>
      </c>
    </row>
    <row r="6" spans="2:21" ht="15.75">
      <c r="D6" s="949">
        <v>1</v>
      </c>
      <c r="E6" s="958" t="s">
        <v>2174</v>
      </c>
      <c r="F6" s="958"/>
      <c r="G6" s="551"/>
      <c r="H6" s="551"/>
      <c r="I6" s="551"/>
      <c r="J6" s="537"/>
      <c r="K6" s="537"/>
      <c r="L6" s="155"/>
      <c r="M6" s="155"/>
      <c r="N6" s="537"/>
      <c r="O6" s="537"/>
    </row>
    <row r="7" spans="2:21" ht="14.25" hidden="1">
      <c r="B7" t="s">
        <v>1320</v>
      </c>
      <c r="D7" s="2284"/>
      <c r="E7" s="1152"/>
      <c r="F7" s="1102"/>
      <c r="G7" s="966"/>
      <c r="H7" s="967"/>
      <c r="I7" s="968" t="s">
        <v>1358</v>
      </c>
      <c r="J7" s="969">
        <f>重み!M110</f>
        <v>0.3</v>
      </c>
      <c r="K7" s="1103"/>
      <c r="L7" s="1103"/>
      <c r="M7" s="1103"/>
      <c r="N7" s="1103"/>
      <c r="O7" s="1105"/>
    </row>
    <row r="8" spans="2:21" ht="15" hidden="1" thickBot="1">
      <c r="B8" s="1228">
        <v>0</v>
      </c>
      <c r="D8" s="2284"/>
      <c r="E8" s="1152"/>
      <c r="F8" s="972">
        <v>3</v>
      </c>
      <c r="G8" s="977" t="s">
        <v>1962</v>
      </c>
      <c r="H8" s="977"/>
      <c r="I8" s="977"/>
      <c r="J8" s="977"/>
      <c r="K8" s="977"/>
      <c r="L8" s="977"/>
      <c r="M8" s="1084"/>
      <c r="N8" s="1339"/>
      <c r="O8" s="978"/>
    </row>
    <row r="9" spans="2:21" ht="14.25" hidden="1">
      <c r="B9" s="1" t="s">
        <v>977</v>
      </c>
      <c r="C9" s="1">
        <v>1</v>
      </c>
      <c r="D9" s="2284"/>
      <c r="E9" s="1152"/>
      <c r="F9" s="1340"/>
      <c r="G9" s="1341" t="s">
        <v>1321</v>
      </c>
      <c r="H9" s="1341"/>
      <c r="I9" s="3003" t="s">
        <v>297</v>
      </c>
      <c r="J9" s="3004"/>
      <c r="K9" s="3003" t="s">
        <v>301</v>
      </c>
      <c r="L9" s="3004"/>
      <c r="M9" s="1342"/>
      <c r="N9" s="1343"/>
      <c r="O9" s="1302"/>
    </row>
    <row r="10" spans="2:21" ht="14.25" hidden="1">
      <c r="B10" s="1">
        <v>2</v>
      </c>
      <c r="C10" s="1">
        <v>3</v>
      </c>
      <c r="D10" s="2284"/>
      <c r="E10" s="1152"/>
      <c r="F10" s="1344" t="str">
        <f>IF(F8=$S$15,$T$10,IF(ROUNDDOWN(F8,0)=$S$10,$U$10,$T$10))</f>
        <v>　レベル　1</v>
      </c>
      <c r="G10" s="988" t="s">
        <v>2168</v>
      </c>
      <c r="H10" s="982"/>
      <c r="I10" s="988" t="s">
        <v>2168</v>
      </c>
      <c r="J10" s="982"/>
      <c r="K10" s="988" t="s">
        <v>2168</v>
      </c>
      <c r="L10" s="982"/>
      <c r="M10" s="2731"/>
      <c r="N10" s="3005"/>
      <c r="O10" s="3006"/>
      <c r="S10">
        <v>1</v>
      </c>
      <c r="T10" t="s">
        <v>2528</v>
      </c>
      <c r="U10" t="s">
        <v>1671</v>
      </c>
    </row>
    <row r="11" spans="2:21" ht="14.25" hidden="1">
      <c r="B11" s="1">
        <v>3</v>
      </c>
      <c r="C11" s="1">
        <v>3</v>
      </c>
      <c r="D11" s="2284"/>
      <c r="E11" s="1152"/>
      <c r="F11" s="1345" t="str">
        <f>IF(F8=$S$15,$T$11,IF(ROUNDDOWN(F8,0)=$S$11,$U$11,$T$11))</f>
        <v>　レベル　2</v>
      </c>
      <c r="G11" s="988" t="s">
        <v>2211</v>
      </c>
      <c r="H11" s="989"/>
      <c r="I11" s="988" t="s">
        <v>2211</v>
      </c>
      <c r="J11" s="989"/>
      <c r="K11" s="988" t="s">
        <v>2211</v>
      </c>
      <c r="L11" s="989"/>
      <c r="M11" s="2727"/>
      <c r="N11" s="3007"/>
      <c r="O11" s="3008"/>
      <c r="S11">
        <v>2</v>
      </c>
      <c r="T11" t="s">
        <v>1327</v>
      </c>
      <c r="U11" t="s">
        <v>1328</v>
      </c>
    </row>
    <row r="12" spans="2:21" ht="14.25" hidden="1">
      <c r="B12" s="1">
        <v>4</v>
      </c>
      <c r="C12" s="1">
        <v>4</v>
      </c>
      <c r="D12" s="2284"/>
      <c r="E12" s="1152"/>
      <c r="F12" s="1345" t="str">
        <f>IF(F8=$S$15,$T$12,IF(ROUNDDOWN(F8,0)=$S$12,$U$12,$T$12))</f>
        <v>■レベル　3</v>
      </c>
      <c r="G12" s="2727" t="s">
        <v>1322</v>
      </c>
      <c r="H12" s="3031"/>
      <c r="I12" s="2727" t="s">
        <v>1323</v>
      </c>
      <c r="J12" s="3031"/>
      <c r="K12" s="2727" t="s">
        <v>323</v>
      </c>
      <c r="L12" s="3031"/>
      <c r="M12" s="2727"/>
      <c r="N12" s="3007"/>
      <c r="O12" s="3008"/>
      <c r="S12">
        <v>3</v>
      </c>
      <c r="T12" t="s">
        <v>1332</v>
      </c>
      <c r="U12" t="s">
        <v>1333</v>
      </c>
    </row>
    <row r="13" spans="2:21" ht="14.25" hidden="1">
      <c r="B13" s="1">
        <v>5</v>
      </c>
      <c r="C13" s="1">
        <v>5</v>
      </c>
      <c r="D13" s="2284"/>
      <c r="E13" s="1152"/>
      <c r="F13" s="1345" t="str">
        <f>IF(F8=$S$15,$T$13,IF(ROUNDDOWN(F8,0)=$S$13,$U$13,$T$13))</f>
        <v>　レベル　4</v>
      </c>
      <c r="G13" s="2727" t="s">
        <v>324</v>
      </c>
      <c r="H13" s="3031"/>
      <c r="I13" s="2727" t="s">
        <v>1029</v>
      </c>
      <c r="J13" s="3031"/>
      <c r="K13" s="2727" t="s">
        <v>1030</v>
      </c>
      <c r="L13" s="3031"/>
      <c r="M13" s="2727"/>
      <c r="N13" s="2728"/>
      <c r="O13" s="2729"/>
      <c r="S13">
        <v>4</v>
      </c>
      <c r="T13" t="s">
        <v>1216</v>
      </c>
      <c r="U13" t="s">
        <v>1217</v>
      </c>
    </row>
    <row r="14" spans="2:21" ht="14.25" hidden="1">
      <c r="B14" s="1002">
        <v>0</v>
      </c>
      <c r="C14" s="1002">
        <v>0</v>
      </c>
      <c r="D14" s="2284"/>
      <c r="E14" s="1152"/>
      <c r="F14" s="1346" t="str">
        <f>IF(F8=$S$15,$T$14,IF(ROUNDDOWN(F8,0)=$S$14,$U$14,$T$14))</f>
        <v>　レベル　5</v>
      </c>
      <c r="G14" s="2727" t="s">
        <v>1031</v>
      </c>
      <c r="H14" s="3031"/>
      <c r="I14" s="2727" t="s">
        <v>1031</v>
      </c>
      <c r="J14" s="3031"/>
      <c r="K14" s="2727" t="s">
        <v>1032</v>
      </c>
      <c r="L14" s="3031"/>
      <c r="M14" s="2724"/>
      <c r="N14" s="2989"/>
      <c r="O14" s="2990"/>
      <c r="S14">
        <v>5</v>
      </c>
      <c r="T14" t="s">
        <v>1223</v>
      </c>
      <c r="U14" t="s">
        <v>1224</v>
      </c>
    </row>
    <row r="15" spans="2:21" ht="21.75" customHeight="1">
      <c r="D15" s="2284"/>
      <c r="E15" s="1152"/>
      <c r="F15" s="2107" t="s">
        <v>2596</v>
      </c>
      <c r="G15" s="2069"/>
      <c r="H15" s="967"/>
      <c r="I15" s="968" t="s">
        <v>1358</v>
      </c>
      <c r="J15" s="969">
        <f>重み!M118</f>
        <v>0.2</v>
      </c>
      <c r="K15" s="1103"/>
      <c r="L15" s="1103"/>
      <c r="M15" s="1103"/>
      <c r="N15" s="1103"/>
      <c r="O15" s="1105"/>
      <c r="S15">
        <v>0</v>
      </c>
      <c r="T15" t="s">
        <v>1672</v>
      </c>
      <c r="U15" t="s">
        <v>1672</v>
      </c>
    </row>
    <row r="16" spans="2:21" ht="15">
      <c r="D16" s="2287"/>
      <c r="E16" s="950"/>
      <c r="F16" s="3032">
        <f>IF(G32="ON",F32,ROUNDDOWN(計画書!H18,1))</f>
        <v>5</v>
      </c>
      <c r="G16" s="3038">
        <f>ROUNDDOWN(計画書!J15,1)</f>
        <v>1</v>
      </c>
      <c r="H16" s="977" t="s">
        <v>2212</v>
      </c>
      <c r="I16" s="977"/>
      <c r="J16" s="977"/>
      <c r="K16" s="977"/>
      <c r="L16" s="977"/>
      <c r="M16" s="977"/>
      <c r="N16" s="1339"/>
      <c r="O16" s="1182">
        <f>メイン!J66-メイン!J60-K25</f>
        <v>12000</v>
      </c>
    </row>
    <row r="17" spans="4:256" ht="15" customHeight="1">
      <c r="D17" s="2287"/>
      <c r="E17" s="950"/>
      <c r="F17" s="3033"/>
      <c r="G17" s="3039"/>
      <c r="H17" s="1352" t="s">
        <v>1078</v>
      </c>
      <c r="I17" s="1352"/>
      <c r="J17" s="1352"/>
      <c r="K17" s="1352"/>
      <c r="L17" s="2625" t="s">
        <v>1079</v>
      </c>
      <c r="M17" s="2626"/>
      <c r="N17" s="2626"/>
      <c r="O17" s="978"/>
    </row>
    <row r="18" spans="4:256" ht="15.75" customHeight="1">
      <c r="D18" s="2287"/>
      <c r="E18" s="950"/>
      <c r="F18" s="3034"/>
      <c r="G18" s="3040"/>
      <c r="H18" s="1352" t="s">
        <v>2492</v>
      </c>
      <c r="I18" s="1352"/>
      <c r="J18" s="1084" t="s">
        <v>73</v>
      </c>
      <c r="K18" s="978"/>
      <c r="L18" s="2627" t="s">
        <v>2492</v>
      </c>
      <c r="M18" s="2627"/>
      <c r="N18" s="2625" t="s">
        <v>73</v>
      </c>
      <c r="O18" s="978"/>
    </row>
    <row r="19" spans="4:256" ht="30.75" customHeight="1">
      <c r="D19" s="2287"/>
      <c r="E19" s="950"/>
      <c r="F19" s="1344" t="str">
        <f>IF(F16=$S$15,$T$10,IF(ROUNDDOWN(F16,0)=$S$10,$U$10,$T$10))</f>
        <v>　レベル　1</v>
      </c>
      <c r="G19" s="1344" t="str">
        <f>IF(G16=$S$15,$T$10,IF(ROUNDDOWN(G16,0)=$S$10,$U$10,$T$10))</f>
        <v>■レベル　1</v>
      </c>
      <c r="H19" s="2110" t="s">
        <v>2496</v>
      </c>
      <c r="I19" s="2113"/>
      <c r="J19" s="2110" t="s">
        <v>2501</v>
      </c>
      <c r="K19" s="2113"/>
      <c r="L19" s="2628" t="s">
        <v>2909</v>
      </c>
      <c r="M19" s="2629"/>
      <c r="N19" s="2628" t="s">
        <v>2916</v>
      </c>
      <c r="O19" s="2108"/>
    </row>
    <row r="20" spans="4:256" ht="30.75" customHeight="1">
      <c r="D20" s="2287"/>
      <c r="E20" s="950"/>
      <c r="F20" s="1345" t="str">
        <f>IF(F16=$S$15,$T$11,IF(ROUNDDOWN(F16,0)=$S$11,$U$11,$T$11))</f>
        <v>　レベル　2</v>
      </c>
      <c r="G20" s="1345" t="str">
        <f>IF(G16=$S$15,$T$11,IF(ROUNDDOWN(G16,0)=$S$11,$U$11,$T$11))</f>
        <v>　レベル　2</v>
      </c>
      <c r="H20" s="2111" t="s">
        <v>2497</v>
      </c>
      <c r="I20" s="2114" t="s">
        <v>1033</v>
      </c>
      <c r="J20" s="2111" t="s">
        <v>2497</v>
      </c>
      <c r="K20" s="2114" t="s">
        <v>1033</v>
      </c>
      <c r="L20" s="2630" t="s">
        <v>2910</v>
      </c>
      <c r="M20" s="2631"/>
      <c r="N20" s="2630" t="s">
        <v>2915</v>
      </c>
      <c r="O20" s="2068"/>
    </row>
    <row r="21" spans="4:256" ht="30.75" customHeight="1">
      <c r="D21" s="2287"/>
      <c r="E21" s="950"/>
      <c r="F21" s="1345" t="str">
        <f>IF(F16=$S$15,$T$12,IF(ROUNDDOWN(F16,0)=$S$12,$U$12,$T$12))</f>
        <v>　レベル　3</v>
      </c>
      <c r="G21" s="1345" t="str">
        <f>IF(G16=$S$15,$T$12,IF(ROUNDDOWN(G16,0)=$S$12,$U$12,$T$12))</f>
        <v>　レベル　3</v>
      </c>
      <c r="H21" s="2111" t="s">
        <v>2498</v>
      </c>
      <c r="I21" s="2114" t="s">
        <v>1034</v>
      </c>
      <c r="J21" s="2111" t="s">
        <v>2498</v>
      </c>
      <c r="K21" s="2114" t="s">
        <v>1034</v>
      </c>
      <c r="L21" s="2630" t="s">
        <v>2911</v>
      </c>
      <c r="M21" s="2631"/>
      <c r="N21" s="2630" t="s">
        <v>2914</v>
      </c>
      <c r="O21" s="2068"/>
    </row>
    <row r="22" spans="4:256" ht="30.75" customHeight="1">
      <c r="D22" s="953"/>
      <c r="E22" s="960"/>
      <c r="F22" s="1345" t="str">
        <f>IF(F16=$S$15,$T$13,IF(ROUNDDOWN(F16,0)=$S$13,$U$13,$T$13))</f>
        <v>　レベル　4</v>
      </c>
      <c r="G22" s="1345" t="str">
        <f>IF(G16=$S$15,$T$13,IF(ROUNDDOWN(G16,0)=$S$13,$U$13,$T$13))</f>
        <v>　レベル　4</v>
      </c>
      <c r="H22" s="2111" t="s">
        <v>2499</v>
      </c>
      <c r="I22" s="2115" t="s">
        <v>1035</v>
      </c>
      <c r="J22" s="2111" t="s">
        <v>2502</v>
      </c>
      <c r="K22" s="2115" t="s">
        <v>1035</v>
      </c>
      <c r="L22" s="2630" t="s">
        <v>2912</v>
      </c>
      <c r="M22" s="2631"/>
      <c r="N22" s="2630" t="s">
        <v>2913</v>
      </c>
      <c r="O22" s="2068"/>
    </row>
    <row r="23" spans="4:256" ht="30.75" customHeight="1">
      <c r="D23" s="953"/>
      <c r="E23" s="960"/>
      <c r="F23" s="1346" t="str">
        <f>IF(F16=$S$15,$T$14,IF(ROUNDDOWN(F16,0)=$S$14,$U$14,$T$14))</f>
        <v>■レベル　5</v>
      </c>
      <c r="G23" s="1346" t="str">
        <f>IF(G16=$S$15,$T$14,IF(ROUNDDOWN(G16,0)=$S$14,$U$14,$T$14))</f>
        <v>　レベル　5</v>
      </c>
      <c r="H23" s="2112" t="s">
        <v>2500</v>
      </c>
      <c r="I23" s="2116"/>
      <c r="J23" s="2112" t="s">
        <v>2503</v>
      </c>
      <c r="K23" s="2116"/>
      <c r="L23" s="2632" t="s">
        <v>2495</v>
      </c>
      <c r="M23" s="2633"/>
      <c r="N23" s="2632" t="s">
        <v>2495</v>
      </c>
      <c r="O23" s="2109"/>
    </row>
    <row r="24" spans="4:256" ht="15.75">
      <c r="D24" s="953"/>
      <c r="E24" s="2012"/>
      <c r="F24" s="2012"/>
      <c r="G24" s="2012"/>
      <c r="H24" s="2012"/>
      <c r="I24" s="2012"/>
      <c r="J24" s="2012"/>
      <c r="K24" s="2012"/>
      <c r="L24" s="2012"/>
      <c r="M24" s="2012"/>
      <c r="N24" s="2012"/>
      <c r="O24" s="2012"/>
      <c r="P24" s="2012"/>
      <c r="Q24" s="2012"/>
      <c r="R24" s="2012"/>
      <c r="S24" s="2012"/>
      <c r="T24" s="2012"/>
      <c r="U24" s="2012"/>
      <c r="V24" s="2012"/>
      <c r="W24" s="2012"/>
      <c r="X24" s="2012"/>
      <c r="Y24" s="2012"/>
      <c r="Z24" s="2012"/>
      <c r="AA24" s="2012"/>
      <c r="AB24" s="2012"/>
      <c r="AC24" s="2012"/>
      <c r="AD24" s="2012"/>
      <c r="AE24" s="2012"/>
      <c r="AF24" s="2012"/>
      <c r="AG24" s="2012"/>
      <c r="AH24" s="2012"/>
      <c r="AI24" s="2012"/>
      <c r="AJ24" s="2012"/>
      <c r="AK24" s="2012"/>
      <c r="AL24" s="2012"/>
      <c r="AM24" s="2012"/>
      <c r="AN24" s="2012"/>
      <c r="AO24" s="2012"/>
      <c r="AP24" s="2012"/>
      <c r="AQ24" s="2012"/>
      <c r="AR24" s="2012"/>
      <c r="AS24" s="2012"/>
      <c r="AT24" s="2012"/>
      <c r="AU24" s="2012"/>
      <c r="AV24" s="2012"/>
      <c r="AW24" s="2012"/>
      <c r="AX24" s="2012"/>
      <c r="AY24" s="2012"/>
      <c r="AZ24" s="2012"/>
      <c r="BA24" s="2012"/>
      <c r="BB24" s="2012"/>
      <c r="BC24" s="2012"/>
      <c r="BD24" s="2012"/>
      <c r="BE24" s="2012"/>
      <c r="BF24" s="2012"/>
      <c r="BG24" s="2012"/>
      <c r="BH24" s="2012"/>
      <c r="BI24" s="2012"/>
      <c r="BJ24" s="2012"/>
      <c r="BK24" s="2012"/>
      <c r="BL24" s="2012"/>
      <c r="BM24" s="2012"/>
      <c r="BN24" s="2012"/>
      <c r="BO24" s="2012"/>
      <c r="BP24" s="2012"/>
      <c r="BQ24" s="2012"/>
      <c r="BR24" s="2012"/>
      <c r="BS24" s="2012"/>
      <c r="BT24" s="2012"/>
      <c r="BU24" s="2012"/>
      <c r="BV24" s="2012"/>
      <c r="BW24" s="2012"/>
      <c r="BX24" s="2012"/>
      <c r="BY24" s="2012"/>
      <c r="BZ24" s="2012"/>
      <c r="CA24" s="2012"/>
      <c r="CB24" s="2012"/>
      <c r="CC24" s="2012"/>
      <c r="CD24" s="2012"/>
      <c r="CE24" s="2012"/>
      <c r="CF24" s="2012"/>
      <c r="CG24" s="2012"/>
      <c r="CH24" s="2012"/>
      <c r="CI24" s="2012"/>
      <c r="CJ24" s="2012"/>
      <c r="CK24" s="2012"/>
      <c r="CL24" s="2012"/>
      <c r="CM24" s="2012"/>
      <c r="CN24" s="2012"/>
      <c r="CO24" s="2012"/>
      <c r="CP24" s="2012"/>
      <c r="CQ24" s="2012"/>
      <c r="CR24" s="2012"/>
      <c r="CS24" s="2012"/>
      <c r="CT24" s="2012"/>
      <c r="CU24" s="2012"/>
      <c r="CV24" s="2012"/>
      <c r="CW24" s="2012"/>
      <c r="CX24" s="2012"/>
      <c r="CY24" s="2012"/>
      <c r="CZ24" s="2012"/>
      <c r="DA24" s="2012"/>
      <c r="DB24" s="2012"/>
      <c r="DC24" s="2012"/>
      <c r="DD24" s="2012"/>
      <c r="DE24" s="2012"/>
      <c r="DF24" s="2012"/>
      <c r="DG24" s="2012"/>
      <c r="DH24" s="2012"/>
      <c r="DI24" s="2012"/>
      <c r="DJ24" s="2012"/>
      <c r="DK24" s="2012"/>
      <c r="DL24" s="2012"/>
      <c r="DM24" s="2012"/>
      <c r="DN24" s="2012"/>
      <c r="DO24" s="2012"/>
      <c r="DP24" s="2012"/>
      <c r="DQ24" s="2012"/>
      <c r="DR24" s="2012"/>
      <c r="DS24" s="2012"/>
      <c r="DT24" s="2012"/>
      <c r="DU24" s="2012"/>
      <c r="DV24" s="2012"/>
      <c r="DW24" s="2012"/>
      <c r="DX24" s="2012"/>
      <c r="DY24" s="2012"/>
      <c r="DZ24" s="2012"/>
      <c r="EA24" s="2012"/>
      <c r="EB24" s="2012"/>
      <c r="EC24" s="2012"/>
      <c r="ED24" s="2012"/>
      <c r="EE24" s="2012"/>
      <c r="EF24" s="2012"/>
      <c r="EG24" s="2012"/>
      <c r="EH24" s="2012"/>
      <c r="EI24" s="2012"/>
      <c r="EJ24" s="2012"/>
      <c r="EK24" s="2012"/>
      <c r="EL24" s="2012"/>
      <c r="EM24" s="2012"/>
      <c r="EN24" s="2012"/>
      <c r="EO24" s="2012"/>
      <c r="EP24" s="2012"/>
      <c r="EQ24" s="2012"/>
      <c r="ER24" s="2012"/>
      <c r="ES24" s="2012"/>
      <c r="ET24" s="2012"/>
      <c r="EU24" s="2012"/>
      <c r="EV24" s="2012"/>
      <c r="EW24" s="2012"/>
      <c r="EX24" s="2012"/>
      <c r="EY24" s="2012"/>
      <c r="EZ24" s="2012"/>
      <c r="FA24" s="2012"/>
      <c r="FB24" s="2012"/>
      <c r="FC24" s="2012"/>
      <c r="FD24" s="2012"/>
      <c r="FE24" s="2012"/>
      <c r="FF24" s="2012"/>
      <c r="FG24" s="2012"/>
      <c r="FH24" s="2012"/>
      <c r="FI24" s="2012"/>
      <c r="FJ24" s="2012"/>
      <c r="FK24" s="2012"/>
      <c r="FL24" s="2012"/>
      <c r="FM24" s="2012"/>
      <c r="FN24" s="2012"/>
      <c r="FO24" s="2012"/>
      <c r="FP24" s="2012"/>
      <c r="FQ24" s="2012"/>
      <c r="FR24" s="2012"/>
      <c r="FS24" s="2012"/>
      <c r="FT24" s="2012"/>
      <c r="FU24" s="2012"/>
      <c r="FV24" s="2012"/>
      <c r="FW24" s="2012"/>
      <c r="FX24" s="2012"/>
      <c r="FY24" s="2012"/>
      <c r="FZ24" s="2012"/>
      <c r="GA24" s="2012"/>
      <c r="GB24" s="2012"/>
      <c r="GC24" s="2012"/>
      <c r="GD24" s="2012"/>
      <c r="GE24" s="2012"/>
      <c r="GF24" s="2012"/>
      <c r="GG24" s="2012"/>
      <c r="GH24" s="2012"/>
      <c r="GI24" s="2012"/>
      <c r="GJ24" s="2012"/>
      <c r="GK24" s="2012"/>
      <c r="GL24" s="2012"/>
      <c r="GM24" s="2012"/>
      <c r="GN24" s="2012"/>
      <c r="GO24" s="2012"/>
      <c r="GP24" s="2012"/>
      <c r="GQ24" s="2012"/>
      <c r="GR24" s="2012"/>
      <c r="GS24" s="2012"/>
      <c r="GT24" s="2012"/>
      <c r="GU24" s="2012"/>
      <c r="GV24" s="2012"/>
      <c r="GW24" s="2012"/>
      <c r="GX24" s="2012"/>
      <c r="GY24" s="2012"/>
      <c r="GZ24" s="2012"/>
      <c r="HA24" s="2012"/>
      <c r="HB24" s="2012"/>
      <c r="HC24" s="2012"/>
      <c r="HD24" s="2012"/>
      <c r="HE24" s="2012"/>
      <c r="HF24" s="2012"/>
      <c r="HG24" s="2012"/>
      <c r="HH24" s="2012"/>
      <c r="HI24" s="2012"/>
      <c r="HJ24" s="2012"/>
      <c r="HK24" s="2012"/>
      <c r="HL24" s="2012"/>
      <c r="HM24" s="2012"/>
      <c r="HN24" s="2012"/>
      <c r="HO24" s="2012"/>
      <c r="HP24" s="2012"/>
      <c r="HQ24" s="2012"/>
      <c r="HR24" s="2012"/>
      <c r="HS24" s="2012"/>
      <c r="HT24" s="2012"/>
      <c r="HU24" s="2012"/>
      <c r="HV24" s="2012"/>
      <c r="HW24" s="2012"/>
      <c r="HX24" s="2012"/>
      <c r="HY24" s="2012"/>
      <c r="HZ24" s="2012"/>
      <c r="IA24" s="2012"/>
      <c r="IB24" s="2012"/>
      <c r="IC24" s="2012"/>
      <c r="ID24" s="2012"/>
      <c r="IE24" s="2012"/>
      <c r="IF24" s="2012"/>
      <c r="IG24" s="2012"/>
      <c r="IH24" s="2012"/>
      <c r="II24" s="2012"/>
      <c r="IJ24" s="2012"/>
      <c r="IK24" s="2012"/>
      <c r="IL24" s="2012"/>
      <c r="IM24" s="2012"/>
      <c r="IN24" s="2012"/>
      <c r="IO24" s="2012"/>
      <c r="IP24" s="2012"/>
      <c r="IQ24" s="2012"/>
      <c r="IR24" s="2012"/>
      <c r="IS24" s="2012"/>
      <c r="IT24" s="2012"/>
      <c r="IU24" s="2012"/>
      <c r="IV24" s="2012"/>
    </row>
    <row r="25" spans="4:256" ht="15.75">
      <c r="D25" s="2287"/>
      <c r="E25" s="950"/>
      <c r="F25" s="2012"/>
      <c r="G25" s="2605">
        <f>ROUNDDOWN(計画書!J16,1)</f>
        <v>5</v>
      </c>
      <c r="H25" s="1084" t="s">
        <v>2153</v>
      </c>
      <c r="I25" s="1084"/>
      <c r="J25" s="1339"/>
      <c r="K25" s="2084">
        <f>メイン!C64</f>
        <v>2500</v>
      </c>
    </row>
    <row r="26" spans="4:256" ht="30.75" customHeight="1">
      <c r="D26" s="2287"/>
      <c r="E26" s="950"/>
      <c r="F26" s="2012"/>
      <c r="G26" s="1344" t="str">
        <f>IF(G25=$S$15,$T$10,IF(ROUNDDOWN(G25,0)=$S$10,$U$10,$T$10))</f>
        <v>　レベル　1</v>
      </c>
      <c r="H26" s="2758" t="s">
        <v>2917</v>
      </c>
      <c r="I26" s="3035"/>
      <c r="J26" s="3035"/>
      <c r="K26" s="3036"/>
    </row>
    <row r="27" spans="4:256" ht="30.75" customHeight="1">
      <c r="D27" s="2287"/>
      <c r="E27" s="950"/>
      <c r="F27" s="2012"/>
      <c r="G27" s="1345" t="str">
        <f>IF(G25=$S$15,$T$11,IF(ROUNDDOWN(G25,0)=$S$11,$U$11,$T$11))</f>
        <v>　レベル　2</v>
      </c>
      <c r="H27" s="2758" t="s">
        <v>2918</v>
      </c>
      <c r="I27" s="3035"/>
      <c r="J27" s="3035"/>
      <c r="K27" s="3037"/>
    </row>
    <row r="28" spans="4:256" ht="30.75" customHeight="1">
      <c r="D28" s="2287"/>
      <c r="E28" s="950"/>
      <c r="F28" s="2012"/>
      <c r="G28" s="1345" t="str">
        <f>IF(G25=$S$15,$T$12,IF(ROUNDDOWN(G25,0)=$S$12,$U$12,$T$12))</f>
        <v>　レベル　3</v>
      </c>
      <c r="H28" s="2758" t="s">
        <v>2919</v>
      </c>
      <c r="I28" s="3035"/>
      <c r="J28" s="3035"/>
      <c r="K28" s="3037"/>
    </row>
    <row r="29" spans="4:256" ht="30.75" customHeight="1">
      <c r="D29" s="953"/>
      <c r="E29" s="960"/>
      <c r="F29" s="2012"/>
      <c r="G29" s="1345" t="str">
        <f>IF(G25=$S$15,$T$13,IF(ROUNDDOWN(G25,0)=$S$13,$U$13,$T$13))</f>
        <v>　レベル　4</v>
      </c>
      <c r="H29" s="3022" t="s">
        <v>2920</v>
      </c>
      <c r="I29" s="3023"/>
      <c r="J29" s="3023"/>
      <c r="K29" s="3024"/>
    </row>
    <row r="30" spans="4:256" ht="30.75" customHeight="1">
      <c r="D30" s="953"/>
      <c r="E30" s="960"/>
      <c r="F30" s="2012"/>
      <c r="G30" s="1346" t="str">
        <f>IF(G25=$S$15,$T$14,IF(ROUNDDOWN(G25,0)=$S$14,$U$14,$T$14))</f>
        <v>■レベル　5</v>
      </c>
      <c r="H30" s="3022" t="s">
        <v>3477</v>
      </c>
      <c r="I30" s="3023"/>
      <c r="J30" s="3023"/>
      <c r="K30" s="3024"/>
    </row>
    <row r="31" spans="4:256" ht="17.25" customHeight="1" thickBot="1">
      <c r="D31" s="953"/>
      <c r="E31" s="953"/>
      <c r="F31" s="1349" t="s">
        <v>1036</v>
      </c>
      <c r="G31" s="953"/>
      <c r="H31" s="953"/>
      <c r="I31" s="953"/>
      <c r="J31" s="953"/>
      <c r="K31" s="953"/>
      <c r="L31" s="953"/>
      <c r="M31" s="953"/>
      <c r="N31" s="953"/>
      <c r="O31" s="953"/>
    </row>
    <row r="32" spans="4:256" ht="16.5" thickBot="1">
      <c r="D32" s="953"/>
      <c r="E32" s="960"/>
      <c r="F32" s="972">
        <v>3</v>
      </c>
      <c r="G32" s="2331"/>
      <c r="H32" s="953"/>
      <c r="I32" s="953"/>
      <c r="J32" s="953"/>
      <c r="K32" s="953"/>
      <c r="L32" s="953"/>
      <c r="M32" s="953"/>
      <c r="N32" s="953"/>
      <c r="O32" s="953"/>
    </row>
    <row r="33" spans="2:17"/>
    <row r="34" spans="2:17" ht="15.75">
      <c r="D34" s="953">
        <v>2</v>
      </c>
      <c r="E34" s="960" t="s">
        <v>2504</v>
      </c>
      <c r="F34" s="960"/>
      <c r="G34" s="960"/>
      <c r="H34" s="960"/>
      <c r="I34" s="1354"/>
      <c r="J34" s="1354"/>
      <c r="K34" s="1354"/>
      <c r="L34" s="1354"/>
      <c r="M34" s="1355"/>
    </row>
    <row r="35" spans="2:17" ht="15.75" hidden="1">
      <c r="D35" s="2289">
        <v>2.1</v>
      </c>
      <c r="E35" s="2243" t="s">
        <v>1004</v>
      </c>
      <c r="F35" s="2243"/>
      <c r="G35" s="960"/>
      <c r="H35" s="960"/>
      <c r="I35" s="1354"/>
      <c r="J35" s="1041" t="str">
        <f>IF(OR(F37=0,AND(J36=0,O37=0)),$R$3,"")</f>
        <v>&lt;評価しない&gt;</v>
      </c>
      <c r="K35" s="1354"/>
      <c r="L35" s="1354"/>
      <c r="M35" s="1355"/>
      <c r="N35" s="136"/>
      <c r="O35" s="136"/>
    </row>
    <row r="36" spans="2:17" ht="15.75" hidden="1">
      <c r="D36" s="953"/>
      <c r="E36" s="960"/>
      <c r="F36" s="1102"/>
      <c r="G36" s="966"/>
      <c r="H36" s="967"/>
      <c r="I36" s="968" t="s">
        <v>1358</v>
      </c>
      <c r="J36" s="969">
        <f>重み!M120</f>
        <v>0</v>
      </c>
      <c r="K36" s="1103"/>
      <c r="L36" s="1103"/>
      <c r="M36" s="1103"/>
      <c r="N36" s="1103"/>
      <c r="O36" s="978"/>
    </row>
    <row r="37" spans="2:17" ht="16.5" hidden="1" thickBot="1">
      <c r="D37" s="953"/>
      <c r="E37" s="960"/>
      <c r="F37" s="1301">
        <f>IF(I44&lt;1,3,IF(I44&lt;15,4,5))</f>
        <v>3</v>
      </c>
      <c r="G37" s="2103" t="s">
        <v>2579</v>
      </c>
      <c r="H37" s="1373"/>
      <c r="I37" s="1373"/>
      <c r="J37" s="1373"/>
      <c r="K37" s="1373"/>
      <c r="L37" s="1373"/>
      <c r="M37" s="1373"/>
      <c r="N37" s="1373"/>
      <c r="O37" s="2222">
        <f>計画書!H117</f>
        <v>0</v>
      </c>
    </row>
    <row r="38" spans="2:17" ht="15.75" hidden="1">
      <c r="D38" s="953"/>
      <c r="E38" s="953"/>
      <c r="F38" s="979" t="str">
        <f>IF(F37=$S$15,$T$10,IF(ROUNDDOWN(F37,0)=$S$10,$U$10,$T$10))</f>
        <v>　レベル　1</v>
      </c>
      <c r="G38" s="1187" t="s">
        <v>1811</v>
      </c>
      <c r="H38" s="2082"/>
      <c r="I38" s="2082"/>
      <c r="J38" s="2082"/>
      <c r="K38" s="2082"/>
      <c r="L38" s="2082"/>
      <c r="M38" s="2082"/>
      <c r="N38" s="2769" t="s">
        <v>2508</v>
      </c>
      <c r="O38" s="3017"/>
    </row>
    <row r="39" spans="2:17" ht="15.75" hidden="1">
      <c r="D39" s="953"/>
      <c r="E39" s="953"/>
      <c r="F39" s="1126" t="str">
        <f>IF(F37=$S$15,$T$11,IF(ROUNDDOWN(F37,0)=$S$11,$U$11,$T$11))</f>
        <v>　レベル　2</v>
      </c>
      <c r="G39" s="1190" t="s">
        <v>1811</v>
      </c>
      <c r="H39" s="1368"/>
      <c r="I39" s="1368"/>
      <c r="J39" s="1368"/>
      <c r="K39" s="1368"/>
      <c r="L39" s="1368"/>
      <c r="M39" s="1368"/>
      <c r="N39" s="3018"/>
      <c r="O39" s="3019"/>
    </row>
    <row r="40" spans="2:17" ht="15.75" hidden="1">
      <c r="D40" s="953"/>
      <c r="E40" s="953"/>
      <c r="F40" s="1126" t="str">
        <f>IF(F37=$S$15,$T$12,IF(ROUNDDOWN(F37,0)=$S$12,$U$12,$T$12))</f>
        <v>■レベル　3</v>
      </c>
      <c r="G40" s="1138" t="s">
        <v>2505</v>
      </c>
      <c r="H40" s="1368"/>
      <c r="I40" s="1368"/>
      <c r="J40" s="1368"/>
      <c r="K40" s="1368"/>
      <c r="L40" s="1368"/>
      <c r="M40" s="1368"/>
      <c r="N40" s="3018"/>
      <c r="O40" s="3019"/>
    </row>
    <row r="41" spans="2:17" ht="15.75" hidden="1">
      <c r="D41" s="953"/>
      <c r="E41" s="953"/>
      <c r="F41" s="1126" t="str">
        <f>IF(F37=$S$15,$T$13,IF(ROUNDDOWN(F37,0)=$S$13,$U$13,$T$13))</f>
        <v>　レベル　4</v>
      </c>
      <c r="G41" s="1138" t="s">
        <v>2506</v>
      </c>
      <c r="H41" s="1368"/>
      <c r="I41" s="1368"/>
      <c r="J41" s="1368"/>
      <c r="K41" s="1368"/>
      <c r="L41" s="1368"/>
      <c r="M41" s="1368"/>
      <c r="N41" s="3018"/>
      <c r="O41" s="3019"/>
    </row>
    <row r="42" spans="2:17" ht="15.75" hidden="1">
      <c r="D42" s="953"/>
      <c r="E42" s="953"/>
      <c r="F42" s="995" t="str">
        <f>IF(F37=$S$15,$T$14,IF(ROUNDDOWN(F37,0)=$S$14,$U$14,$T$14))</f>
        <v>　レベル　5</v>
      </c>
      <c r="G42" s="2102" t="s">
        <v>2507</v>
      </c>
      <c r="H42" s="1384"/>
      <c r="I42" s="1384"/>
      <c r="J42" s="1384"/>
      <c r="K42" s="1384"/>
      <c r="L42" s="1384"/>
      <c r="M42" s="1384"/>
      <c r="N42" s="3020"/>
      <c r="O42" s="3021"/>
    </row>
    <row r="43" spans="2:17" ht="15.75" hidden="1">
      <c r="D43" s="953"/>
      <c r="E43" s="2012"/>
      <c r="F43" s="2012"/>
      <c r="G43" s="2012"/>
      <c r="H43" s="2012"/>
      <c r="I43" s="2012"/>
      <c r="J43" s="2012"/>
      <c r="K43" s="2012"/>
      <c r="L43" s="2012"/>
      <c r="M43" s="2012"/>
      <c r="N43" s="2012"/>
      <c r="O43" s="2012"/>
      <c r="P43" s="2012"/>
      <c r="Q43" s="2012"/>
    </row>
    <row r="44" spans="2:17" ht="16.5" hidden="1" thickBot="1">
      <c r="D44" s="953"/>
      <c r="E44" s="2012"/>
      <c r="F44" s="2012"/>
      <c r="G44" s="1003" t="s">
        <v>75</v>
      </c>
      <c r="H44" s="950"/>
      <c r="I44" s="1356">
        <v>0</v>
      </c>
      <c r="J44" s="1353" t="s">
        <v>76</v>
      </c>
      <c r="K44" s="136"/>
      <c r="L44" s="136"/>
      <c r="M44" s="2012"/>
      <c r="N44" s="2012"/>
      <c r="O44" s="2012"/>
    </row>
    <row r="45" spans="2:17" ht="15.75" hidden="1">
      <c r="D45" s="953">
        <v>2.2000000000000002</v>
      </c>
      <c r="E45" s="960" t="s">
        <v>1003</v>
      </c>
      <c r="F45" s="2012"/>
      <c r="G45" s="2012"/>
      <c r="H45" s="2012"/>
      <c r="I45" s="2012"/>
      <c r="J45" s="1041" t="str">
        <f>IF(OR(F47=0,AND(J46=0,O46=0)),$R$3,"")</f>
        <v/>
      </c>
      <c r="K45" s="2012"/>
      <c r="L45" s="2012"/>
      <c r="M45" s="2012"/>
      <c r="N45" s="2012"/>
      <c r="O45" s="2012"/>
      <c r="P45" s="2012"/>
      <c r="Q45" s="2012"/>
    </row>
    <row r="46" spans="2:17" ht="16.5" thickBot="1">
      <c r="D46" s="953"/>
      <c r="E46" s="960"/>
      <c r="F46" s="1102"/>
      <c r="G46" s="966"/>
      <c r="H46" s="967"/>
      <c r="I46" s="968" t="s">
        <v>1358</v>
      </c>
      <c r="J46" s="969">
        <f>重み!M121</f>
        <v>1</v>
      </c>
      <c r="K46" s="1103"/>
      <c r="L46" s="1103"/>
      <c r="M46" s="1103"/>
      <c r="N46" s="1103"/>
      <c r="O46" s="978"/>
    </row>
    <row r="47" spans="2:17" ht="16.5" thickBot="1">
      <c r="D47" s="953"/>
      <c r="E47" s="960"/>
      <c r="F47" s="1301">
        <f>IF((J47+O47)=0,0,IF(AND(G47=0,O47&gt;0),L47,G47*J47/(J47+O47)+L47*O47/(J47+O47)))</f>
        <v>3</v>
      </c>
      <c r="G47" s="1301">
        <f>IF(K56=B57,0,IF(COUNTIF(H57:H60,"○")&lt;1,3,IF(COUNTIF(H57:H60,"○")&gt;=1,IF(I54&lt;15,4,5))))</f>
        <v>3</v>
      </c>
      <c r="H47" s="1352" t="s">
        <v>1008</v>
      </c>
      <c r="I47" s="1352"/>
      <c r="J47" s="1182">
        <f>計画書!H120</f>
        <v>8000</v>
      </c>
      <c r="K47" s="1352" t="s">
        <v>1316</v>
      </c>
      <c r="L47" s="972">
        <v>3</v>
      </c>
      <c r="M47" s="2506" t="s">
        <v>1487</v>
      </c>
      <c r="N47" s="2507"/>
      <c r="O47" s="1182">
        <f>計画書!H119</f>
        <v>6500</v>
      </c>
    </row>
    <row r="48" spans="2:17" ht="23.25" customHeight="1">
      <c r="B48" s="1" t="s">
        <v>2845</v>
      </c>
      <c r="C48" s="1" t="s">
        <v>2845</v>
      </c>
      <c r="D48" s="953"/>
      <c r="E48" s="953"/>
      <c r="F48" s="1369" t="str">
        <f>IF(F47=$S$15,"",IF(ROUNDDOWN(F47,0)=$S$10,$U$10,$T$10))</f>
        <v>　レベル　1</v>
      </c>
      <c r="G48" s="1369" t="str">
        <f>IF(G47=$S$15,"",IF(ROUNDDOWN(G47,0)=$S$10,$U$10,$T$10))</f>
        <v>　レベル　1</v>
      </c>
      <c r="H48" s="981" t="s">
        <v>2168</v>
      </c>
      <c r="I48" s="982"/>
      <c r="J48" s="982"/>
      <c r="K48" s="2508" t="s">
        <v>3364</v>
      </c>
      <c r="L48" s="1369" t="str">
        <f>IF(L47=$S$15,"",IF(ROUNDDOWN(L47,0)=$S$10,$U$10,$T$10))</f>
        <v>　レベル　1</v>
      </c>
      <c r="M48" s="981" t="s">
        <v>2168</v>
      </c>
      <c r="N48" s="982"/>
      <c r="O48" s="983"/>
    </row>
    <row r="49" spans="2:17" ht="23.25" customHeight="1">
      <c r="B49" s="1" t="s">
        <v>2845</v>
      </c>
      <c r="C49" s="1">
        <v>2</v>
      </c>
      <c r="D49" s="953"/>
      <c r="E49" s="953"/>
      <c r="F49" s="1371" t="str">
        <f>IF(F47=$S$15,"",IF(ROUNDDOWN(F47,0)=$S$11,$U$11,$T$11))</f>
        <v>　レベル　2</v>
      </c>
      <c r="G49" s="1371" t="str">
        <f>IF(G47=$S$15,"",IF(ROUNDDOWN(G47,0)=$S$11,$U$11,$T$11))</f>
        <v>　レベル　2</v>
      </c>
      <c r="H49" s="988" t="s">
        <v>2168</v>
      </c>
      <c r="I49" s="989"/>
      <c r="J49" s="989"/>
      <c r="K49" s="2509" t="s">
        <v>3365</v>
      </c>
      <c r="L49" s="1371" t="str">
        <f>IF(L47=$S$15,"",IF(ROUNDDOWN(L47,0)=$S$11,$U$11,$T$11))</f>
        <v>　レベル　2</v>
      </c>
      <c r="M49" s="988" t="s">
        <v>1488</v>
      </c>
      <c r="N49" s="989"/>
      <c r="O49" s="990"/>
    </row>
    <row r="50" spans="2:17" ht="39.75" customHeight="1">
      <c r="B50" s="1">
        <v>3</v>
      </c>
      <c r="C50" s="1">
        <v>3</v>
      </c>
      <c r="D50" s="953"/>
      <c r="E50" s="953"/>
      <c r="F50" s="1371" t="str">
        <f>IF(F47=$S$15,"",IF(ROUNDDOWN(F47,0)=$S$12,$U$12,$T$12))</f>
        <v>■レベル　3</v>
      </c>
      <c r="G50" s="1371" t="str">
        <f>IF(G47=$S$15,"",IF(ROUNDDOWN(G47,0)=$S$12,$U$12,$T$12))</f>
        <v>■レベル　3</v>
      </c>
      <c r="H50" s="3043" t="s">
        <v>2950</v>
      </c>
      <c r="I50" s="3044"/>
      <c r="J50" s="3045"/>
      <c r="K50" s="2510" t="s">
        <v>3366</v>
      </c>
      <c r="L50" s="1371" t="str">
        <f>IF(L47=$S$15,"",IF(ROUNDDOWN(L47,0)=$S$12,$U$12,$T$12))</f>
        <v>■レベル　3</v>
      </c>
      <c r="M50" s="2727" t="s">
        <v>2815</v>
      </c>
      <c r="N50" s="2728"/>
      <c r="O50" s="2729"/>
    </row>
    <row r="51" spans="2:17" ht="50.25" customHeight="1">
      <c r="B51" s="1">
        <v>4</v>
      </c>
      <c r="C51" s="1">
        <v>4</v>
      </c>
      <c r="D51" s="953"/>
      <c r="E51" s="953"/>
      <c r="F51" s="1371" t="str">
        <f>IF(F47=$S$15,"",IF(ROUNDDOWN(F47,0)=$S$13,$U$13,$T$13))</f>
        <v>　レベル　4</v>
      </c>
      <c r="G51" s="1371" t="str">
        <f>IF(G47=$S$15,"",IF(ROUNDDOWN(G47,0)=$S$13,$U$13,$T$13))</f>
        <v>　レベル　4</v>
      </c>
      <c r="H51" s="2727" t="s">
        <v>2951</v>
      </c>
      <c r="I51" s="2802"/>
      <c r="J51" s="2803"/>
      <c r="K51" s="2510" t="s">
        <v>3367</v>
      </c>
      <c r="L51" s="1371" t="str">
        <f>IF(L47=$S$15,"",IF(ROUNDDOWN(L47,0)=$S$13,$U$13,$T$13))</f>
        <v>　レベル　4</v>
      </c>
      <c r="M51" s="2727" t="s">
        <v>784</v>
      </c>
      <c r="N51" s="2728"/>
      <c r="O51" s="2729"/>
    </row>
    <row r="52" spans="2:17" ht="27" customHeight="1">
      <c r="B52" s="1">
        <v>5</v>
      </c>
      <c r="C52" s="1">
        <v>5</v>
      </c>
      <c r="D52" s="953"/>
      <c r="E52" s="953"/>
      <c r="F52" s="1372" t="str">
        <f>IF(F47=$S$15,"",IF(ROUNDDOWN(F47,0)=$S$14,$U$14,$T$14))</f>
        <v>　レベル　5</v>
      </c>
      <c r="G52" s="1372" t="str">
        <f>IF(G47=$S$15,"",IF(ROUNDDOWN(G47,0)=$S$14,$U$14,$T$14))</f>
        <v>　レベル　5</v>
      </c>
      <c r="H52" s="999" t="s">
        <v>785</v>
      </c>
      <c r="I52" s="1000"/>
      <c r="J52" s="1000"/>
      <c r="K52" s="2511"/>
      <c r="L52" s="1372" t="str">
        <f>IF(L47=$S$15,"",IF(ROUNDDOWN(L47,0)=$S$14,$U$14,$T$14))</f>
        <v>　レベル　5</v>
      </c>
      <c r="M52" s="999" t="s">
        <v>786</v>
      </c>
      <c r="N52" s="1000"/>
      <c r="O52" s="1001"/>
    </row>
    <row r="53" spans="2:17" ht="8.25" customHeight="1" thickBot="1">
      <c r="B53" s="1002">
        <v>0</v>
      </c>
      <c r="C53" s="1002">
        <v>0</v>
      </c>
      <c r="D53" s="2283"/>
      <c r="E53" s="136"/>
      <c r="F53" s="136"/>
      <c r="G53" s="136"/>
      <c r="H53" s="136"/>
      <c r="I53" s="136"/>
      <c r="J53" s="136"/>
      <c r="K53" s="136"/>
      <c r="L53" s="136"/>
      <c r="M53" s="136"/>
      <c r="N53" s="136"/>
      <c r="O53" s="136"/>
    </row>
    <row r="54" spans="2:17" ht="25.5" customHeight="1" thickBot="1">
      <c r="D54" s="2283"/>
      <c r="E54" s="136"/>
      <c r="F54" s="136"/>
      <c r="G54" s="1003" t="s">
        <v>75</v>
      </c>
      <c r="H54" s="950"/>
      <c r="I54" s="1356">
        <v>0</v>
      </c>
      <c r="J54" s="1353" t="s">
        <v>76</v>
      </c>
      <c r="K54" s="136"/>
      <c r="L54" s="136"/>
      <c r="M54" s="136"/>
      <c r="N54" s="136"/>
      <c r="O54" s="136"/>
    </row>
    <row r="55" spans="2:17" ht="7.5" customHeight="1" thickBot="1">
      <c r="D55" s="2283"/>
      <c r="E55" s="136"/>
      <c r="F55" s="136"/>
      <c r="G55" s="136"/>
      <c r="H55" s="136"/>
      <c r="I55" s="136"/>
      <c r="J55" s="136"/>
      <c r="K55" s="136"/>
      <c r="L55" s="136"/>
      <c r="M55" s="136"/>
      <c r="N55" s="136"/>
      <c r="O55" s="136"/>
    </row>
    <row r="56" spans="2:17" ht="19.5" customHeight="1" thickBot="1">
      <c r="B56" t="s">
        <v>2400</v>
      </c>
      <c r="D56" s="953"/>
      <c r="E56" s="1355"/>
      <c r="F56" s="953"/>
      <c r="G56" s="645" t="s">
        <v>1009</v>
      </c>
      <c r="H56" s="1086" t="s">
        <v>1161</v>
      </c>
      <c r="I56" s="1357" t="s">
        <v>1010</v>
      </c>
      <c r="J56" s="1358"/>
      <c r="K56" s="972" t="s">
        <v>2400</v>
      </c>
      <c r="L56" s="1357" t="s">
        <v>3368</v>
      </c>
      <c r="M56" s="1358"/>
      <c r="N56" s="1358"/>
      <c r="O56" s="1359"/>
      <c r="P56" s="2012"/>
      <c r="Q56" s="2012"/>
    </row>
    <row r="57" spans="2:17" ht="23.25" customHeight="1">
      <c r="B57" s="1002">
        <v>0</v>
      </c>
      <c r="C57" s="1002">
        <v>0</v>
      </c>
      <c r="D57" s="953"/>
      <c r="E57" s="1355"/>
      <c r="F57" s="953"/>
      <c r="G57" s="1360">
        <v>1</v>
      </c>
      <c r="H57" s="1260"/>
      <c r="I57" s="2854" t="s">
        <v>2527</v>
      </c>
      <c r="J57" s="3012"/>
      <c r="K57" s="3012"/>
      <c r="L57" s="3012"/>
      <c r="M57" s="3012"/>
      <c r="N57" s="3012"/>
      <c r="O57" s="3013"/>
    </row>
    <row r="58" spans="2:17" ht="31.5" customHeight="1">
      <c r="D58" s="953"/>
      <c r="E58" s="1355"/>
      <c r="F58" s="953"/>
      <c r="G58" s="1361">
        <v>2</v>
      </c>
      <c r="H58" s="1263"/>
      <c r="I58" s="2854" t="s">
        <v>1011</v>
      </c>
      <c r="J58" s="3012"/>
      <c r="K58" s="3012"/>
      <c r="L58" s="3012"/>
      <c r="M58" s="3012"/>
      <c r="N58" s="3012"/>
      <c r="O58" s="3013"/>
    </row>
    <row r="59" spans="2:17" ht="27.75" customHeight="1">
      <c r="D59" s="953"/>
      <c r="E59" s="1355"/>
      <c r="F59" s="953"/>
      <c r="G59" s="1361">
        <v>3</v>
      </c>
      <c r="H59" s="1263" t="s">
        <v>2672</v>
      </c>
      <c r="I59" s="2854" t="s">
        <v>2894</v>
      </c>
      <c r="J59" s="3012"/>
      <c r="K59" s="3012"/>
      <c r="L59" s="3012"/>
      <c r="M59" s="3012"/>
      <c r="N59" s="3012"/>
      <c r="O59" s="3013"/>
    </row>
    <row r="60" spans="2:17" ht="27.75" customHeight="1" thickBot="1">
      <c r="D60" s="953"/>
      <c r="E60" s="1355"/>
      <c r="F60" s="953"/>
      <c r="G60" s="1362">
        <v>4</v>
      </c>
      <c r="H60" s="1363"/>
      <c r="I60" s="1193" t="s">
        <v>2895</v>
      </c>
      <c r="J60" s="1194"/>
      <c r="K60" s="1194"/>
      <c r="L60" s="1194"/>
      <c r="M60" s="1194"/>
      <c r="N60" s="1194"/>
      <c r="O60" s="1195"/>
    </row>
    <row r="61" spans="2:17"/>
    <row r="62" spans="2:17" ht="14.25" customHeight="1">
      <c r="D62" s="949">
        <v>3</v>
      </c>
      <c r="E62" s="958" t="s">
        <v>1560</v>
      </c>
      <c r="F62" s="551"/>
      <c r="G62" s="551"/>
      <c r="H62" s="551"/>
      <c r="I62" s="551"/>
      <c r="J62" s="1041" t="e">
        <f>IF(OR(F65=0,AND(J64=0,K65=0)),$R$3,"")</f>
        <v>#N/A</v>
      </c>
      <c r="K62" s="551"/>
      <c r="L62" s="551"/>
      <c r="M62" s="551"/>
      <c r="N62" s="551"/>
      <c r="O62" s="551"/>
    </row>
    <row r="63" spans="2:17" ht="18.75" customHeight="1">
      <c r="D63"/>
      <c r="E63"/>
      <c r="F63"/>
      <c r="G63" s="949" t="s">
        <v>3333</v>
      </c>
      <c r="H63" s="958"/>
      <c r="I63" s="551"/>
      <c r="J63" s="1041"/>
      <c r="K63" s="551"/>
      <c r="L63" s="551"/>
      <c r="M63" s="551"/>
      <c r="N63" s="551"/>
      <c r="O63" s="551"/>
    </row>
    <row r="64" spans="2:17" ht="14.25">
      <c r="D64" s="2284"/>
      <c r="E64" s="1152"/>
      <c r="F64" s="1109" t="s">
        <v>2596</v>
      </c>
      <c r="G64" s="1352" t="s">
        <v>126</v>
      </c>
      <c r="H64" s="1352"/>
      <c r="I64" s="968" t="s">
        <v>1358</v>
      </c>
      <c r="J64" s="969">
        <f>重み!M124</f>
        <v>0.5</v>
      </c>
      <c r="K64" s="978"/>
      <c r="L64" s="551"/>
      <c r="N64"/>
    </row>
    <row r="65" spans="4:15" ht="19.5" customHeight="1">
      <c r="D65" s="953"/>
      <c r="E65" s="950"/>
      <c r="F65" s="3041" t="e">
        <f>IF((K65+O73)=0,0,F92*K65/(K65+O73)+F74*O73/(K65+O73))</f>
        <v>#N/A</v>
      </c>
      <c r="G65" s="3038">
        <f>ROUNDDOWN(計画書!H37,1)</f>
        <v>0</v>
      </c>
      <c r="H65" s="1373" t="s">
        <v>2579</v>
      </c>
      <c r="I65" s="977"/>
      <c r="J65" s="977"/>
      <c r="K65" s="1182">
        <f>メイン!J66-O73</f>
        <v>12000</v>
      </c>
      <c r="L65" s="551"/>
      <c r="N65"/>
    </row>
    <row r="66" spans="4:15" ht="19.5" customHeight="1">
      <c r="D66" s="953"/>
      <c r="E66" s="950"/>
      <c r="F66" s="3042" t="e">
        <f t="shared" ref="F66" si="0">IF((J66+O66)=0,0,IF(AND(G66=0,O66&gt;0),L66,G66*J66/(J66+O66)+L66*O66/(J66+O66)))</f>
        <v>#VALUE!</v>
      </c>
      <c r="G66" s="3040"/>
      <c r="H66" s="2634" t="s">
        <v>900</v>
      </c>
      <c r="I66" s="2635"/>
      <c r="J66" s="2636" t="s">
        <v>3432</v>
      </c>
      <c r="K66" s="2637"/>
      <c r="L66" s="551"/>
      <c r="M66"/>
      <c r="N66"/>
      <c r="O66"/>
    </row>
    <row r="67" spans="4:15" ht="25.15" customHeight="1">
      <c r="D67" s="953"/>
      <c r="E67" s="950"/>
      <c r="F67" s="984" t="e">
        <f>IF(F65=$S$15,$T$10,IF(ROUNDDOWN(F65,0)=$S$10,$U$10,$T$10))</f>
        <v>#N/A</v>
      </c>
      <c r="G67" s="1344" t="str">
        <f>IF(G65=$S$15,"",IF(ROUNDDOWN(G65,0)=$S$10,$U$10,$T$10))</f>
        <v/>
      </c>
      <c r="H67" s="3025" t="s">
        <v>3478</v>
      </c>
      <c r="I67" s="3026"/>
      <c r="J67" s="3025" t="s">
        <v>3479</v>
      </c>
      <c r="K67" s="3026"/>
      <c r="L67" s="551"/>
      <c r="M67"/>
      <c r="N67"/>
      <c r="O67"/>
    </row>
    <row r="68" spans="4:15" ht="25.15" customHeight="1">
      <c r="D68" s="953"/>
      <c r="E68" s="950"/>
      <c r="F68" s="1126" t="e">
        <f>IF(F65=$S$15,$T$11,IF(ROUNDDOWN(F65,0)=$S$11,$U$11,$T$11))</f>
        <v>#N/A</v>
      </c>
      <c r="G68" s="1345" t="str">
        <f>IF(G65=$S$15,"",IF(ROUNDDOWN(G65,0)=$S$11,$U$11,$T$11))</f>
        <v/>
      </c>
      <c r="H68" s="3027"/>
      <c r="I68" s="3028"/>
      <c r="J68" s="3027"/>
      <c r="K68" s="3028"/>
      <c r="L68"/>
      <c r="M68"/>
      <c r="N68"/>
      <c r="O68"/>
    </row>
    <row r="69" spans="4:15" ht="25.15" customHeight="1">
      <c r="D69" s="953"/>
      <c r="E69" s="950"/>
      <c r="F69" s="1126" t="e">
        <f>IF(F65=$S$15,$T$12,IF(ROUNDDOWN(F65,0)=$S$12,$U$12,$T$12))</f>
        <v>#N/A</v>
      </c>
      <c r="G69" s="1345" t="str">
        <f>IF(G65=$S$15,"",IF(ROUNDDOWN(G65,0)=$S$12,$U$12,$T$12))</f>
        <v/>
      </c>
      <c r="H69" s="3027"/>
      <c r="I69" s="3028"/>
      <c r="J69" s="3027"/>
      <c r="K69" s="3028"/>
      <c r="L69"/>
      <c r="M69"/>
      <c r="N69"/>
      <c r="O69"/>
    </row>
    <row r="70" spans="4:15" ht="25.15" customHeight="1">
      <c r="D70" s="953"/>
      <c r="E70" s="950"/>
      <c r="F70" s="1126" t="e">
        <f>IF(F65=$S$15,$T$13,IF(ROUNDDOWN(F65,0)=$S$13,$U$13,$T$13))</f>
        <v>#N/A</v>
      </c>
      <c r="G70" s="1345" t="str">
        <f>IF(G65=$S$15,"",IF(ROUNDDOWN(G65,0)=$S$13,$U$13,$T$13))</f>
        <v/>
      </c>
      <c r="H70" s="3027"/>
      <c r="I70" s="3028"/>
      <c r="J70" s="3027"/>
      <c r="K70" s="3028"/>
      <c r="L70"/>
      <c r="M70"/>
      <c r="N70"/>
      <c r="O70"/>
    </row>
    <row r="71" spans="4:15" ht="25.15" customHeight="1">
      <c r="D71" s="953"/>
      <c r="E71" s="950"/>
      <c r="F71" s="1367" t="e">
        <f>IF(F65=$S$15,$T$14,IF(ROUNDDOWN(F65,0)=$S$14,$U$14,$T$14))</f>
        <v>#N/A</v>
      </c>
      <c r="G71" s="1346" t="str">
        <f>IF(G65=$S$15,"",IF(ROUNDDOWN(G65,0)=$S$14,$U$14,$T$14))</f>
        <v/>
      </c>
      <c r="H71" s="3029"/>
      <c r="I71" s="3030"/>
      <c r="J71" s="3029"/>
      <c r="K71" s="3030"/>
      <c r="L71"/>
      <c r="M71"/>
      <c r="N71"/>
      <c r="O71"/>
    </row>
    <row r="72" spans="4:15"/>
    <row r="73" spans="4:15" ht="18.75" customHeight="1" thickBot="1">
      <c r="F73" s="1183" t="s">
        <v>1893</v>
      </c>
      <c r="G73" s="1352"/>
      <c r="H73" s="1352"/>
      <c r="I73" s="1352"/>
      <c r="J73" s="1352"/>
      <c r="K73" s="1352"/>
      <c r="L73" s="1352"/>
      <c r="M73" s="1352"/>
      <c r="N73" s="1352"/>
      <c r="O73" s="1182">
        <f>メイン!C64</f>
        <v>2500</v>
      </c>
    </row>
    <row r="74" spans="4:15" ht="18.75" customHeight="1" thickBot="1">
      <c r="F74" s="2611">
        <f>ROUNDDOWN(計画書!H37,1)</f>
        <v>0</v>
      </c>
      <c r="G74" s="1366"/>
      <c r="H74" s="965"/>
      <c r="I74" s="2104"/>
      <c r="J74" s="1182">
        <f>計画書!M29</f>
        <v>0</v>
      </c>
      <c r="K74" s="2085"/>
      <c r="L74" s="1102"/>
      <c r="M74" s="967"/>
      <c r="N74" s="967"/>
      <c r="O74" s="1182">
        <f>計画書!N29</f>
        <v>0</v>
      </c>
    </row>
    <row r="75" spans="4:15" ht="18.75" customHeight="1">
      <c r="F75" s="1369" t="str">
        <f>IF(F74=$S$15,"",IF(ROUNDDOWN(F74,0)=$S$10,$U$10,$T$10))</f>
        <v/>
      </c>
      <c r="G75" s="1369" t="str">
        <f>IF(G74=$S$15,"",IF(ROUNDDOWN(G74,0)=$S$10,$U$10,$T$10))</f>
        <v/>
      </c>
      <c r="H75" s="3025" t="s">
        <v>3480</v>
      </c>
      <c r="I75" s="3026"/>
      <c r="J75" s="2113"/>
      <c r="K75" s="1369" t="str">
        <f>IF(K74=$S$15,"",IF(ROUNDDOWN(K74,0)=$S$10,$U$10,$T$10))</f>
        <v/>
      </c>
      <c r="L75" s="1347"/>
      <c r="M75" s="2029"/>
      <c r="N75" s="2029"/>
      <c r="O75" s="2113"/>
    </row>
    <row r="76" spans="4:15" ht="18.75" customHeight="1">
      <c r="F76" s="1371" t="str">
        <f>IF(F74=$S$15,"",IF(ROUNDDOWN(F74,0)=$S$11,$U$11,$T$11))</f>
        <v/>
      </c>
      <c r="G76" s="1371" t="str">
        <f>IF(G74=$S$15,"",IF(ROUNDDOWN(G74,0)=$S$11,$U$11,$T$11))</f>
        <v/>
      </c>
      <c r="H76" s="3027"/>
      <c r="I76" s="3028"/>
      <c r="J76" s="2115" t="s">
        <v>1033</v>
      </c>
      <c r="K76" s="1371" t="str">
        <f>IF(K74=$S$15,"",IF(ROUNDDOWN(K74,0)=$S$11,$U$11,$T$11))</f>
        <v/>
      </c>
      <c r="L76" s="1348"/>
      <c r="M76" s="1370"/>
      <c r="N76" s="1370"/>
      <c r="O76" s="2115"/>
    </row>
    <row r="77" spans="4:15" ht="18.75" customHeight="1">
      <c r="F77" s="1371" t="str">
        <f>IF(F74=$S$15,"",IF(ROUNDDOWN(F74,0)=$S$12,$U$12,$T$12))</f>
        <v/>
      </c>
      <c r="G77" s="1371" t="str">
        <f>IF(G74=$S$15,"",IF(ROUNDDOWN(G74,0)=$S$12,$U$12,$T$12))</f>
        <v/>
      </c>
      <c r="H77" s="3027"/>
      <c r="I77" s="3028"/>
      <c r="J77" s="2114" t="s">
        <v>1034</v>
      </c>
      <c r="K77" s="1371" t="str">
        <f>IF(K74=$S$15,"",IF(ROUNDDOWN(K74,0)=$S$12,$U$12,$T$12))</f>
        <v/>
      </c>
      <c r="L77" s="1348"/>
      <c r="M77" s="1370"/>
      <c r="N77" s="1370"/>
      <c r="O77" s="2114"/>
    </row>
    <row r="78" spans="4:15" ht="32.25" customHeight="1">
      <c r="F78" s="1371" t="str">
        <f>IF(F74=$S$15,"",IF(ROUNDDOWN(F74,0)=$S$13,$U$13,$T$13))</f>
        <v/>
      </c>
      <c r="G78" s="1371" t="str">
        <f>IF(G74=$S$15,"",IF(ROUNDDOWN(G74,0)=$S$13,$U$13,$T$13))</f>
        <v/>
      </c>
      <c r="H78" s="3027"/>
      <c r="I78" s="3028"/>
      <c r="J78" s="2115" t="s">
        <v>1035</v>
      </c>
      <c r="K78" s="1371" t="str">
        <f>IF(K74=$S$15,"",IF(ROUNDDOWN(K74,0)=$S$13,$U$13,$T$13))</f>
        <v/>
      </c>
      <c r="L78" s="3014"/>
      <c r="M78" s="3015"/>
      <c r="N78" s="3016"/>
      <c r="O78" s="2115"/>
    </row>
    <row r="79" spans="4:15" ht="31.5" customHeight="1">
      <c r="F79" s="1372" t="str">
        <f>IF(F74=$S$15,"",IF(ROUNDDOWN(F74,0)=$S$14,$U$14,$T$14))</f>
        <v/>
      </c>
      <c r="G79" s="1372" t="str">
        <f>IF(G74=$S$15,"",IF(ROUNDDOWN(G74,0)=$S$14,$U$14,$T$14))</f>
        <v/>
      </c>
      <c r="H79" s="3029"/>
      <c r="I79" s="3030"/>
      <c r="J79" s="2116"/>
      <c r="K79" s="1372" t="str">
        <f>IF(K74=$S$15,"",IF(ROUNDDOWN(K74,0)=$S$14,$U$14,$T$14))</f>
        <v/>
      </c>
      <c r="L79" s="3009"/>
      <c r="M79" s="3010"/>
      <c r="N79" s="3011"/>
      <c r="O79" s="2116"/>
    </row>
    <row r="81" spans="4:15">
      <c r="G81" s="950" t="s">
        <v>2941</v>
      </c>
    </row>
    <row r="82" spans="4:15">
      <c r="G82" s="2638" t="s">
        <v>3481</v>
      </c>
      <c r="H82" s="2129"/>
      <c r="I82" s="2129"/>
      <c r="J82" s="2129"/>
      <c r="K82" s="2129"/>
      <c r="L82" s="2129"/>
      <c r="M82" s="2129"/>
      <c r="N82" s="2129"/>
      <c r="O82" s="2130"/>
    </row>
    <row r="83" spans="4:15">
      <c r="G83" s="2639" t="s">
        <v>3482</v>
      </c>
      <c r="O83" s="2131"/>
    </row>
    <row r="84" spans="4:15">
      <c r="G84" s="2640" t="s">
        <v>3483</v>
      </c>
      <c r="H84" s="2132"/>
      <c r="I84" s="2132"/>
      <c r="J84" s="2132"/>
      <c r="K84" s="2132"/>
      <c r="L84" s="2132"/>
      <c r="M84" s="2132"/>
      <c r="N84" s="2132"/>
      <c r="O84" s="2133"/>
    </row>
    <row r="85" spans="4:15"/>
    <row r="86" spans="4:15" ht="15.75">
      <c r="D86" s="949"/>
      <c r="E86" s="958"/>
      <c r="F86" s="949" t="s">
        <v>3334</v>
      </c>
      <c r="J86" s="1355" t="str">
        <f>IF(境界値!I14&gt;=0.8,R3,"")</f>
        <v/>
      </c>
    </row>
    <row r="87" spans="4:15">
      <c r="E87"/>
      <c r="F87" s="1355" t="s">
        <v>2966</v>
      </c>
    </row>
    <row r="88" spans="4:15">
      <c r="E88" s="1355"/>
      <c r="F88" s="2606">
        <f>計画書!J37</f>
        <v>1</v>
      </c>
      <c r="G88" s="2475" t="s">
        <v>3319</v>
      </c>
      <c r="H88" s="2476"/>
      <c r="I88" s="2476"/>
      <c r="J88" s="2476"/>
      <c r="K88" s="2477">
        <v>1</v>
      </c>
      <c r="L88"/>
    </row>
    <row r="89" spans="4:15">
      <c r="E89" s="1355"/>
      <c r="G89" s="2475" t="s">
        <v>3320</v>
      </c>
      <c r="H89" s="2476"/>
      <c r="I89" s="2476"/>
      <c r="J89" s="2476"/>
      <c r="K89" s="2477" t="s">
        <v>3321</v>
      </c>
      <c r="L89"/>
    </row>
    <row r="90" spans="4:15" ht="14.25" thickBot="1">
      <c r="E90" s="1355"/>
      <c r="G90" s="950"/>
      <c r="H90" s="950"/>
      <c r="I90" s="950"/>
      <c r="J90" s="950"/>
      <c r="K90" s="2463"/>
      <c r="L90"/>
    </row>
    <row r="91" spans="4:15" ht="14.25" thickBot="1">
      <c r="E91"/>
      <c r="F91" s="1355" t="s">
        <v>2967</v>
      </c>
      <c r="H91"/>
      <c r="I91" s="2464" t="e">
        <f>計画書!L37</f>
        <v>#N/A</v>
      </c>
      <c r="J91" s="1989" t="e">
        <f>計画書!M37</f>
        <v>#N/A</v>
      </c>
    </row>
    <row r="92" spans="4:15">
      <c r="F92" s="2612" t="e">
        <f>ROUNDDOWN(計画書!P37,1)</f>
        <v>#N/A</v>
      </c>
      <c r="G92" s="2480" t="s">
        <v>3329</v>
      </c>
      <c r="H92" s="2481" t="s">
        <v>3328</v>
      </c>
      <c r="I92" s="2481" t="s">
        <v>3331</v>
      </c>
      <c r="J92" s="2481" t="s">
        <v>3330</v>
      </c>
    </row>
    <row r="93" spans="4:15">
      <c r="G93" s="2478" t="s">
        <v>3322</v>
      </c>
      <c r="H93" s="2477">
        <v>2</v>
      </c>
      <c r="I93" s="2477">
        <v>1</v>
      </c>
      <c r="J93" s="2477">
        <v>1</v>
      </c>
    </row>
    <row r="94" spans="4:15">
      <c r="G94" s="2478" t="s">
        <v>3323</v>
      </c>
      <c r="H94" s="2477">
        <v>2.5</v>
      </c>
      <c r="I94" s="2477">
        <v>1.5</v>
      </c>
      <c r="J94" s="2477">
        <v>1</v>
      </c>
      <c r="L94" s="2465"/>
    </row>
    <row r="95" spans="4:15">
      <c r="G95" s="2478" t="s">
        <v>3324</v>
      </c>
      <c r="H95" s="2477">
        <v>3</v>
      </c>
      <c r="I95" s="2477">
        <v>2</v>
      </c>
      <c r="J95" s="2477">
        <v>1</v>
      </c>
    </row>
    <row r="96" spans="4:15">
      <c r="G96" s="2478" t="s">
        <v>3325</v>
      </c>
      <c r="H96" s="2477">
        <v>3.5</v>
      </c>
      <c r="I96" s="2477">
        <v>2.5</v>
      </c>
      <c r="J96" s="2477">
        <v>1.5</v>
      </c>
    </row>
    <row r="97" spans="2:15">
      <c r="G97" s="2478" t="s">
        <v>3326</v>
      </c>
      <c r="H97" s="2477">
        <v>4</v>
      </c>
      <c r="I97" s="2477">
        <v>3</v>
      </c>
      <c r="J97" s="2477">
        <v>2</v>
      </c>
    </row>
    <row r="98" spans="2:15">
      <c r="G98" s="2478" t="s">
        <v>3327</v>
      </c>
      <c r="H98" s="2477">
        <v>4.5</v>
      </c>
      <c r="I98" s="2477">
        <v>3.5</v>
      </c>
      <c r="J98" s="2477">
        <v>2.5</v>
      </c>
    </row>
    <row r="99" spans="2:15">
      <c r="G99" s="2479">
        <v>4</v>
      </c>
      <c r="H99" s="2477">
        <v>5</v>
      </c>
      <c r="I99" s="2477">
        <v>4</v>
      </c>
      <c r="J99" s="2477">
        <v>3</v>
      </c>
    </row>
    <row r="100" spans="2:15" ht="14.25" hidden="1">
      <c r="F100" s="958" t="s">
        <v>2193</v>
      </c>
      <c r="I100" s="1990"/>
      <c r="J100" s="950"/>
      <c r="K100" s="950"/>
    </row>
    <row r="101" spans="2:15" ht="14.25" hidden="1" thickBot="1">
      <c r="B101" t="s">
        <v>1320</v>
      </c>
      <c r="F101" s="1102" t="s">
        <v>783</v>
      </c>
      <c r="G101" s="966"/>
      <c r="H101" s="2462"/>
      <c r="I101" s="968" t="s">
        <v>1358</v>
      </c>
      <c r="J101" s="969">
        <v>0.5</v>
      </c>
      <c r="K101" s="1103"/>
      <c r="L101" s="1103"/>
      <c r="M101" s="1103"/>
      <c r="N101" s="1103"/>
      <c r="O101" s="978"/>
    </row>
    <row r="102" spans="2:15" ht="14.25" hidden="1" thickBot="1">
      <c r="B102" s="1228">
        <v>0</v>
      </c>
      <c r="F102" s="972">
        <v>0</v>
      </c>
      <c r="G102" s="1058" t="s">
        <v>1962</v>
      </c>
      <c r="H102" s="1058"/>
      <c r="I102" s="1058"/>
      <c r="J102" s="1058"/>
      <c r="K102" s="1058"/>
      <c r="L102" s="1058"/>
      <c r="M102" s="1071"/>
      <c r="N102" s="1084" t="s">
        <v>1316</v>
      </c>
      <c r="O102" s="978"/>
    </row>
    <row r="103" spans="2:15" hidden="1">
      <c r="B103" s="1" t="s">
        <v>2845</v>
      </c>
      <c r="C103" s="1">
        <v>1</v>
      </c>
      <c r="F103" s="1344" t="str">
        <f>IF(F102=$S$15,"",IF(ROUNDDOWN(F102,0)=$S$10,$U$10,$T$10))</f>
        <v/>
      </c>
      <c r="G103" s="981" t="s">
        <v>2168</v>
      </c>
      <c r="H103" s="1368"/>
      <c r="I103" s="1368"/>
      <c r="J103" s="1368"/>
      <c r="K103" s="1368"/>
      <c r="L103" s="1368"/>
      <c r="M103" s="1368"/>
      <c r="N103" s="2769"/>
      <c r="O103" s="2991"/>
    </row>
    <row r="104" spans="2:15" hidden="1">
      <c r="B104" s="1">
        <v>2</v>
      </c>
      <c r="C104" s="1">
        <v>3</v>
      </c>
      <c r="F104" s="1345" t="str">
        <f>IF(F102=$S$15,"",IF(ROUNDDOWN(F102,0)=$S$11,$U$11,$T$11))</f>
        <v/>
      </c>
      <c r="G104" s="988" t="s">
        <v>2217</v>
      </c>
      <c r="H104" s="1368"/>
      <c r="I104" s="1368"/>
      <c r="J104" s="1368"/>
      <c r="K104" s="1368"/>
      <c r="L104" s="1368"/>
      <c r="M104" s="1368"/>
      <c r="N104" s="2992"/>
      <c r="O104" s="2993"/>
    </row>
    <row r="105" spans="2:15" hidden="1">
      <c r="B105" s="1">
        <v>3</v>
      </c>
      <c r="C105" s="1">
        <v>3</v>
      </c>
      <c r="F105" s="1345" t="str">
        <f>IF(F102=$S$15,"",IF(ROUNDDOWN(F102,0)=$S$12,$U$12,$T$12))</f>
        <v/>
      </c>
      <c r="G105" s="988" t="s">
        <v>2218</v>
      </c>
      <c r="H105" s="1368"/>
      <c r="I105" s="1368"/>
      <c r="J105" s="1368"/>
      <c r="K105" s="1368"/>
      <c r="L105" s="1368"/>
      <c r="M105" s="1368"/>
      <c r="N105" s="2992"/>
      <c r="O105" s="2993"/>
    </row>
    <row r="106" spans="2:15" hidden="1">
      <c r="B106" s="1">
        <v>4</v>
      </c>
      <c r="C106" s="1">
        <v>4</v>
      </c>
      <c r="F106" s="1345" t="str">
        <f>IF(F102=$S$15,"",IF(ROUNDDOWN(F102,0)=$S$13,$U$13,$T$13))</f>
        <v/>
      </c>
      <c r="G106" s="988" t="s">
        <v>2219</v>
      </c>
      <c r="H106" s="1368"/>
      <c r="I106" s="1368"/>
      <c r="J106" s="1368"/>
      <c r="K106" s="1368"/>
      <c r="L106" s="1368"/>
      <c r="M106" s="1368"/>
      <c r="N106" s="2992"/>
      <c r="O106" s="2993"/>
    </row>
    <row r="107" spans="2:15" hidden="1">
      <c r="B107" s="1">
        <v>5</v>
      </c>
      <c r="C107" s="1">
        <v>5</v>
      </c>
      <c r="F107" s="1346" t="str">
        <f>IF(F102=$S$15,"",IF(ROUNDDOWN(F102,0)=$S$14,$U$14,$T$14))</f>
        <v/>
      </c>
      <c r="G107" s="999" t="s">
        <v>2376</v>
      </c>
      <c r="H107" s="1000"/>
      <c r="I107" s="1000"/>
      <c r="J107" s="1000"/>
      <c r="K107" s="1000"/>
      <c r="L107" s="1000"/>
      <c r="M107" s="1000"/>
      <c r="N107" s="2994"/>
      <c r="O107" s="2995"/>
    </row>
    <row r="108" spans="2:15" hidden="1">
      <c r="B108" s="1002">
        <v>0</v>
      </c>
      <c r="C108" s="1002">
        <v>0</v>
      </c>
    </row>
    <row r="109" spans="2:15" ht="14.25" hidden="1">
      <c r="F109" s="958" t="s">
        <v>2377</v>
      </c>
      <c r="G109" s="950"/>
      <c r="H109" s="950" t="s">
        <v>1354</v>
      </c>
      <c r="I109" s="950"/>
    </row>
    <row r="111" spans="2:15" ht="15.75" hidden="1">
      <c r="F111" s="958" t="s">
        <v>2378</v>
      </c>
      <c r="G111" s="1365"/>
      <c r="H111" s="958"/>
      <c r="I111" s="950"/>
      <c r="K111" s="950"/>
    </row>
    <row r="112" spans="2:15" ht="14.25" hidden="1" thickBot="1">
      <c r="B112" t="s">
        <v>1320</v>
      </c>
      <c r="F112" s="1102" t="s">
        <v>783</v>
      </c>
      <c r="G112" s="966"/>
      <c r="H112" s="967"/>
      <c r="I112" s="968" t="s">
        <v>1358</v>
      </c>
      <c r="J112" s="969">
        <v>0.5</v>
      </c>
      <c r="K112" s="1103"/>
      <c r="L112" s="1103"/>
      <c r="M112" s="1103"/>
      <c r="N112" s="1103"/>
      <c r="O112" s="978"/>
    </row>
    <row r="113" spans="2:15" ht="14.25" hidden="1" thickBot="1">
      <c r="B113" s="1228">
        <v>0</v>
      </c>
      <c r="F113" s="972">
        <v>0</v>
      </c>
      <c r="G113" s="1058" t="s">
        <v>1962</v>
      </c>
      <c r="H113" s="1058"/>
      <c r="I113" s="1058"/>
      <c r="J113" s="1058"/>
      <c r="K113" s="1058"/>
      <c r="L113" s="1058"/>
      <c r="M113" s="1071"/>
      <c r="N113" s="1084" t="s">
        <v>1316</v>
      </c>
      <c r="O113" s="978"/>
    </row>
    <row r="114" spans="2:15" hidden="1">
      <c r="B114" s="1" t="s">
        <v>2845</v>
      </c>
      <c r="C114" s="1">
        <v>1</v>
      </c>
      <c r="F114" s="1344" t="str">
        <f>IF(F113=$S$15,"",IF(ROUNDDOWN(F113,0)=$S$10,$U$10,$T$10))</f>
        <v/>
      </c>
      <c r="G114" s="981" t="s">
        <v>2168</v>
      </c>
      <c r="H114" s="1368"/>
      <c r="I114" s="1368"/>
      <c r="J114" s="1368"/>
      <c r="K114" s="1368"/>
      <c r="L114" s="1368"/>
      <c r="M114" s="1368"/>
      <c r="N114" s="2769" t="s">
        <v>2220</v>
      </c>
      <c r="O114" s="2991"/>
    </row>
    <row r="115" spans="2:15" hidden="1">
      <c r="B115" s="1">
        <v>2</v>
      </c>
      <c r="C115" s="1">
        <v>3</v>
      </c>
      <c r="F115" s="1345" t="str">
        <f>IF(F113=$S$15,"",IF(ROUNDDOWN(F113,0)=$S$11,$U$11,$T$11))</f>
        <v/>
      </c>
      <c r="G115" s="988" t="s">
        <v>2221</v>
      </c>
      <c r="H115" s="1368"/>
      <c r="I115" s="1368"/>
      <c r="J115" s="1368"/>
      <c r="K115" s="1368"/>
      <c r="L115" s="1368"/>
      <c r="M115" s="1368"/>
      <c r="N115" s="2992"/>
      <c r="O115" s="2993"/>
    </row>
    <row r="116" spans="2:15" hidden="1">
      <c r="B116" s="1">
        <v>3</v>
      </c>
      <c r="C116" s="1">
        <v>3</v>
      </c>
      <c r="F116" s="1345" t="str">
        <f>IF(F113=$S$15,"",IF(ROUNDDOWN(F113,0)=$S$12,$U$12,$T$12))</f>
        <v/>
      </c>
      <c r="G116" s="988" t="s">
        <v>2379</v>
      </c>
      <c r="H116" s="1368"/>
      <c r="I116" s="1368"/>
      <c r="J116" s="1368"/>
      <c r="K116" s="1368"/>
      <c r="L116" s="1368"/>
      <c r="M116" s="1368"/>
      <c r="N116" s="2992"/>
      <c r="O116" s="2993"/>
    </row>
    <row r="117" spans="2:15" hidden="1">
      <c r="B117" s="1">
        <v>4</v>
      </c>
      <c r="C117" s="1">
        <v>4</v>
      </c>
      <c r="F117" s="1345" t="str">
        <f>IF(F113=$S$15,"",IF(ROUNDDOWN(F113,0)=$S$13,$U$13,$T$13))</f>
        <v/>
      </c>
      <c r="G117" s="988" t="s">
        <v>2222</v>
      </c>
      <c r="H117" s="1368"/>
      <c r="I117" s="1368"/>
      <c r="J117" s="1368"/>
      <c r="K117" s="1368"/>
      <c r="L117" s="1368"/>
      <c r="M117" s="1368"/>
      <c r="N117" s="2992"/>
      <c r="O117" s="2993"/>
    </row>
    <row r="118" spans="2:15" hidden="1">
      <c r="B118" s="1">
        <v>5</v>
      </c>
      <c r="C118" s="1">
        <v>5</v>
      </c>
      <c r="F118" s="1346" t="str">
        <f>IF(F113=$S$15,"",IF(ROUNDDOWN(F113,0)=$S$14,$U$14,$T$14))</f>
        <v/>
      </c>
      <c r="G118" s="999" t="s">
        <v>2223</v>
      </c>
      <c r="H118" s="1000"/>
      <c r="I118" s="1000"/>
      <c r="J118" s="1000"/>
      <c r="K118" s="1000"/>
      <c r="L118" s="1000"/>
      <c r="M118" s="1000"/>
      <c r="N118" s="2994"/>
      <c r="O118" s="2995"/>
    </row>
    <row r="119" spans="2:15" hidden="1">
      <c r="B119" s="1002">
        <v>0</v>
      </c>
      <c r="C119" s="1002">
        <v>0</v>
      </c>
    </row>
    <row r="120" spans="2:15" ht="14.25" hidden="1">
      <c r="F120" s="958" t="s">
        <v>2380</v>
      </c>
      <c r="H120" s="950" t="s">
        <v>1354</v>
      </c>
      <c r="I120" s="950"/>
    </row>
    <row r="121" spans="2:15" hidden="1">
      <c r="I121" s="950"/>
    </row>
    <row r="122" spans="2:15" ht="14.25" hidden="1">
      <c r="F122" s="958" t="s">
        <v>2381</v>
      </c>
      <c r="H122" s="950" t="s">
        <v>1354</v>
      </c>
      <c r="I122" s="950"/>
    </row>
    <row r="123" spans="2:15"/>
    <row r="124" spans="2:15" ht="15.75">
      <c r="D124" s="949">
        <v>4</v>
      </c>
      <c r="E124" s="958" t="s">
        <v>2578</v>
      </c>
      <c r="F124" s="958"/>
      <c r="G124" s="959"/>
      <c r="H124" s="959"/>
      <c r="I124" s="959"/>
      <c r="J124" s="959"/>
      <c r="K124" s="959"/>
      <c r="L124" s="959"/>
      <c r="M124" s="959"/>
      <c r="N124" s="959"/>
      <c r="O124" s="959"/>
    </row>
    <row r="125" spans="2:15" ht="15.75">
      <c r="D125" s="949">
        <v>4.0999999999999996</v>
      </c>
      <c r="E125" s="958" t="s">
        <v>1000</v>
      </c>
      <c r="F125" s="958"/>
      <c r="J125" s="1041" t="str">
        <f>IF(OR(F127=0,AND(J126=0,O126=0)),$R$3,"")</f>
        <v/>
      </c>
    </row>
    <row r="126" spans="2:15" ht="15" thickBot="1">
      <c r="D126" s="2284"/>
      <c r="E126" s="1152"/>
      <c r="F126" s="1102"/>
      <c r="G126" s="966"/>
      <c r="H126" s="967"/>
      <c r="I126" s="968" t="s">
        <v>1358</v>
      </c>
      <c r="J126" s="969">
        <f>重み!M135</f>
        <v>0.41379310344827586</v>
      </c>
      <c r="K126" s="1102"/>
      <c r="L126" s="966"/>
      <c r="M126" s="967"/>
      <c r="N126" s="968" t="s">
        <v>1358</v>
      </c>
      <c r="O126" s="971">
        <f>重み!M138</f>
        <v>8.6206896551724144E-2</v>
      </c>
    </row>
    <row r="127" spans="2:15" ht="26.25" customHeight="1" thickBot="1">
      <c r="D127" s="953"/>
      <c r="E127" s="950"/>
      <c r="F127" s="972">
        <v>3</v>
      </c>
      <c r="G127" s="2103" t="s">
        <v>2579</v>
      </c>
      <c r="H127" s="1373"/>
      <c r="I127" s="1373"/>
      <c r="J127" s="1373"/>
      <c r="K127" s="972">
        <v>3</v>
      </c>
      <c r="L127" s="976" t="s">
        <v>1893</v>
      </c>
      <c r="M127" s="977"/>
      <c r="N127" s="977"/>
      <c r="O127" s="978"/>
    </row>
    <row r="128" spans="2:15" ht="26.25" customHeight="1">
      <c r="B128" s="1">
        <v>1</v>
      </c>
      <c r="C128" s="1" t="s">
        <v>2845</v>
      </c>
      <c r="D128" s="953"/>
      <c r="E128" s="950"/>
      <c r="F128" s="979" t="str">
        <f>IF(F127=$S$15,$T$10,IF(ROUNDDOWN(F127,0)=$S$10,$U$10,$T$10))</f>
        <v>　レベル　1</v>
      </c>
      <c r="G128" s="1187" t="s">
        <v>3254</v>
      </c>
      <c r="H128" s="2082"/>
      <c r="I128" s="2082"/>
      <c r="J128" s="2082"/>
      <c r="K128" s="979" t="str">
        <f>IF(K127=$S$15,$T$10,IF(ROUNDDOWN(K127,0)=$S$10,$U$10,$T$10))</f>
        <v>　レベル　1</v>
      </c>
      <c r="L128" s="2083" t="s">
        <v>1811</v>
      </c>
      <c r="M128" s="2091"/>
      <c r="N128" s="2091"/>
      <c r="O128" s="2092"/>
    </row>
    <row r="129" spans="2:15" ht="26.25" customHeight="1">
      <c r="B129" s="1" t="s">
        <v>2845</v>
      </c>
      <c r="C129" s="1" t="s">
        <v>2845</v>
      </c>
      <c r="D129" s="953"/>
      <c r="E129" s="950"/>
      <c r="F129" s="1126" t="str">
        <f>IF(F127=$S$15,$T$11,IF(ROUNDDOWN(F127,0)=$S$11,$U$11,$T$11))</f>
        <v>　レベル　2</v>
      </c>
      <c r="G129" s="1190" t="s">
        <v>1811</v>
      </c>
      <c r="H129" s="1368"/>
      <c r="I129" s="1368"/>
      <c r="J129" s="1368"/>
      <c r="K129" s="1126" t="str">
        <f>IF(K127=$S$15,$T$11,IF(ROUNDDOWN(K127,0)=$S$11,$U$11,$T$11))</f>
        <v>　レベル　2</v>
      </c>
      <c r="L129" s="1190" t="s">
        <v>1811</v>
      </c>
      <c r="M129" s="1191"/>
      <c r="N129" s="1191"/>
      <c r="O129" s="1192"/>
    </row>
    <row r="130" spans="2:15" ht="28.5" customHeight="1">
      <c r="B130" s="1">
        <v>3</v>
      </c>
      <c r="C130" s="1">
        <v>3</v>
      </c>
      <c r="D130" s="953"/>
      <c r="E130" s="950"/>
      <c r="F130" s="1126" t="str">
        <f>IF(F127=$S$15,$T$12,IF(ROUNDDOWN(F127,0)=$S$12,$U$12,$T$12))</f>
        <v>■レベル　3</v>
      </c>
      <c r="G130" s="2758" t="s">
        <v>3255</v>
      </c>
      <c r="H130" s="3035"/>
      <c r="I130" s="3035"/>
      <c r="J130" s="3037"/>
      <c r="K130" s="1126" t="str">
        <f>IF(K127=$S$15,$T$12,IF(ROUNDDOWN(K127,0)=$S$12,$U$12,$T$12))</f>
        <v>■レベル　3</v>
      </c>
      <c r="L130" s="1190" t="s">
        <v>202</v>
      </c>
      <c r="M130" s="1191"/>
      <c r="N130" s="1191"/>
      <c r="O130" s="1192"/>
    </row>
    <row r="131" spans="2:15" ht="33.75" customHeight="1">
      <c r="B131" s="1">
        <v>4</v>
      </c>
      <c r="C131" s="1">
        <v>4</v>
      </c>
      <c r="D131" s="953"/>
      <c r="E131" s="950"/>
      <c r="F131" s="1126" t="str">
        <f>IF(F127=$S$15,$T$13,IF(ROUNDDOWN(F127,0)=$S$13,$U$13,$T$13))</f>
        <v>　レベル　4</v>
      </c>
      <c r="G131" s="2758" t="s">
        <v>3256</v>
      </c>
      <c r="H131" s="3035"/>
      <c r="I131" s="3035"/>
      <c r="J131" s="3037"/>
      <c r="K131" s="1126" t="str">
        <f>IF(K127=$S$15,$T$13,IF(ROUNDDOWN(K127,0)=$S$13,$U$13,$T$13))</f>
        <v>　レベル　4</v>
      </c>
      <c r="L131" s="2093" t="s">
        <v>203</v>
      </c>
      <c r="M131" s="2094"/>
      <c r="N131" s="2094"/>
      <c r="O131" s="2095"/>
    </row>
    <row r="132" spans="2:15" ht="33.75" customHeight="1">
      <c r="B132" s="1">
        <v>5</v>
      </c>
      <c r="C132" s="1">
        <v>5</v>
      </c>
      <c r="D132" s="953"/>
      <c r="E132" s="950"/>
      <c r="F132" s="995" t="str">
        <f>IF(F127=$S$15,$T$14,IF(ROUNDDOWN(F127,0)=$S$14,$U$14,$T$14))</f>
        <v>　レベル　5</v>
      </c>
      <c r="G132" s="2856" t="s">
        <v>3257</v>
      </c>
      <c r="H132" s="2725"/>
      <c r="I132" s="2725"/>
      <c r="J132" s="2726"/>
      <c r="K132" s="995" t="str">
        <f>IF(K127=$S$15,$T$14,IF(ROUNDDOWN(K127,0)=$S$14,$U$14,$T$14))</f>
        <v>　レベル　5</v>
      </c>
      <c r="L132" s="2856" t="s">
        <v>204</v>
      </c>
      <c r="M132" s="2725"/>
      <c r="N132" s="2725"/>
      <c r="O132" s="2726"/>
    </row>
    <row r="133" spans="2:15" ht="15.75">
      <c r="B133" s="1002">
        <v>0</v>
      </c>
      <c r="C133" s="1002">
        <v>0</v>
      </c>
      <c r="D133" s="953"/>
      <c r="E133" s="950"/>
      <c r="F133" s="537"/>
      <c r="G133" s="537" t="s">
        <v>1001</v>
      </c>
      <c r="H133" s="537"/>
      <c r="I133" s="537"/>
      <c r="J133" s="537"/>
      <c r="K133" s="537"/>
      <c r="L133" s="537"/>
      <c r="M133" s="537"/>
      <c r="N133" s="537"/>
      <c r="O133" s="537"/>
    </row>
    <row r="134" spans="2:15" ht="15.75">
      <c r="D134" s="953"/>
      <c r="E134" s="950"/>
      <c r="F134" s="537"/>
      <c r="G134" s="537" t="s">
        <v>1002</v>
      </c>
      <c r="H134" s="537"/>
      <c r="I134" s="537"/>
      <c r="J134" s="537"/>
      <c r="K134" s="537"/>
      <c r="L134" s="537"/>
      <c r="M134" s="537"/>
      <c r="N134" s="537"/>
      <c r="O134" s="537"/>
    </row>
    <row r="135" spans="2:15" ht="18.75" customHeight="1">
      <c r="D135" s="953"/>
      <c r="E135" s="950"/>
      <c r="F135" s="537" t="s">
        <v>2849</v>
      </c>
      <c r="G135" s="537"/>
      <c r="H135" s="537"/>
      <c r="I135" s="537"/>
      <c r="J135" s="537"/>
      <c r="K135" s="537"/>
      <c r="L135" s="537"/>
      <c r="M135" s="537"/>
      <c r="N135" s="537"/>
      <c r="O135" s="537"/>
    </row>
    <row r="136" spans="2:15" ht="16.5" customHeight="1">
      <c r="D136" s="953"/>
      <c r="E136" s="950"/>
      <c r="F136" s="2996" t="s">
        <v>2850</v>
      </c>
      <c r="G136" s="2997"/>
      <c r="H136" s="1374" t="s">
        <v>2851</v>
      </c>
      <c r="I136" s="1375"/>
      <c r="J136" s="1374" t="s">
        <v>2852</v>
      </c>
      <c r="K136" s="1375"/>
      <c r="L136" s="1375"/>
      <c r="M136" s="1376"/>
      <c r="N136" s="1377" t="s">
        <v>2853</v>
      </c>
      <c r="O136" s="1378"/>
    </row>
    <row r="137" spans="2:15" ht="16.5" customHeight="1">
      <c r="D137" s="953"/>
      <c r="E137" s="950"/>
      <c r="F137" s="2998">
        <v>1</v>
      </c>
      <c r="G137" s="2998" t="s">
        <v>2854</v>
      </c>
      <c r="H137" s="1380" t="s">
        <v>2855</v>
      </c>
      <c r="I137" s="1381"/>
      <c r="J137" s="1380" t="s">
        <v>426</v>
      </c>
      <c r="K137" s="1381"/>
      <c r="L137" s="1381"/>
      <c r="M137" s="1382"/>
      <c r="N137" s="1380"/>
      <c r="O137" s="1382"/>
    </row>
    <row r="138" spans="2:15" ht="16.5" customHeight="1">
      <c r="D138" s="953"/>
      <c r="E138" s="950"/>
      <c r="F138" s="2998"/>
      <c r="G138" s="2998"/>
      <c r="H138" s="1380" t="s">
        <v>2857</v>
      </c>
      <c r="I138" s="1381"/>
      <c r="J138" s="1380" t="s">
        <v>2858</v>
      </c>
      <c r="K138" s="1381"/>
      <c r="L138" s="1381"/>
      <c r="M138" s="1382"/>
      <c r="N138" s="1380" t="s">
        <v>2859</v>
      </c>
      <c r="O138" s="1382"/>
    </row>
    <row r="139" spans="2:15" ht="16.5" customHeight="1">
      <c r="D139" s="953"/>
      <c r="E139" s="950"/>
      <c r="F139" s="2998"/>
      <c r="G139" s="2998"/>
      <c r="H139" s="1380" t="s">
        <v>2860</v>
      </c>
      <c r="I139" s="1381"/>
      <c r="J139" s="1380" t="s">
        <v>2690</v>
      </c>
      <c r="K139" s="1381"/>
      <c r="L139" s="1381"/>
      <c r="M139" s="1382"/>
      <c r="N139" s="1380"/>
      <c r="O139" s="1382"/>
    </row>
    <row r="140" spans="2:15" ht="16.5" customHeight="1">
      <c r="D140" s="953"/>
      <c r="E140" s="950"/>
      <c r="F140" s="2999">
        <v>2</v>
      </c>
      <c r="G140" s="2999" t="s">
        <v>1265</v>
      </c>
      <c r="H140" s="1380" t="s">
        <v>2691</v>
      </c>
      <c r="I140" s="1381"/>
      <c r="J140" s="1380" t="s">
        <v>2692</v>
      </c>
      <c r="K140" s="1381"/>
      <c r="L140" s="1381"/>
      <c r="M140" s="1382"/>
      <c r="N140" s="1380"/>
      <c r="O140" s="1382"/>
    </row>
    <row r="141" spans="2:15" ht="16.5" customHeight="1">
      <c r="D141" s="953"/>
      <c r="E141" s="950"/>
      <c r="F141" s="3000"/>
      <c r="G141" s="3000"/>
      <c r="H141" s="1380" t="s">
        <v>2693</v>
      </c>
      <c r="I141" s="1381"/>
      <c r="J141" s="1380" t="s">
        <v>2694</v>
      </c>
      <c r="K141" s="1381"/>
      <c r="L141" s="1381"/>
      <c r="M141" s="1382"/>
      <c r="N141" s="1380"/>
      <c r="O141" s="1382"/>
    </row>
    <row r="142" spans="2:15" ht="16.5" customHeight="1">
      <c r="D142" s="953"/>
      <c r="E142" s="950"/>
      <c r="F142" s="3000"/>
      <c r="G142" s="3000"/>
      <c r="H142" s="1380" t="s">
        <v>189</v>
      </c>
      <c r="I142" s="1381"/>
      <c r="J142" s="1380" t="s">
        <v>2694</v>
      </c>
      <c r="K142" s="1381"/>
      <c r="L142" s="1381"/>
      <c r="M142" s="1382"/>
      <c r="N142" s="1380"/>
      <c r="O142" s="1382"/>
    </row>
    <row r="143" spans="2:15" ht="16.5" customHeight="1">
      <c r="D143" s="953"/>
      <c r="E143" s="950"/>
      <c r="F143" s="3001"/>
      <c r="G143" s="3001"/>
      <c r="H143" s="1380" t="s">
        <v>1673</v>
      </c>
      <c r="I143" s="1381"/>
      <c r="J143" s="1380" t="s">
        <v>1674</v>
      </c>
      <c r="K143" s="1381"/>
      <c r="L143" s="1381"/>
      <c r="M143" s="1382"/>
      <c r="N143" s="1380"/>
      <c r="O143" s="1382"/>
    </row>
    <row r="144" spans="2:15" ht="16.5" customHeight="1">
      <c r="D144" s="953"/>
      <c r="E144" s="950"/>
      <c r="F144" s="1379">
        <v>3</v>
      </c>
      <c r="G144" s="1379" t="s">
        <v>1266</v>
      </c>
      <c r="H144" s="1380" t="s">
        <v>1675</v>
      </c>
      <c r="I144" s="1381"/>
      <c r="J144" s="1380"/>
      <c r="K144" s="1381"/>
      <c r="L144" s="1381"/>
      <c r="M144" s="1382"/>
      <c r="N144" s="1380"/>
      <c r="O144" s="1382"/>
    </row>
    <row r="145" spans="2:15" ht="16.5" customHeight="1">
      <c r="D145" s="953"/>
      <c r="E145" s="950"/>
      <c r="F145" s="1379">
        <v>4</v>
      </c>
      <c r="G145" s="1379" t="s">
        <v>1267</v>
      </c>
      <c r="H145" s="1380" t="s">
        <v>1676</v>
      </c>
      <c r="I145" s="1381"/>
      <c r="J145" s="1380" t="s">
        <v>1677</v>
      </c>
      <c r="K145" s="1381"/>
      <c r="L145" s="1381"/>
      <c r="M145" s="1382"/>
      <c r="N145" s="1380"/>
      <c r="O145" s="1382"/>
    </row>
    <row r="146" spans="2:15" ht="16.5" customHeight="1">
      <c r="D146" s="953"/>
      <c r="E146" s="950"/>
      <c r="F146" s="2998">
        <v>5</v>
      </c>
      <c r="G146" s="2998" t="s">
        <v>1268</v>
      </c>
      <c r="H146" s="1380" t="s">
        <v>2855</v>
      </c>
      <c r="I146" s="1381"/>
      <c r="J146" s="1380" t="s">
        <v>2856</v>
      </c>
      <c r="K146" s="1381"/>
      <c r="L146" s="1381"/>
      <c r="M146" s="1382"/>
      <c r="N146" s="1380"/>
      <c r="O146" s="1382"/>
    </row>
    <row r="147" spans="2:15" ht="16.5" customHeight="1">
      <c r="D147" s="953"/>
      <c r="E147" s="950"/>
      <c r="F147" s="2998"/>
      <c r="G147" s="2998"/>
      <c r="H147" s="1380" t="s">
        <v>2857</v>
      </c>
      <c r="I147" s="1381"/>
      <c r="J147" s="1380" t="s">
        <v>2858</v>
      </c>
      <c r="K147" s="1381"/>
      <c r="L147" s="1381"/>
      <c r="M147" s="1382"/>
      <c r="N147" s="1380"/>
      <c r="O147" s="1382"/>
    </row>
    <row r="148" spans="2:15" ht="16.5" customHeight="1">
      <c r="D148" s="953"/>
      <c r="E148" s="950"/>
      <c r="F148" s="2998"/>
      <c r="G148" s="2998"/>
      <c r="H148" s="1380" t="s">
        <v>2860</v>
      </c>
      <c r="I148" s="1381"/>
      <c r="J148" s="1380" t="s">
        <v>2690</v>
      </c>
      <c r="K148" s="1381"/>
      <c r="L148" s="1381"/>
      <c r="M148" s="1382"/>
      <c r="N148" s="1380"/>
      <c r="O148" s="1382"/>
    </row>
    <row r="149" spans="2:15" ht="16.5" customHeight="1">
      <c r="D149" s="953"/>
      <c r="E149" s="950"/>
      <c r="F149" s="1379">
        <v>6</v>
      </c>
      <c r="G149" s="1379" t="s">
        <v>427</v>
      </c>
      <c r="H149" s="1380" t="s">
        <v>428</v>
      </c>
      <c r="I149" s="1381"/>
      <c r="J149" s="1380" t="s">
        <v>429</v>
      </c>
      <c r="K149" s="1381"/>
      <c r="L149" s="1381"/>
      <c r="M149" s="1382"/>
      <c r="N149" s="1380"/>
      <c r="O149" s="1382"/>
    </row>
    <row r="150" spans="2:15" ht="16.5" customHeight="1">
      <c r="D150" s="953"/>
      <c r="E150" s="950"/>
      <c r="F150" s="2998">
        <v>7</v>
      </c>
      <c r="G150" s="2998" t="s">
        <v>1678</v>
      </c>
      <c r="H150" s="1380" t="s">
        <v>430</v>
      </c>
      <c r="I150" s="1381"/>
      <c r="J150" s="1380" t="s">
        <v>431</v>
      </c>
      <c r="K150" s="1381"/>
      <c r="L150" s="1381"/>
      <c r="M150" s="1382"/>
      <c r="N150" s="1380"/>
      <c r="O150" s="1382"/>
    </row>
    <row r="151" spans="2:15" ht="16.5" customHeight="1">
      <c r="D151" s="953"/>
      <c r="E151" s="950"/>
      <c r="F151" s="2998"/>
      <c r="G151" s="2998"/>
      <c r="H151" s="1380" t="s">
        <v>1679</v>
      </c>
      <c r="I151" s="1381"/>
      <c r="J151" s="1380" t="s">
        <v>432</v>
      </c>
      <c r="K151" s="1381"/>
      <c r="L151" s="1381"/>
      <c r="M151" s="1382"/>
      <c r="N151" s="1380"/>
      <c r="O151" s="1382"/>
    </row>
    <row r="152" spans="2:15" ht="16.5" customHeight="1">
      <c r="D152" s="953"/>
      <c r="E152" s="950"/>
      <c r="F152" s="2998"/>
      <c r="G152" s="2998"/>
      <c r="H152" s="1380" t="s">
        <v>1680</v>
      </c>
      <c r="I152" s="1381"/>
      <c r="J152" s="1380" t="s">
        <v>3258</v>
      </c>
      <c r="K152" s="1381"/>
      <c r="L152" s="1381"/>
      <c r="M152" s="1382"/>
      <c r="N152" s="1380"/>
      <c r="O152" s="1382"/>
    </row>
    <row r="153" spans="2:15" ht="16.5" customHeight="1">
      <c r="D153" s="953"/>
      <c r="E153" s="950"/>
      <c r="F153" s="3002"/>
      <c r="G153" s="3002"/>
      <c r="H153" s="1380" t="s">
        <v>355</v>
      </c>
      <c r="I153" s="1381"/>
      <c r="J153" s="1380" t="s">
        <v>433</v>
      </c>
      <c r="K153" s="1381"/>
      <c r="L153" s="1381"/>
      <c r="M153" s="1382"/>
      <c r="N153" s="1380"/>
      <c r="O153" s="1382"/>
    </row>
    <row r="154" spans="2:15" ht="18" customHeight="1">
      <c r="D154" s="953"/>
      <c r="E154" s="537"/>
      <c r="F154" s="537"/>
      <c r="G154" s="537" t="s">
        <v>744</v>
      </c>
      <c r="H154" s="537"/>
      <c r="I154" s="537"/>
      <c r="J154" s="537"/>
      <c r="K154" s="537"/>
      <c r="L154" s="537"/>
      <c r="M154" s="537"/>
      <c r="N154" s="537"/>
      <c r="O154" s="537"/>
    </row>
    <row r="155" spans="2:15" ht="18" customHeight="1">
      <c r="D155" s="949">
        <v>4.2</v>
      </c>
      <c r="E155" s="958" t="s">
        <v>1006</v>
      </c>
      <c r="F155" s="1582"/>
      <c r="J155" s="1041" t="str">
        <f>IF(OR(F157=0,AND(J156=0,O156=0)),$R$3,"")</f>
        <v/>
      </c>
      <c r="K155" s="1582"/>
      <c r="L155" s="2088"/>
      <c r="M155" s="2087"/>
      <c r="N155" s="2087"/>
      <c r="O155" s="1041"/>
    </row>
    <row r="156" spans="2:15" ht="15" thickBot="1">
      <c r="D156" s="2284"/>
      <c r="E156" s="1152"/>
      <c r="F156" s="1102"/>
      <c r="G156" s="966"/>
      <c r="H156" s="967"/>
      <c r="I156" s="968" t="s">
        <v>1358</v>
      </c>
      <c r="J156" s="969">
        <f>重み!M136</f>
        <v>0.41379310344827586</v>
      </c>
      <c r="K156" s="1102"/>
      <c r="L156" s="966"/>
      <c r="M156" s="967"/>
      <c r="N156" s="968" t="s">
        <v>1358</v>
      </c>
      <c r="O156" s="971">
        <f>重み!M139</f>
        <v>8.6206896551724144E-2</v>
      </c>
    </row>
    <row r="157" spans="2:15" ht="25.5" customHeight="1" thickBot="1">
      <c r="D157" s="953"/>
      <c r="E157" s="950"/>
      <c r="F157" s="972">
        <v>3</v>
      </c>
      <c r="G157" s="1058" t="s">
        <v>2579</v>
      </c>
      <c r="H157" s="1058"/>
      <c r="I157" s="1058"/>
      <c r="J157" s="1058"/>
      <c r="K157" s="972">
        <v>3</v>
      </c>
      <c r="L157" s="976" t="s">
        <v>1893</v>
      </c>
      <c r="M157" s="977"/>
      <c r="N157" s="977"/>
      <c r="O157" s="978"/>
    </row>
    <row r="158" spans="2:15" ht="25.5" customHeight="1">
      <c r="B158" s="1" t="s">
        <v>3259</v>
      </c>
      <c r="C158" s="1">
        <v>1</v>
      </c>
      <c r="D158" s="953"/>
      <c r="E158" s="950"/>
      <c r="F158" s="984" t="str">
        <f>IF(F157=$S$15,$T$10,IF(AND($O$3=$U$3,ROUNDDOWN(F157,0)=$S$10),$U$10,$T$10))</f>
        <v>　レベル　1</v>
      </c>
      <c r="G158" s="1190" t="s">
        <v>1811</v>
      </c>
      <c r="H158" s="1368"/>
      <c r="I158" s="1368"/>
      <c r="J158" s="1368"/>
      <c r="K158" s="979" t="str">
        <f>IF(K157=$S$15,$T$10,IF(ROUNDDOWN(K157,0)=$S$10,$U$10,$T$10))</f>
        <v>　レベル　1</v>
      </c>
      <c r="L158" s="2083" t="s">
        <v>1598</v>
      </c>
      <c r="M158" s="2091"/>
      <c r="N158" s="2091"/>
      <c r="O158" s="2092"/>
    </row>
    <row r="159" spans="2:15" ht="25.5" customHeight="1">
      <c r="B159" s="1">
        <v>2</v>
      </c>
      <c r="C159" s="1">
        <v>2</v>
      </c>
      <c r="D159" s="953"/>
      <c r="E159" s="950"/>
      <c r="F159" s="984" t="str">
        <f>IF(F157=$S$15,$T$11,IF(AND($O$3=$U$3,ROUNDDOWN(F157,0)=$S$11),$U$11,$T$11))</f>
        <v>　レベル　2</v>
      </c>
      <c r="G159" s="1190" t="s">
        <v>3260</v>
      </c>
      <c r="H159" s="1368"/>
      <c r="I159" s="1368"/>
      <c r="J159" s="1368"/>
      <c r="K159" s="1126" t="str">
        <f>IF(K157=$S$15,$T$11,IF(ROUNDDOWN(K157,0)=$S$11,$U$11,$T$11))</f>
        <v>　レベル　2</v>
      </c>
      <c r="L159" s="1190" t="s">
        <v>1811</v>
      </c>
      <c r="M159" s="1191"/>
      <c r="N159" s="1191"/>
      <c r="O159" s="1192"/>
    </row>
    <row r="160" spans="2:15" ht="25.5" customHeight="1">
      <c r="B160" s="1">
        <v>3</v>
      </c>
      <c r="C160" s="1">
        <v>3</v>
      </c>
      <c r="D160" s="953"/>
      <c r="E160" s="950"/>
      <c r="F160" s="984" t="str">
        <f>IF(F157=$S$15,$T$12,IF(AND($O$3=$U$3,ROUNDDOWN(F157,0)=$S$12),$U$12,$T$12))</f>
        <v>　レベル　3</v>
      </c>
      <c r="G160" s="1190" t="s">
        <v>3261</v>
      </c>
      <c r="H160" s="1368"/>
      <c r="I160" s="1368"/>
      <c r="J160" s="1368"/>
      <c r="K160" s="1126" t="str">
        <f>IF(K157=$S$15,$T$12,IF(ROUNDDOWN(K157,0)=$S$12,$U$12,$T$12))</f>
        <v>■レベル　3</v>
      </c>
      <c r="L160" s="1190" t="s">
        <v>1599</v>
      </c>
      <c r="M160" s="1191"/>
      <c r="N160" s="1191"/>
      <c r="O160" s="1192"/>
    </row>
    <row r="161" spans="2:15" ht="33" customHeight="1">
      <c r="B161" s="1">
        <v>4</v>
      </c>
      <c r="C161" s="1">
        <v>4</v>
      </c>
      <c r="D161" s="953"/>
      <c r="E161" s="950"/>
      <c r="F161" s="984" t="str">
        <f>IF(F157=$S$15,$T$13,IF(AND($O$3=$U$3,ROUNDDOWN(F157,0)=$S$13),$U$13,$T$13))</f>
        <v>　レベル　4</v>
      </c>
      <c r="G161" s="2854" t="s">
        <v>3262</v>
      </c>
      <c r="H161" s="2744"/>
      <c r="I161" s="2744"/>
      <c r="J161" s="2745"/>
      <c r="K161" s="1126" t="str">
        <f>IF(K157=$S$15,$T$13,IF(ROUNDDOWN(K157,0)=$S$13,$U$13,$T$13))</f>
        <v>　レベル　4</v>
      </c>
      <c r="L161" s="2854" t="s">
        <v>1600</v>
      </c>
      <c r="M161" s="2744"/>
      <c r="N161" s="2744"/>
      <c r="O161" s="2745"/>
    </row>
    <row r="162" spans="2:15" ht="57" customHeight="1">
      <c r="B162" s="1">
        <v>5</v>
      </c>
      <c r="C162" s="1">
        <v>5</v>
      </c>
      <c r="D162" s="953"/>
      <c r="E162" s="950"/>
      <c r="F162" s="995" t="str">
        <f>IF(F157=$S$15,$T$14,IF(AND($O$3=$U$3,ROUNDDOWN(F157,0)=$S$14),$U$14,$T$14))</f>
        <v>　レベル　5</v>
      </c>
      <c r="G162" s="2856" t="s">
        <v>3263</v>
      </c>
      <c r="H162" s="2725"/>
      <c r="I162" s="2725"/>
      <c r="J162" s="2726"/>
      <c r="K162" s="995" t="str">
        <f>IF(K157=$S$15,$T$14,IF(ROUNDDOWN(K157,0)=$S$14,$U$14,$T$14))</f>
        <v>　レベル　5</v>
      </c>
      <c r="L162" s="2856" t="s">
        <v>1601</v>
      </c>
      <c r="M162" s="2725"/>
      <c r="N162" s="2725"/>
      <c r="O162" s="2726"/>
    </row>
    <row r="163" spans="2:15" ht="9.75" customHeight="1">
      <c r="B163" s="1002">
        <v>0</v>
      </c>
      <c r="C163" s="1002">
        <v>0</v>
      </c>
      <c r="D163" s="953"/>
    </row>
    <row r="164" spans="2:15" ht="14.25">
      <c r="E164" s="2086"/>
      <c r="K164" s="1582"/>
      <c r="L164" s="2090"/>
      <c r="M164" s="2099"/>
      <c r="N164" s="2099"/>
      <c r="O164" s="1041"/>
    </row>
    <row r="165" spans="2:15" ht="14.25">
      <c r="E165" s="2089"/>
    </row>
    <row r="166" spans="2:15" ht="15.75">
      <c r="D166" s="953"/>
      <c r="E166" s="2089"/>
    </row>
    <row r="167" spans="2:15" ht="15.75">
      <c r="B167" s="1">
        <v>1</v>
      </c>
      <c r="C167" s="1" t="s">
        <v>2167</v>
      </c>
      <c r="D167" s="953"/>
      <c r="E167" s="2089"/>
    </row>
    <row r="168" spans="2:15" ht="15.75">
      <c r="B168" s="1" t="s">
        <v>2167</v>
      </c>
      <c r="C168" s="1" t="s">
        <v>2167</v>
      </c>
      <c r="D168" s="953"/>
      <c r="E168" s="2089"/>
    </row>
    <row r="169" spans="2:15" ht="15.75">
      <c r="B169" s="1">
        <v>3</v>
      </c>
      <c r="C169" s="1">
        <v>3</v>
      </c>
      <c r="D169" s="953"/>
      <c r="E169" s="2089"/>
    </row>
    <row r="170" spans="2:15" ht="27" customHeight="1">
      <c r="B170" s="1">
        <v>4</v>
      </c>
      <c r="C170" s="1">
        <v>4</v>
      </c>
      <c r="D170" s="953"/>
      <c r="E170" s="2089"/>
    </row>
    <row r="171" spans="2:15" ht="34.5" customHeight="1">
      <c r="B171" s="1">
        <v>5</v>
      </c>
      <c r="C171" s="1">
        <v>5</v>
      </c>
      <c r="D171" s="953"/>
      <c r="E171" s="2089"/>
    </row>
    <row r="172" spans="2:15" ht="15.75">
      <c r="B172" s="1002">
        <v>0</v>
      </c>
      <c r="C172" s="1002">
        <v>0</v>
      </c>
      <c r="D172" s="953"/>
      <c r="E172" s="2096"/>
      <c r="F172" s="2097"/>
      <c r="G172" s="2097"/>
      <c r="H172" s="2098"/>
      <c r="I172" s="2098"/>
      <c r="J172" s="2098"/>
      <c r="K172" s="2098"/>
      <c r="L172" s="2098"/>
      <c r="M172" s="2098"/>
      <c r="N172" s="2098"/>
      <c r="O172" s="2098"/>
    </row>
    <row r="303"/>
    <row r="304"/>
  </sheetData>
  <sheetProtection algorithmName="SHA-512" hashValue="5S6dbU1UExVmJC3QtVIx9P2NEAIWciINC8rb/gaNl3fZ0/pRgPx5SbD+QJltegm3r4rG3VVE2HTblVr0n6glrg==" saltValue="fxRS2qcrb47CTnCHJmHiwg==" spinCount="100000" sheet="1" objects="1" scenarios="1"/>
  <mergeCells count="57">
    <mergeCell ref="F16:F18"/>
    <mergeCell ref="H26:K26"/>
    <mergeCell ref="H27:K27"/>
    <mergeCell ref="G16:G18"/>
    <mergeCell ref="F146:F148"/>
    <mergeCell ref="G146:G148"/>
    <mergeCell ref="H28:K28"/>
    <mergeCell ref="H30:K30"/>
    <mergeCell ref="G132:J132"/>
    <mergeCell ref="G130:J130"/>
    <mergeCell ref="G131:J131"/>
    <mergeCell ref="H51:J51"/>
    <mergeCell ref="G65:G66"/>
    <mergeCell ref="F65:F66"/>
    <mergeCell ref="H50:J50"/>
    <mergeCell ref="H67:I71"/>
    <mergeCell ref="G12:H12"/>
    <mergeCell ref="I12:J12"/>
    <mergeCell ref="K12:L12"/>
    <mergeCell ref="G13:H13"/>
    <mergeCell ref="G14:H14"/>
    <mergeCell ref="I14:J14"/>
    <mergeCell ref="I13:J13"/>
    <mergeCell ref="K13:L13"/>
    <mergeCell ref="K14:L14"/>
    <mergeCell ref="N38:O42"/>
    <mergeCell ref="H29:K29"/>
    <mergeCell ref="M50:O50"/>
    <mergeCell ref="M51:O51"/>
    <mergeCell ref="J67:K71"/>
    <mergeCell ref="L79:N79"/>
    <mergeCell ref="I58:O58"/>
    <mergeCell ref="I59:O59"/>
    <mergeCell ref="I57:O57"/>
    <mergeCell ref="L78:N78"/>
    <mergeCell ref="H75:I79"/>
    <mergeCell ref="I9:J9"/>
    <mergeCell ref="K9:L9"/>
    <mergeCell ref="M10:O10"/>
    <mergeCell ref="M11:O11"/>
    <mergeCell ref="M12:O12"/>
    <mergeCell ref="G162:J162"/>
    <mergeCell ref="M13:O13"/>
    <mergeCell ref="M14:O14"/>
    <mergeCell ref="L162:O162"/>
    <mergeCell ref="L132:O132"/>
    <mergeCell ref="N114:O118"/>
    <mergeCell ref="F136:G136"/>
    <mergeCell ref="F137:F139"/>
    <mergeCell ref="G137:G139"/>
    <mergeCell ref="F140:F143"/>
    <mergeCell ref="G140:G143"/>
    <mergeCell ref="F150:F153"/>
    <mergeCell ref="L161:O161"/>
    <mergeCell ref="G150:G153"/>
    <mergeCell ref="G161:J161"/>
    <mergeCell ref="N103:O107"/>
  </mergeCells>
  <phoneticPr fontId="21"/>
  <conditionalFormatting sqref="F8 F102 F113 F127 F157">
    <cfRule type="expression" dxfId="70" priority="4" stopIfTrue="1">
      <formula>AND(OR(F8&lt;1,F8&gt;5),F8&lt;&gt;0)</formula>
    </cfRule>
    <cfRule type="expression" dxfId="69" priority="5" stopIfTrue="1">
      <formula>$J7&gt;0</formula>
    </cfRule>
  </conditionalFormatting>
  <conditionalFormatting sqref="F16">
    <cfRule type="cellIs" dxfId="68" priority="14" stopIfTrue="1" operator="equal">
      <formula>#REF!</formula>
    </cfRule>
    <cfRule type="cellIs" dxfId="67" priority="15" stopIfTrue="1" operator="equal">
      <formula>#REF!</formula>
    </cfRule>
    <cfRule type="cellIs" dxfId="66" priority="16" stopIfTrue="1" operator="equal">
      <formula>#REF!</formula>
    </cfRule>
  </conditionalFormatting>
  <conditionalFormatting sqref="F32">
    <cfRule type="expression" dxfId="65" priority="2" stopIfTrue="1">
      <formula>AND(OR(F32&lt;1,F32&gt;5),F32&lt;&gt;#REF!)</formula>
    </cfRule>
    <cfRule type="expression" dxfId="64" priority="3" stopIfTrue="1">
      <formula>AND($J$15&gt;0,G32=$T$4)</formula>
    </cfRule>
  </conditionalFormatting>
  <conditionalFormatting sqref="G32">
    <cfRule type="expression" dxfId="63" priority="13" stopIfTrue="1">
      <formula>AND($J$15&gt;0)</formula>
    </cfRule>
  </conditionalFormatting>
  <conditionalFormatting sqref="H57:H60">
    <cfRule type="expression" dxfId="62" priority="17" stopIfTrue="1">
      <formula>AND($J$47&gt;0,$J$46&gt;0.001)</formula>
    </cfRule>
  </conditionalFormatting>
  <conditionalFormatting sqref="I54">
    <cfRule type="expression" dxfId="61" priority="12" stopIfTrue="1">
      <formula>$J$47&gt;0</formula>
    </cfRule>
  </conditionalFormatting>
  <conditionalFormatting sqref="K56">
    <cfRule type="expression" dxfId="60" priority="1" stopIfTrue="1">
      <formula>$J47&gt;0</formula>
    </cfRule>
  </conditionalFormatting>
  <conditionalFormatting sqref="K74">
    <cfRule type="expression" dxfId="59" priority="8" stopIfTrue="1">
      <formula>AND(OR(K74&lt;1,K74&gt;5),K74&lt;&gt;#REF!)</formula>
    </cfRule>
    <cfRule type="expression" dxfId="58" priority="9" stopIfTrue="1">
      <formula>#REF!&gt;0</formula>
    </cfRule>
  </conditionalFormatting>
  <conditionalFormatting sqref="K127">
    <cfRule type="expression" dxfId="57" priority="10" stopIfTrue="1">
      <formula>AND(OR(K127&lt;1,K127&gt;5),K127&lt;&gt;0)</formula>
    </cfRule>
    <cfRule type="expression" dxfId="56" priority="11" stopIfTrue="1">
      <formula>$O$126</formula>
    </cfRule>
  </conditionalFormatting>
  <conditionalFormatting sqref="K157">
    <cfRule type="expression" dxfId="55" priority="34" stopIfTrue="1">
      <formula>AND(OR(K157&lt;1,K157&gt;5),K157&lt;&gt;0)</formula>
    </cfRule>
    <cfRule type="expression" dxfId="54" priority="35" stopIfTrue="1">
      <formula>$O156&gt;0</formula>
    </cfRule>
  </conditionalFormatting>
  <conditionalFormatting sqref="L47">
    <cfRule type="expression" dxfId="53" priority="6" stopIfTrue="1">
      <formula>AND(OR(L47&lt;1,L47&gt;5),L47&lt;&gt;0)</formula>
    </cfRule>
    <cfRule type="expression" dxfId="52" priority="7" stopIfTrue="1">
      <formula>O47&gt;0</formula>
    </cfRule>
  </conditionalFormatting>
  <dataValidations xWindow="404" yWindow="579" count="10">
    <dataValidation type="list" allowBlank="1" showInputMessage="1" sqref="F8 F113 F102 F157" xr:uid="{00000000-0002-0000-0900-000000000000}">
      <formula1>$B9:$B14</formula1>
    </dataValidation>
    <dataValidation type="list" allowBlank="1" showInputMessage="1" sqref="F127" xr:uid="{00000000-0002-0000-0900-000001000000}">
      <formula1>$B$128:$B$133</formula1>
    </dataValidation>
    <dataValidation allowBlank="1" showInputMessage="1" sqref="K74 I44 I54" xr:uid="{00000000-0002-0000-0900-000002000000}"/>
    <dataValidation type="list" allowBlank="1" showInputMessage="1" sqref="K127" xr:uid="{00000000-0002-0000-0900-000003000000}">
      <formula1>$C$128:$C$132</formula1>
    </dataValidation>
    <dataValidation type="list" allowBlank="1" showInputMessage="1" showErrorMessage="1" sqref="G32" xr:uid="{00000000-0002-0000-0900-000004000000}">
      <formula1>$T$3:$T$4</formula1>
    </dataValidation>
    <dataValidation type="decimal" allowBlank="1" showInputMessage="1" showErrorMessage="1" sqref="F32" xr:uid="{00000000-0002-0000-0900-000005000000}">
      <formula1>0</formula1>
      <formula2>5</formula2>
    </dataValidation>
    <dataValidation type="list" allowBlank="1" showInputMessage="1" sqref="L47" xr:uid="{00000000-0002-0000-0900-000006000000}">
      <formula1>$C$48:$C$52</formula1>
    </dataValidation>
    <dataValidation type="list" allowBlank="1" showInputMessage="1" showErrorMessage="1" sqref="H57:H60" xr:uid="{00000000-0002-0000-0900-000007000000}">
      <formula1>"○,　"</formula1>
    </dataValidation>
    <dataValidation type="list" allowBlank="1" showInputMessage="1" sqref="K157" xr:uid="{00000000-0002-0000-0900-000008000000}">
      <formula1>$B167:$B172</formula1>
    </dataValidation>
    <dataValidation type="list" allowBlank="1" showInputMessage="1" sqref="K56" xr:uid="{00000000-0002-0000-0900-000009000000}">
      <formula1>$B$56:$B$57</formula1>
    </dataValidation>
  </dataValidations>
  <printOptions horizontalCentered="1"/>
  <pageMargins left="0.59055118110236227" right="0.59055118110236227" top="0.78740157480314965" bottom="0.59055118110236227" header="0.51181102362204722" footer="0.51181102362204722"/>
  <pageSetup paperSize="9" scale="68" fitToHeight="7" orientation="portrait" verticalDpi="4294967293" r:id="rId1"/>
  <headerFooter alignWithMargins="0">
    <oddHeader>&amp;L&amp;F&amp;R&amp;A</oddHeader>
    <oddFooter>&amp;C&amp;P/&amp;N</oddFooter>
  </headerFooter>
  <rowBreaks count="2" manualBreakCount="2">
    <brk id="61" min="2" max="15" man="1"/>
    <brk id="123" min="2" max="15" man="1"/>
  </rowBreaks>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pageSetUpPr fitToPage="1"/>
  </sheetPr>
  <dimension ref="A1:AC138"/>
  <sheetViews>
    <sheetView showGridLines="0" zoomScaleNormal="100" zoomScaleSheetLayoutView="100" workbookViewId="0">
      <selection activeCell="H9" sqref="H9"/>
    </sheetView>
  </sheetViews>
  <sheetFormatPr defaultColWidth="0" defaultRowHeight="13.5" zeroHeight="1"/>
  <cols>
    <col min="1" max="2" width="1.375" customWidth="1"/>
    <col min="3" max="3" width="2.125" customWidth="1"/>
    <col min="4" max="4" width="2.5" customWidth="1"/>
    <col min="5" max="8" width="9.5" customWidth="1"/>
    <col min="9" max="9" width="11.375" customWidth="1"/>
    <col min="10" max="13" width="9.5" customWidth="1"/>
    <col min="14" max="14" width="10.75" customWidth="1"/>
    <col min="15" max="15" width="3.25" customWidth="1"/>
    <col min="16" max="16" width="9.5" customWidth="1"/>
    <col min="17" max="17" width="10.75" customWidth="1"/>
    <col min="18" max="18" width="1" customWidth="1"/>
    <col min="19" max="19" width="26.875" hidden="1" customWidth="1"/>
    <col min="20" max="20" width="23.5" hidden="1" customWidth="1"/>
    <col min="21" max="21" width="23.25" hidden="1" customWidth="1"/>
    <col min="22" max="23" width="9.125" hidden="1" customWidth="1"/>
    <col min="24" max="24" width="13.875" hidden="1" customWidth="1"/>
    <col min="25" max="25" width="12.75" hidden="1" customWidth="1"/>
    <col min="26" max="26" width="6.75" hidden="1" customWidth="1"/>
    <col min="27" max="27" width="10.375" hidden="1" customWidth="1"/>
    <col min="28" max="28" width="13.875" hidden="1" customWidth="1"/>
    <col min="29" max="29" width="12.75" hidden="1" customWidth="1"/>
    <col min="30" max="16384" width="9" hidden="1"/>
  </cols>
  <sheetData>
    <row r="1" spans="2:28" ht="9.75" customHeight="1" thickBot="1"/>
    <row r="2" spans="2:28" ht="25.5" customHeight="1">
      <c r="B2" s="2030"/>
      <c r="C2" s="2031" t="s">
        <v>2171</v>
      </c>
      <c r="D2" s="2032"/>
      <c r="E2" s="2032"/>
      <c r="F2" s="2033"/>
      <c r="G2" s="2033"/>
      <c r="H2" s="2034"/>
      <c r="I2" s="2032"/>
      <c r="J2" s="2032"/>
      <c r="K2" s="2032"/>
      <c r="L2" s="2032"/>
      <c r="M2" s="2035" t="s">
        <v>2697</v>
      </c>
      <c r="N2" s="2036" t="str">
        <f>メイン!C11</f>
        <v>○○ビル</v>
      </c>
      <c r="O2" s="2036"/>
      <c r="P2" s="2037"/>
      <c r="Q2" s="2038"/>
    </row>
    <row r="3" spans="2:28">
      <c r="B3" s="2042"/>
      <c r="C3" s="47"/>
      <c r="D3" s="47"/>
      <c r="E3" s="47"/>
      <c r="F3" s="47"/>
      <c r="G3" s="47"/>
      <c r="H3" s="47"/>
      <c r="I3" s="47"/>
      <c r="J3" s="47"/>
      <c r="K3" s="47"/>
      <c r="L3" s="47"/>
      <c r="M3" s="47"/>
      <c r="N3" s="47"/>
      <c r="O3" s="47"/>
      <c r="P3" s="47"/>
      <c r="Q3" s="2197"/>
    </row>
    <row r="4" spans="2:28">
      <c r="B4" s="2042"/>
      <c r="C4" s="47"/>
      <c r="D4" s="47"/>
      <c r="E4" s="47"/>
      <c r="F4" s="47"/>
      <c r="G4" s="47"/>
      <c r="H4" s="2046"/>
      <c r="I4" s="47"/>
      <c r="J4" s="47"/>
      <c r="K4" s="47"/>
      <c r="L4" s="47"/>
      <c r="M4" s="47"/>
      <c r="N4" s="47"/>
      <c r="O4" s="47"/>
      <c r="P4" s="47"/>
      <c r="Q4" s="2197"/>
    </row>
    <row r="5" spans="2:28" ht="14.25" thickBot="1">
      <c r="B5" s="2042"/>
      <c r="C5" s="2198" t="s">
        <v>373</v>
      </c>
      <c r="D5" s="2039" t="s">
        <v>3398</v>
      </c>
      <c r="E5" s="47"/>
      <c r="F5" s="47"/>
      <c r="G5" s="47"/>
      <c r="H5" s="47"/>
      <c r="I5" s="47"/>
      <c r="J5" s="47"/>
      <c r="K5" s="47"/>
      <c r="L5" s="47"/>
      <c r="M5" s="47"/>
      <c r="N5" s="47"/>
      <c r="O5" s="47"/>
      <c r="P5" s="47"/>
      <c r="Q5" s="2197"/>
      <c r="U5" s="2251">
        <f>IF($H$6&lt;=V10,U11,IF($H$6&lt;=V9,U10,IF($H$6&lt;=V8,U9,IF($H$6&lt;=V7,U8,1))))</f>
        <v>5</v>
      </c>
      <c r="W5">
        <f>VLOOKUP($U$5,U7:X11,3)</f>
        <v>-10.000000000000002</v>
      </c>
      <c r="X5">
        <f>VLOOKUP($U$5,U7:X11,4)</f>
        <v>13.000000000000002</v>
      </c>
      <c r="Y5" s="2251">
        <f>IF($H$6&lt;=Z10,Y11,IF($H$6&lt;=Z9,Y10,IF($H$6&lt;=Z8,Y9,IF($H$6&lt;=Z7,Y8,1))))</f>
        <v>5</v>
      </c>
      <c r="AA5">
        <f>VLOOKUP($Y$5,Y7:AB11,3)</f>
        <v>-12.499999999999989</v>
      </c>
      <c r="AB5">
        <f>VLOOKUP($Y$5,Y7:AB11,4)</f>
        <v>15.624999999999991</v>
      </c>
    </row>
    <row r="6" spans="2:28" ht="14.25" thickBot="1">
      <c r="B6" s="2042"/>
      <c r="C6" s="47"/>
      <c r="D6" s="2039"/>
      <c r="E6" s="2039" t="s">
        <v>126</v>
      </c>
      <c r="F6" s="2039"/>
      <c r="G6" s="2213" t="s">
        <v>3399</v>
      </c>
      <c r="H6" s="2551"/>
      <c r="I6" s="47"/>
      <c r="J6" s="2552">
        <f>メイン!F12</f>
        <v>0</v>
      </c>
      <c r="K6" s="47"/>
      <c r="L6" s="2553" t="s">
        <v>3400</v>
      </c>
      <c r="M6" s="2554">
        <f>IF(H6="",1,IF(H6&lt;=V11,U11,IF(H6&gt;=V7,U7,H6*W5+X5)))</f>
        <v>1</v>
      </c>
      <c r="N6" s="47"/>
      <c r="O6" s="47"/>
      <c r="P6" s="47"/>
      <c r="Q6" s="2197"/>
      <c r="T6" t="s">
        <v>2952</v>
      </c>
      <c r="U6" s="1" t="s">
        <v>374</v>
      </c>
      <c r="V6" s="1" t="s">
        <v>2493</v>
      </c>
      <c r="W6" t="s">
        <v>2777</v>
      </c>
      <c r="X6" t="s">
        <v>2778</v>
      </c>
      <c r="Y6" s="1" t="s">
        <v>374</v>
      </c>
      <c r="Z6" s="1" t="s">
        <v>3401</v>
      </c>
      <c r="AA6" t="s">
        <v>2777</v>
      </c>
      <c r="AB6" t="s">
        <v>2778</v>
      </c>
    </row>
    <row r="7" spans="2:28">
      <c r="B7" s="2042"/>
      <c r="C7" s="47"/>
      <c r="D7" s="47"/>
      <c r="E7" s="47"/>
      <c r="F7" s="47"/>
      <c r="G7" s="47"/>
      <c r="H7" s="47"/>
      <c r="I7" s="47"/>
      <c r="J7" s="47"/>
      <c r="K7" s="47"/>
      <c r="L7" s="2553" t="s">
        <v>3402</v>
      </c>
      <c r="M7" s="2554">
        <f>IF(H6="",1,IF(H6&lt;=Z11,Y11,IF(H6&gt;=Z7,Y7,H6*AA5+AB5)))</f>
        <v>1</v>
      </c>
      <c r="N7" s="47"/>
      <c r="O7" s="2555"/>
      <c r="P7" s="47"/>
      <c r="Q7" s="2556"/>
      <c r="T7" t="s">
        <v>2861</v>
      </c>
      <c r="U7" s="1">
        <v>1</v>
      </c>
      <c r="V7" s="1">
        <v>1.03</v>
      </c>
      <c r="W7" s="2251">
        <v>0</v>
      </c>
      <c r="X7" s="2251">
        <v>1</v>
      </c>
      <c r="Y7" s="1">
        <v>1</v>
      </c>
      <c r="Z7" s="1">
        <v>1.03</v>
      </c>
      <c r="AA7" s="2251">
        <v>0</v>
      </c>
      <c r="AB7" s="2251">
        <v>1</v>
      </c>
    </row>
    <row r="8" spans="2:28" ht="7.5" customHeight="1" thickBot="1">
      <c r="B8" s="2042"/>
      <c r="C8" s="47"/>
      <c r="D8" s="47"/>
      <c r="E8" s="47"/>
      <c r="F8" s="47"/>
      <c r="G8" s="47"/>
      <c r="H8" s="47"/>
      <c r="I8" s="47"/>
      <c r="J8" s="2200"/>
      <c r="K8" s="47"/>
      <c r="L8" s="47"/>
      <c r="M8" s="47"/>
      <c r="N8" s="47"/>
      <c r="O8" s="47"/>
      <c r="P8" s="47"/>
      <c r="Q8" s="2197"/>
      <c r="T8" t="s">
        <v>2862</v>
      </c>
      <c r="U8" s="1">
        <v>2</v>
      </c>
      <c r="V8" s="1">
        <v>1</v>
      </c>
      <c r="W8">
        <f>(U8-U7)/(V8-V7)</f>
        <v>-33.3333333333333</v>
      </c>
      <c r="X8">
        <f>U8-W8*V8</f>
        <v>35.3333333333333</v>
      </c>
      <c r="Y8" s="1">
        <v>2</v>
      </c>
      <c r="Z8" s="1">
        <v>1</v>
      </c>
      <c r="AA8">
        <f>(Y8-Y7)/(Z8-Z7)</f>
        <v>-33.3333333333333</v>
      </c>
      <c r="AB8">
        <f>Y8-AA8*Z8</f>
        <v>35.3333333333333</v>
      </c>
    </row>
    <row r="9" spans="2:28" ht="14.25" thickBot="1">
      <c r="B9" s="2042"/>
      <c r="C9" s="47"/>
      <c r="D9" s="47"/>
      <c r="E9" s="2039" t="s">
        <v>3403</v>
      </c>
      <c r="F9" s="47"/>
      <c r="G9" s="2106" t="s">
        <v>650</v>
      </c>
      <c r="H9" s="2557" t="s">
        <v>3409</v>
      </c>
      <c r="I9" s="47" t="s">
        <v>3404</v>
      </c>
      <c r="J9" s="47"/>
      <c r="K9" s="47"/>
      <c r="L9" s="47"/>
      <c r="M9" s="47"/>
      <c r="N9" s="47"/>
      <c r="O9" s="47"/>
      <c r="P9" s="47"/>
      <c r="Q9" s="2197"/>
      <c r="T9" t="s">
        <v>2779</v>
      </c>
      <c r="U9" s="1">
        <v>3</v>
      </c>
      <c r="V9" s="1">
        <v>0.97</v>
      </c>
      <c r="W9">
        <f>(U9-U8)/(V9-V8)</f>
        <v>-33.3333333333333</v>
      </c>
      <c r="X9">
        <f>U9-W9*V9</f>
        <v>35.3333333333333</v>
      </c>
      <c r="Y9" s="1">
        <v>3</v>
      </c>
      <c r="Z9" s="1">
        <v>0.97</v>
      </c>
      <c r="AA9">
        <f>(Y9-Y8)/(Z9-Z8)</f>
        <v>-33.3333333333333</v>
      </c>
      <c r="AB9">
        <f>Y9-AA9*Z9</f>
        <v>35.3333333333333</v>
      </c>
    </row>
    <row r="10" spans="2:28" ht="22.5" customHeight="1">
      <c r="B10" s="2042"/>
      <c r="C10" s="47"/>
      <c r="D10" s="2553"/>
      <c r="E10" s="2558" t="s">
        <v>3405</v>
      </c>
      <c r="F10" s="3047" t="s">
        <v>3406</v>
      </c>
      <c r="G10" s="3047"/>
      <c r="H10" s="3047"/>
      <c r="I10" s="3047"/>
      <c r="J10" s="3047"/>
      <c r="K10" s="3047"/>
      <c r="L10" s="3047"/>
      <c r="M10" s="3047"/>
      <c r="N10" s="3047"/>
      <c r="O10" s="3047"/>
      <c r="P10" s="3047"/>
      <c r="Q10" s="2197"/>
      <c r="T10" t="s">
        <v>2863</v>
      </c>
      <c r="U10" s="1">
        <v>4</v>
      </c>
      <c r="V10" s="1">
        <v>0.9</v>
      </c>
      <c r="W10">
        <f>(U10-U9)/(V10-V9)</f>
        <v>-14.285714285714295</v>
      </c>
      <c r="X10">
        <f>U10-W10*V10</f>
        <v>16.857142857142868</v>
      </c>
      <c r="Y10" s="1">
        <v>4</v>
      </c>
      <c r="Z10" s="1">
        <v>0.93</v>
      </c>
      <c r="AA10">
        <f>(Y10-Y9)/(Z10-Z9)</f>
        <v>-25.000000000000046</v>
      </c>
      <c r="AB10">
        <f>Y10-AA10*Z10</f>
        <v>27.250000000000043</v>
      </c>
    </row>
    <row r="11" spans="2:28">
      <c r="B11" s="2042"/>
      <c r="C11" s="47"/>
      <c r="D11" s="2559"/>
      <c r="E11" s="2558" t="s">
        <v>3407</v>
      </c>
      <c r="F11" s="1027" t="s">
        <v>3408</v>
      </c>
      <c r="G11" s="1027"/>
      <c r="H11" s="1027"/>
      <c r="I11" s="1027"/>
      <c r="J11" s="1027"/>
      <c r="K11" s="1027"/>
      <c r="L11" s="1027"/>
      <c r="M11" s="1027"/>
      <c r="N11" s="1027"/>
      <c r="O11" s="1027"/>
      <c r="P11" s="1027"/>
      <c r="Q11" s="2197"/>
      <c r="T11" t="s">
        <v>3409</v>
      </c>
      <c r="U11" s="1">
        <v>5</v>
      </c>
      <c r="V11" s="1">
        <v>0.8</v>
      </c>
      <c r="W11">
        <f>(U11-U10)/(V11-V10)</f>
        <v>-10.000000000000002</v>
      </c>
      <c r="X11">
        <f>U11-W11*V11</f>
        <v>13.000000000000002</v>
      </c>
      <c r="Y11" s="1">
        <v>5</v>
      </c>
      <c r="Z11" s="1">
        <v>0.85</v>
      </c>
      <c r="AA11">
        <f>(Y11-Y10)/(Z11-Z10)</f>
        <v>-12.499999999999989</v>
      </c>
      <c r="AB11">
        <f>Y11-AA11*Z11</f>
        <v>15.624999999999991</v>
      </c>
    </row>
    <row r="12" spans="2:28" ht="55.5" customHeight="1">
      <c r="B12" s="2042"/>
      <c r="C12" s="47"/>
      <c r="D12" s="47"/>
      <c r="E12" s="1032"/>
      <c r="F12" s="2558" t="s">
        <v>3400</v>
      </c>
      <c r="G12" s="3047" t="s">
        <v>3410</v>
      </c>
      <c r="H12" s="3047"/>
      <c r="I12" s="3047"/>
      <c r="J12" s="3047"/>
      <c r="K12" s="3047"/>
      <c r="L12" s="3047"/>
      <c r="M12" s="3047"/>
      <c r="N12" s="3047"/>
      <c r="O12" s="3047"/>
      <c r="P12" s="3047"/>
      <c r="Q12" s="2197"/>
      <c r="T12" t="s">
        <v>2864</v>
      </c>
    </row>
    <row r="13" spans="2:28" ht="20.25" customHeight="1">
      <c r="B13" s="2042"/>
      <c r="C13" s="47"/>
      <c r="D13" s="47"/>
      <c r="E13" s="1032"/>
      <c r="F13" s="2558" t="s">
        <v>3402</v>
      </c>
      <c r="G13" s="2560" t="s">
        <v>3411</v>
      </c>
      <c r="H13" s="1032"/>
      <c r="I13" s="1032"/>
      <c r="J13" s="1032"/>
      <c r="K13" s="1032"/>
      <c r="L13" s="1032"/>
      <c r="M13" s="1032"/>
      <c r="N13" s="1032"/>
      <c r="O13" s="2561"/>
      <c r="P13" s="1027"/>
      <c r="Q13" s="2197"/>
      <c r="T13" t="s">
        <v>3412</v>
      </c>
    </row>
    <row r="14" spans="2:28" ht="14.25" thickBot="1">
      <c r="B14" s="2042"/>
      <c r="C14" s="47"/>
      <c r="D14" s="47"/>
      <c r="E14" s="2039"/>
      <c r="F14" s="47"/>
      <c r="G14" s="1551" t="s">
        <v>3413</v>
      </c>
      <c r="H14" s="1551" t="s">
        <v>3414</v>
      </c>
      <c r="I14" s="47"/>
      <c r="J14" s="47"/>
      <c r="K14" s="47"/>
      <c r="L14" s="2562"/>
      <c r="M14" s="47"/>
      <c r="N14" s="47"/>
      <c r="O14" s="47"/>
      <c r="P14" s="47"/>
      <c r="Q14" s="2197"/>
    </row>
    <row r="15" spans="2:28" ht="14.25" thickBot="1">
      <c r="B15" s="2042"/>
      <c r="C15" s="47"/>
      <c r="D15" s="47"/>
      <c r="E15" s="2039"/>
      <c r="F15" s="2046" t="s">
        <v>126</v>
      </c>
      <c r="G15" s="2563"/>
      <c r="H15" s="2199">
        <f>IF(G15+G16=0,0,G15/(G15+G16))</f>
        <v>0</v>
      </c>
      <c r="I15" s="47"/>
      <c r="J15" s="2564">
        <f>IF(H6="",1,IF(J6=Z6,M7,M6))</f>
        <v>1</v>
      </c>
      <c r="K15" s="2565"/>
      <c r="L15" s="2562"/>
      <c r="M15" s="47"/>
      <c r="N15" s="47"/>
      <c r="O15" s="47"/>
      <c r="P15" s="47"/>
      <c r="Q15" s="2197"/>
    </row>
    <row r="16" spans="2:28" ht="14.25" thickBot="1">
      <c r="B16" s="2042"/>
      <c r="C16" s="47"/>
      <c r="D16" s="47"/>
      <c r="E16" s="2039"/>
      <c r="F16" s="2046" t="s">
        <v>3403</v>
      </c>
      <c r="G16" s="2614">
        <f>IF(H9=T6,0,メイン!C64)</f>
        <v>2500</v>
      </c>
      <c r="H16" s="2199">
        <f>IF(G15+G16=0,0,G16/(G15+G16))</f>
        <v>1</v>
      </c>
      <c r="I16" s="47"/>
      <c r="J16" s="2564">
        <f>IF(H9="",$T12,IF(H9=T11,U11,IF(H9=T10,U10,IF(H9=T9,U9,IF(H9=T8,U8,U7)))))</f>
        <v>5</v>
      </c>
      <c r="K16" s="47"/>
      <c r="L16" s="2562"/>
      <c r="M16" s="47"/>
      <c r="N16" s="47"/>
      <c r="O16" s="47"/>
      <c r="P16" s="47"/>
      <c r="Q16" s="2197"/>
    </row>
    <row r="17" spans="2:24" ht="6.75" customHeight="1" thickBot="1">
      <c r="B17" s="2042"/>
      <c r="C17" s="47"/>
      <c r="D17" s="47"/>
      <c r="E17" s="2039"/>
      <c r="F17" s="47"/>
      <c r="G17" s="47"/>
      <c r="H17" s="47"/>
      <c r="I17" s="47"/>
      <c r="J17" s="47"/>
      <c r="K17" s="47"/>
      <c r="L17" s="2562"/>
      <c r="M17" s="47"/>
      <c r="N17" s="47"/>
      <c r="O17" s="47"/>
      <c r="P17" s="47"/>
      <c r="Q17" s="2197"/>
    </row>
    <row r="18" spans="2:24" ht="14.25" thickBot="1">
      <c r="B18" s="2042"/>
      <c r="C18" s="47"/>
      <c r="D18" s="2039" t="s">
        <v>1077</v>
      </c>
      <c r="E18" s="2039"/>
      <c r="F18" s="47"/>
      <c r="G18" s="2046"/>
      <c r="H18" s="2564">
        <f>SUMPRODUCT(H15:H16,J15:J16)</f>
        <v>5</v>
      </c>
      <c r="I18" s="47"/>
      <c r="J18" s="47"/>
      <c r="K18" s="47"/>
      <c r="L18" s="47"/>
      <c r="M18" s="47"/>
      <c r="N18" s="47"/>
      <c r="O18" s="47"/>
      <c r="P18" s="47"/>
      <c r="Q18" s="2197"/>
    </row>
    <row r="19" spans="2:24">
      <c r="B19" s="2042"/>
      <c r="C19" s="47"/>
      <c r="D19" s="47"/>
      <c r="E19" s="47"/>
      <c r="F19" s="47"/>
      <c r="G19" s="47"/>
      <c r="H19" s="47"/>
      <c r="I19" s="47"/>
      <c r="J19" s="47"/>
      <c r="K19" s="47"/>
      <c r="L19" s="47"/>
      <c r="M19" s="47"/>
      <c r="N19" s="47"/>
      <c r="O19" s="47"/>
      <c r="P19" s="47"/>
      <c r="Q19" s="2197"/>
    </row>
    <row r="20" spans="2:24" ht="6" hidden="1" customHeight="1" thickBot="1">
      <c r="B20" s="2042"/>
      <c r="C20" s="47"/>
      <c r="D20" s="47"/>
      <c r="E20" s="47"/>
      <c r="F20" s="47"/>
      <c r="G20" s="47"/>
      <c r="H20" s="47"/>
      <c r="I20" s="47"/>
      <c r="J20" s="47"/>
      <c r="K20" s="47"/>
      <c r="L20" s="2562"/>
      <c r="M20" s="47"/>
      <c r="N20" s="47"/>
      <c r="O20" s="47"/>
      <c r="P20" s="47"/>
      <c r="Q20" s="2197"/>
    </row>
    <row r="21" spans="2:24">
      <c r="B21" s="2042"/>
      <c r="C21" s="2198" t="s">
        <v>3415</v>
      </c>
      <c r="D21" s="2039" t="s">
        <v>3416</v>
      </c>
      <c r="E21" s="47"/>
      <c r="F21" s="47"/>
      <c r="G21" s="47"/>
      <c r="H21" s="47"/>
      <c r="I21" s="47"/>
      <c r="J21" s="47"/>
      <c r="K21" s="47"/>
      <c r="L21" s="2562"/>
      <c r="M21" s="47"/>
      <c r="N21" s="47"/>
      <c r="O21" s="47"/>
      <c r="P21" s="47"/>
      <c r="Q21" s="2197"/>
    </row>
    <row r="22" spans="2:24" ht="5.25" customHeight="1" thickBot="1">
      <c r="B22" s="2042"/>
      <c r="C22" s="2198"/>
      <c r="D22" s="2039"/>
      <c r="E22" s="47"/>
      <c r="F22" s="47"/>
      <c r="G22" s="2565"/>
      <c r="H22" s="2039"/>
      <c r="I22" s="47"/>
      <c r="J22" s="47"/>
      <c r="K22" s="47"/>
      <c r="L22" s="2562"/>
      <c r="M22" s="47"/>
      <c r="N22" s="47"/>
      <c r="O22" s="47"/>
      <c r="P22" s="47"/>
      <c r="Q22" s="2041"/>
    </row>
    <row r="23" spans="2:24" ht="14.25" thickBot="1">
      <c r="B23" s="2042"/>
      <c r="C23" s="47"/>
      <c r="D23" s="2039" t="s">
        <v>3417</v>
      </c>
      <c r="E23" s="2039"/>
      <c r="F23" s="2039"/>
      <c r="G23" s="2213" t="s">
        <v>3418</v>
      </c>
      <c r="H23" s="2566"/>
      <c r="I23" s="47"/>
      <c r="J23" s="2564">
        <f>IF(H35=0,0,IF($H$23&lt;=V35,U35,IF(H23&gt;=V31,U31,H23*W29+X29)))</f>
        <v>5</v>
      </c>
      <c r="K23" s="2565" t="s">
        <v>3419</v>
      </c>
      <c r="L23" s="2562"/>
      <c r="M23" s="47"/>
      <c r="N23" s="47"/>
      <c r="O23" s="47"/>
      <c r="P23" s="47"/>
      <c r="Q23" s="2197"/>
    </row>
    <row r="24" spans="2:24" hidden="1">
      <c r="B24" s="2042"/>
      <c r="C24" s="47"/>
      <c r="D24" s="2039"/>
      <c r="E24" s="2567" t="s">
        <v>3420</v>
      </c>
      <c r="F24" s="2039"/>
      <c r="G24" s="2039"/>
      <c r="H24" s="2039"/>
      <c r="I24" s="2039"/>
      <c r="J24" s="2039"/>
      <c r="K24" s="2039"/>
      <c r="L24" s="2039"/>
      <c r="M24" s="47"/>
      <c r="N24" s="47"/>
      <c r="O24" s="47"/>
      <c r="P24" s="47"/>
      <c r="Q24" s="2197"/>
    </row>
    <row r="25" spans="2:24" hidden="1">
      <c r="B25" s="2042"/>
      <c r="C25" s="47"/>
      <c r="D25" s="2039"/>
      <c r="E25" s="2568" t="s">
        <v>3421</v>
      </c>
      <c r="F25" s="2039"/>
      <c r="G25" s="2039"/>
      <c r="H25" s="2039"/>
      <c r="I25" s="2039"/>
      <c r="J25" s="2039"/>
      <c r="K25" s="2039"/>
      <c r="L25" s="2039"/>
      <c r="M25" s="47"/>
      <c r="N25" s="47"/>
      <c r="O25" s="47"/>
      <c r="P25" s="47"/>
      <c r="Q25" s="2197"/>
    </row>
    <row r="26" spans="2:24" ht="3" customHeight="1" thickBot="1">
      <c r="B26" s="2042"/>
      <c r="C26" s="47"/>
      <c r="D26" s="2039"/>
      <c r="E26" s="2039"/>
      <c r="F26" s="2039"/>
      <c r="G26" s="2039"/>
      <c r="H26" s="2039"/>
      <c r="I26" s="2039"/>
      <c r="J26" s="2039"/>
      <c r="K26" s="2039"/>
      <c r="L26" s="2039"/>
      <c r="M26" s="47"/>
      <c r="N26" s="47"/>
      <c r="O26" s="47"/>
      <c r="P26" s="47"/>
      <c r="Q26" s="2197"/>
    </row>
    <row r="27" spans="2:24" ht="13.5" customHeight="1" thickBot="1">
      <c r="B27" s="2042"/>
      <c r="C27" s="47"/>
      <c r="D27" s="2039"/>
      <c r="E27" s="47" t="s">
        <v>3422</v>
      </c>
      <c r="F27" s="2039"/>
      <c r="G27" s="2046" t="s">
        <v>3418</v>
      </c>
      <c r="H27" s="2566"/>
      <c r="I27" s="47"/>
      <c r="J27" s="2565" t="s">
        <v>3423</v>
      </c>
      <c r="K27" s="2565"/>
      <c r="L27" s="2565"/>
      <c r="M27" s="2565"/>
      <c r="N27" s="2565"/>
      <c r="O27" s="2565"/>
      <c r="P27" s="2565"/>
      <c r="Q27" s="2197"/>
    </row>
    <row r="28" spans="2:24">
      <c r="B28" s="2042"/>
      <c r="C28" s="47"/>
      <c r="D28" s="2039"/>
      <c r="E28" s="47"/>
      <c r="F28" s="47"/>
      <c r="G28" s="47"/>
      <c r="H28" s="47"/>
      <c r="I28" s="47"/>
      <c r="J28" s="2565" t="s">
        <v>3424</v>
      </c>
      <c r="K28" s="47"/>
      <c r="L28" s="47"/>
      <c r="M28" s="47"/>
      <c r="N28" s="47"/>
      <c r="O28" s="2550"/>
      <c r="P28" s="2550"/>
      <c r="Q28" s="2197"/>
    </row>
    <row r="29" spans="2:24">
      <c r="B29" s="2042"/>
      <c r="C29" s="47"/>
      <c r="D29" s="2039"/>
      <c r="E29" s="47"/>
      <c r="F29" s="2039"/>
      <c r="G29" s="2047"/>
      <c r="H29" s="2569"/>
      <c r="I29" s="47"/>
      <c r="J29" s="2565" t="s">
        <v>3425</v>
      </c>
      <c r="K29" s="47"/>
      <c r="L29" s="2562"/>
      <c r="M29" s="47"/>
      <c r="N29" s="47"/>
      <c r="O29" s="47"/>
      <c r="P29" s="47"/>
      <c r="Q29" s="2197"/>
      <c r="U29" s="2570">
        <f>IF($H$23&lt;=V35,U35,IF($H$23&lt;=V34,U34,IF($H$23&lt;=V33,U33,IF($H$23&lt;=V32,U32,U31))))</f>
        <v>5</v>
      </c>
      <c r="W29">
        <f>VLOOKUP($U$29,U31:X35,3)</f>
        <v>0</v>
      </c>
      <c r="X29">
        <f>VLOOKUP($U$29,U31:X35,4)</f>
        <v>0</v>
      </c>
    </row>
    <row r="30" spans="2:24" ht="72.599999999999994" customHeight="1">
      <c r="B30" s="2042"/>
      <c r="C30" s="47"/>
      <c r="D30" s="2039"/>
      <c r="E30" s="3048" t="s">
        <v>3426</v>
      </c>
      <c r="F30" s="3048"/>
      <c r="G30" s="3048"/>
      <c r="H30" s="3048"/>
      <c r="I30" s="3048"/>
      <c r="J30" s="3048"/>
      <c r="K30" s="3048"/>
      <c r="L30" s="3048"/>
      <c r="M30" s="3048"/>
      <c r="N30" s="3048"/>
      <c r="O30" s="3048"/>
      <c r="P30" s="47"/>
      <c r="Q30" s="2197"/>
      <c r="U30" s="1" t="s">
        <v>374</v>
      </c>
      <c r="V30" s="1" t="s">
        <v>2346</v>
      </c>
      <c r="W30" t="s">
        <v>2777</v>
      </c>
      <c r="X30" t="s">
        <v>2778</v>
      </c>
    </row>
    <row r="31" spans="2:24">
      <c r="B31" s="2042"/>
      <c r="C31" s="47"/>
      <c r="D31" s="47" t="s">
        <v>3427</v>
      </c>
      <c r="E31" s="2047"/>
      <c r="F31" s="2046"/>
      <c r="G31" s="1551" t="s">
        <v>3413</v>
      </c>
      <c r="H31" s="1551" t="s">
        <v>3414</v>
      </c>
      <c r="I31" s="47"/>
      <c r="J31" s="907" t="s">
        <v>3428</v>
      </c>
      <c r="K31" s="2571" t="s">
        <v>3429</v>
      </c>
      <c r="L31" s="907" t="s">
        <v>1625</v>
      </c>
      <c r="M31" s="907" t="s">
        <v>3430</v>
      </c>
      <c r="N31" s="907" t="s">
        <v>1627</v>
      </c>
      <c r="O31" s="2039"/>
      <c r="P31" s="47"/>
      <c r="Q31" s="2197"/>
      <c r="U31" s="1">
        <v>1</v>
      </c>
      <c r="V31" s="2356">
        <f>J35</f>
        <v>1.1172413793103448</v>
      </c>
      <c r="W31">
        <f>(U32-U31)/(V32-V31)</f>
        <v>-9.9999999999999911</v>
      </c>
      <c r="X31">
        <f>U32-W31*V32</f>
        <v>12.172413793103438</v>
      </c>
    </row>
    <row r="32" spans="2:24">
      <c r="B32" s="2042"/>
      <c r="C32" s="47"/>
      <c r="D32" s="2039"/>
      <c r="E32" s="47"/>
      <c r="F32" s="2046" t="s">
        <v>3431</v>
      </c>
      <c r="G32" s="2572">
        <f>メイン!C47+メイン!C49+メイン!C60</f>
        <v>9000</v>
      </c>
      <c r="H32" s="2573">
        <f>IF($G$35=0,0,G32/$G$35)</f>
        <v>0.62068965517241381</v>
      </c>
      <c r="I32" s="47"/>
      <c r="J32" s="2574">
        <v>1.1000000000000001</v>
      </c>
      <c r="K32" s="2575">
        <v>1</v>
      </c>
      <c r="L32" s="2574">
        <v>0.8</v>
      </c>
      <c r="M32" s="2574">
        <v>0.7</v>
      </c>
      <c r="N32" s="2574">
        <v>0.6</v>
      </c>
      <c r="O32" s="2039"/>
      <c r="P32" s="47"/>
      <c r="Q32" s="2197"/>
      <c r="U32" s="1">
        <v>2</v>
      </c>
      <c r="V32" s="2356">
        <f>K35</f>
        <v>1.0172413793103448</v>
      </c>
      <c r="W32">
        <f>(U33-U32)/(V33-V32)</f>
        <v>-5.47169811320755</v>
      </c>
      <c r="X32">
        <f>U33-W32*V33</f>
        <v>7.5660377358490587</v>
      </c>
    </row>
    <row r="33" spans="2:24">
      <c r="B33" s="2042"/>
      <c r="C33" s="47"/>
      <c r="D33" s="2039"/>
      <c r="E33" s="47"/>
      <c r="F33" s="2046" t="s">
        <v>3432</v>
      </c>
      <c r="G33" s="2572">
        <f>メイン!C54+メイン!C56+メイン!C57+メイン!C61+メイン!C62</f>
        <v>3000</v>
      </c>
      <c r="H33" s="2573">
        <f>IF($G$35=0,0,G33/$G$35)</f>
        <v>0.20689655172413793</v>
      </c>
      <c r="I33" s="47"/>
      <c r="J33" s="2574">
        <v>1.1000000000000001</v>
      </c>
      <c r="K33" s="2575">
        <v>1</v>
      </c>
      <c r="L33" s="2574">
        <v>0.8</v>
      </c>
      <c r="M33" s="2574">
        <v>0.75</v>
      </c>
      <c r="N33" s="2574">
        <v>0.7</v>
      </c>
      <c r="O33" s="2039"/>
      <c r="P33" s="47"/>
      <c r="Q33" s="2197"/>
      <c r="U33" s="1">
        <v>3</v>
      </c>
      <c r="V33" s="2356">
        <f>L35</f>
        <v>0.83448275862068966</v>
      </c>
      <c r="W33">
        <f>(U34-U33)/(V34-V33)</f>
        <v>-11.153846153846146</v>
      </c>
      <c r="X33">
        <f>U34-W33*V34</f>
        <v>12.307692307692301</v>
      </c>
    </row>
    <row r="34" spans="2:24">
      <c r="B34" s="2042"/>
      <c r="C34" s="47"/>
      <c r="D34" s="2039"/>
      <c r="E34" s="47"/>
      <c r="F34" s="2046" t="s">
        <v>1893</v>
      </c>
      <c r="G34" s="2576">
        <f>メイン!C64</f>
        <v>2500</v>
      </c>
      <c r="H34" s="2573">
        <f>IF($G$35=0,0,G34/$G$35)</f>
        <v>0.17241379310344829</v>
      </c>
      <c r="I34" s="47"/>
      <c r="J34" s="2574">
        <v>1.2</v>
      </c>
      <c r="K34" s="2575">
        <v>1.1000000000000001</v>
      </c>
      <c r="L34" s="2574">
        <v>1</v>
      </c>
      <c r="M34" s="2574">
        <v>0.9</v>
      </c>
      <c r="N34" s="2574">
        <v>0.85</v>
      </c>
      <c r="O34" s="2039"/>
      <c r="P34" s="47"/>
      <c r="Q34" s="2197"/>
      <c r="U34" s="1">
        <v>4</v>
      </c>
      <c r="V34" s="2356">
        <f>M35</f>
        <v>0.74482758620689649</v>
      </c>
      <c r="W34">
        <f>(U35-U34)/(V35-V34)</f>
        <v>-12.340425531914912</v>
      </c>
      <c r="X34">
        <f>U35-W34*V35</f>
        <v>13.191489361702141</v>
      </c>
    </row>
    <row r="35" spans="2:24">
      <c r="B35" s="2042"/>
      <c r="C35" s="47"/>
      <c r="D35" s="2039"/>
      <c r="E35" s="47"/>
      <c r="F35" s="2213" t="s">
        <v>2346</v>
      </c>
      <c r="G35" s="2577">
        <f>SUM(G32:G34)</f>
        <v>14500</v>
      </c>
      <c r="H35" s="2577">
        <f>SUM(H32:H34)</f>
        <v>1</v>
      </c>
      <c r="I35" s="47"/>
      <c r="J35" s="2574">
        <f>SUMPRODUCT(J32:J34,$H$32:$H$34)</f>
        <v>1.1172413793103448</v>
      </c>
      <c r="K35" s="2575">
        <f>SUMPRODUCT(K32:K34,$H$32:$H$34)</f>
        <v>1.0172413793103448</v>
      </c>
      <c r="L35" s="2574">
        <f>SUMPRODUCT(L32:L34,$H$32:$H$34)</f>
        <v>0.83448275862068966</v>
      </c>
      <c r="M35" s="2574">
        <f>SUMPRODUCT(M32:M34,$H$32:$H$34)</f>
        <v>0.74482758620689649</v>
      </c>
      <c r="N35" s="2574">
        <f>SUMPRODUCT(N32:N34,$H$32:$H$34)</f>
        <v>0.66379310344827591</v>
      </c>
      <c r="O35" s="2039"/>
      <c r="P35" s="47"/>
      <c r="Q35" s="2197"/>
      <c r="U35" s="1">
        <v>5</v>
      </c>
      <c r="V35" s="2356">
        <f>N35</f>
        <v>0.66379310344827591</v>
      </c>
    </row>
    <row r="36" spans="2:24" ht="14.25" thickBot="1">
      <c r="B36" s="2042"/>
      <c r="C36" s="47"/>
      <c r="D36" s="47"/>
      <c r="E36" s="47"/>
      <c r="F36" s="2565"/>
      <c r="G36" s="2565"/>
      <c r="H36" s="2565"/>
      <c r="I36" s="47"/>
      <c r="J36" s="2578"/>
      <c r="K36" s="2565"/>
      <c r="L36" s="2565"/>
      <c r="M36" s="2565"/>
      <c r="N36" s="2565"/>
      <c r="O36" s="47"/>
      <c r="P36" s="47"/>
      <c r="Q36" s="2197"/>
    </row>
    <row r="37" spans="2:24" ht="14.25" thickBot="1">
      <c r="B37" s="2042"/>
      <c r="C37" s="47"/>
      <c r="D37" s="2039" t="s">
        <v>652</v>
      </c>
      <c r="E37" s="2039"/>
      <c r="F37" s="2039"/>
      <c r="G37" s="47"/>
      <c r="H37" s="2564">
        <f>IF(H23="",J77,J23)</f>
        <v>0</v>
      </c>
      <c r="I37" s="2579" t="s">
        <v>3433</v>
      </c>
      <c r="J37" s="2580">
        <f>IF(H37-1&lt;1,1,H37-1)</f>
        <v>1</v>
      </c>
      <c r="K37" s="2581" t="s">
        <v>3434</v>
      </c>
      <c r="L37" s="2582" t="e">
        <f>境界値!I51</f>
        <v>#N/A</v>
      </c>
      <c r="M37" s="2615" t="e">
        <f>IF(L37=1,"レベル上げる",IF(L37=-1,"レベル下げる","上下なし"))</f>
        <v>#N/A</v>
      </c>
      <c r="N37" s="2565"/>
      <c r="O37" s="2583" t="s">
        <v>3435</v>
      </c>
      <c r="P37" s="2580" t="e">
        <f>IF(境界値!I14&gt;=0.8,H37,IF(0.5*ROUNDDOWN(J37/0.5,0)+L37&lt;1,1,0.5*ROUNDDOWN(J37/0.5,0)+L37))</f>
        <v>#N/A</v>
      </c>
      <c r="Q37" s="2197"/>
    </row>
    <row r="38" spans="2:24">
      <c r="B38" s="2042"/>
      <c r="C38" s="47"/>
      <c r="D38" s="2039"/>
      <c r="E38" s="47"/>
      <c r="F38" s="2039"/>
      <c r="G38" s="47"/>
      <c r="H38" s="898"/>
      <c r="I38" s="47"/>
      <c r="J38" s="2039"/>
      <c r="K38" s="2039"/>
      <c r="L38" s="2039"/>
      <c r="M38" s="47"/>
      <c r="N38" s="47"/>
      <c r="O38" s="2039"/>
      <c r="P38" s="47"/>
      <c r="Q38" s="2197"/>
    </row>
    <row r="39" spans="2:24" ht="46.5" customHeight="1">
      <c r="B39" s="2042"/>
      <c r="C39" s="2198"/>
      <c r="D39" s="3048" t="s">
        <v>3436</v>
      </c>
      <c r="E39" s="3048"/>
      <c r="F39" s="3048"/>
      <c r="G39" s="3048"/>
      <c r="H39" s="3048"/>
      <c r="I39" s="3048"/>
      <c r="J39" s="3048"/>
      <c r="K39" s="3048"/>
      <c r="L39" s="3048"/>
      <c r="M39" s="3048"/>
      <c r="N39" s="3048"/>
      <c r="O39" s="3048"/>
      <c r="P39" s="47"/>
      <c r="Q39" s="2197"/>
    </row>
    <row r="40" spans="2:24" ht="14.25" thickBot="1">
      <c r="B40" s="2042"/>
      <c r="C40" s="47"/>
      <c r="D40" s="2039" t="s">
        <v>3437</v>
      </c>
      <c r="E40" s="47"/>
      <c r="F40" s="2039"/>
      <c r="G40" s="47"/>
      <c r="H40" s="47"/>
      <c r="I40" s="47"/>
      <c r="J40" s="47"/>
      <c r="K40" s="2039"/>
      <c r="L40" s="2039"/>
      <c r="M40" s="47"/>
      <c r="N40" s="47"/>
      <c r="O40" s="2039"/>
      <c r="P40" s="47"/>
      <c r="Q40" s="2197"/>
    </row>
    <row r="41" spans="2:24" ht="14.25" thickBot="1">
      <c r="B41" s="2042"/>
      <c r="C41" s="47"/>
      <c r="D41" s="2039"/>
      <c r="E41" s="47"/>
      <c r="F41" s="2039"/>
      <c r="G41" s="2213" t="s">
        <v>3438</v>
      </c>
      <c r="H41" s="2566"/>
      <c r="I41" s="2213"/>
      <c r="J41" s="2564" t="str">
        <f>IF(H41="",S41,IF(H41&lt;=V48,U48,IF(H41&gt;=V44,U44,H41*W42+X42)))</f>
        <v>BEI未入力</v>
      </c>
      <c r="K41" s="2565" t="s">
        <v>3439</v>
      </c>
      <c r="L41" s="2039"/>
      <c r="M41" s="47"/>
      <c r="N41" s="47"/>
      <c r="O41" s="2039"/>
      <c r="P41" s="47"/>
      <c r="Q41" s="2197"/>
      <c r="S41" t="s">
        <v>3440</v>
      </c>
    </row>
    <row r="42" spans="2:24">
      <c r="B42" s="2042"/>
      <c r="C42" s="47"/>
      <c r="D42" s="2039"/>
      <c r="E42" s="2047" t="s">
        <v>3441</v>
      </c>
      <c r="F42" s="2039"/>
      <c r="G42" s="47"/>
      <c r="H42" s="47"/>
      <c r="I42" s="47"/>
      <c r="J42" s="47"/>
      <c r="K42" s="2039"/>
      <c r="L42" s="2039"/>
      <c r="M42" s="47"/>
      <c r="N42" s="47"/>
      <c r="O42" s="2039"/>
      <c r="P42" s="47"/>
      <c r="Q42" s="2197"/>
      <c r="U42" s="2570" t="e">
        <f>IF($H$41&lt;=V48,U48,IF($H$41&lt;=V47,U47,IF($H$41&lt;=V46,U46,IF($H$41&lt;=V45,U45,U44))))</f>
        <v>#DIV/0!</v>
      </c>
      <c r="W42" t="e">
        <f>VLOOKUP($U$42,U44:X48,3)</f>
        <v>#DIV/0!</v>
      </c>
      <c r="X42" t="e">
        <f>VLOOKUP($U$42,U44:X48,4)</f>
        <v>#DIV/0!</v>
      </c>
    </row>
    <row r="43" spans="2:24">
      <c r="B43" s="2042"/>
      <c r="C43" s="47"/>
      <c r="D43" s="47"/>
      <c r="E43" s="2046"/>
      <c r="F43" s="1551" t="s">
        <v>3413</v>
      </c>
      <c r="G43" s="1551" t="s">
        <v>3442</v>
      </c>
      <c r="H43" s="1551" t="s">
        <v>3414</v>
      </c>
      <c r="I43" s="47"/>
      <c r="J43" s="907" t="s">
        <v>3428</v>
      </c>
      <c r="K43" s="2571" t="s">
        <v>3429</v>
      </c>
      <c r="L43" s="907" t="s">
        <v>1625</v>
      </c>
      <c r="M43" s="907" t="s">
        <v>1626</v>
      </c>
      <c r="N43" s="907" t="s">
        <v>1627</v>
      </c>
      <c r="O43" s="2039"/>
      <c r="P43" s="47"/>
      <c r="Q43" s="2197"/>
      <c r="U43" s="1" t="s">
        <v>374</v>
      </c>
      <c r="V43" s="1" t="s">
        <v>2346</v>
      </c>
      <c r="W43" t="s">
        <v>2777</v>
      </c>
      <c r="X43" t="s">
        <v>2778</v>
      </c>
    </row>
    <row r="44" spans="2:24">
      <c r="B44" s="2042"/>
      <c r="C44" s="47"/>
      <c r="D44" s="47"/>
      <c r="E44" s="2046" t="s">
        <v>3431</v>
      </c>
      <c r="F44" s="2577">
        <f>G32</f>
        <v>9000</v>
      </c>
      <c r="G44" s="2563"/>
      <c r="H44" s="2292" t="e">
        <f>G44/G47</f>
        <v>#DIV/0!</v>
      </c>
      <c r="I44" s="47"/>
      <c r="J44" s="2574">
        <v>1.1000000000000001</v>
      </c>
      <c r="K44" s="2575">
        <v>1</v>
      </c>
      <c r="L44" s="2574">
        <v>0.8</v>
      </c>
      <c r="M44" s="2574">
        <v>0.7</v>
      </c>
      <c r="N44" s="2574">
        <v>0.6</v>
      </c>
      <c r="O44" s="2039"/>
      <c r="P44" s="47"/>
      <c r="Q44" s="2197"/>
      <c r="U44" s="1">
        <v>1</v>
      </c>
      <c r="V44" s="2356" t="e">
        <f>J47</f>
        <v>#DIV/0!</v>
      </c>
      <c r="W44" t="e">
        <f>(U45-U44)/(V45-V44)</f>
        <v>#DIV/0!</v>
      </c>
      <c r="X44" t="e">
        <f>U45-W44*V45</f>
        <v>#DIV/0!</v>
      </c>
    </row>
    <row r="45" spans="2:24">
      <c r="B45" s="2042"/>
      <c r="C45" s="47"/>
      <c r="D45" s="2039"/>
      <c r="E45" s="2046" t="s">
        <v>3432</v>
      </c>
      <c r="F45" s="2577">
        <f>G33</f>
        <v>3000</v>
      </c>
      <c r="G45" s="2563"/>
      <c r="H45" s="2292" t="e">
        <f>G45/G47</f>
        <v>#DIV/0!</v>
      </c>
      <c r="I45" s="47"/>
      <c r="J45" s="2574">
        <v>1.1000000000000001</v>
      </c>
      <c r="K45" s="2575">
        <v>1</v>
      </c>
      <c r="L45" s="2574">
        <v>0.8</v>
      </c>
      <c r="M45" s="2574">
        <v>0.75</v>
      </c>
      <c r="N45" s="2574">
        <v>0.7</v>
      </c>
      <c r="O45" s="2039"/>
      <c r="P45" s="47"/>
      <c r="Q45" s="2197"/>
      <c r="U45" s="1">
        <v>2</v>
      </c>
      <c r="V45" s="2356" t="e">
        <f>K47</f>
        <v>#DIV/0!</v>
      </c>
      <c r="W45" t="e">
        <f>(U46-U45)/(V46-V45)</f>
        <v>#DIV/0!</v>
      </c>
      <c r="X45" t="e">
        <f>U46-W45*V46</f>
        <v>#DIV/0!</v>
      </c>
    </row>
    <row r="46" spans="2:24">
      <c r="B46" s="2042"/>
      <c r="C46" s="47"/>
      <c r="D46" s="2039"/>
      <c r="E46" s="2046" t="s">
        <v>1893</v>
      </c>
      <c r="F46" s="2577">
        <f>G34</f>
        <v>2500</v>
      </c>
      <c r="G46" s="2563"/>
      <c r="H46" s="2292" t="e">
        <f>G46/G47</f>
        <v>#DIV/0!</v>
      </c>
      <c r="I46" s="47"/>
      <c r="J46" s="2574">
        <v>1.2</v>
      </c>
      <c r="K46" s="2575">
        <v>1.1000000000000001</v>
      </c>
      <c r="L46" s="2574">
        <v>1</v>
      </c>
      <c r="M46" s="2574">
        <v>0.9</v>
      </c>
      <c r="N46" s="2574">
        <v>0.85</v>
      </c>
      <c r="O46" s="2039"/>
      <c r="P46" s="47"/>
      <c r="Q46" s="2197"/>
      <c r="U46" s="1">
        <v>3</v>
      </c>
      <c r="V46" s="2356" t="e">
        <f>L47</f>
        <v>#DIV/0!</v>
      </c>
      <c r="W46" t="e">
        <f>(U47-U46)/(V47-V46)</f>
        <v>#DIV/0!</v>
      </c>
      <c r="X46" t="e">
        <f>U47-W46*V47</f>
        <v>#DIV/0!</v>
      </c>
    </row>
    <row r="47" spans="2:24">
      <c r="B47" s="2042"/>
      <c r="C47" s="47"/>
      <c r="D47" s="2039"/>
      <c r="E47" s="2213" t="s">
        <v>3443</v>
      </c>
      <c r="F47" s="2577">
        <f>SUM(F44:F46)</f>
        <v>14500</v>
      </c>
      <c r="G47" s="2577">
        <f>SUM(G44:G46)</f>
        <v>0</v>
      </c>
      <c r="H47" s="2577" t="e">
        <f>SUM(H44:H46)</f>
        <v>#DIV/0!</v>
      </c>
      <c r="I47" s="47"/>
      <c r="J47" s="2574" t="e">
        <f>SUMPRODUCT(J44:J46,$H$44:$H$46)</f>
        <v>#DIV/0!</v>
      </c>
      <c r="K47" s="2575" t="e">
        <f>SUMPRODUCT(K44:K46,$H$44:$H$46)</f>
        <v>#DIV/0!</v>
      </c>
      <c r="L47" s="2574" t="e">
        <f>SUMPRODUCT(L44:L46,$H$44:$H$46)</f>
        <v>#DIV/0!</v>
      </c>
      <c r="M47" s="2574" t="e">
        <f>SUMPRODUCT(M44:M46,$H$44:$H$46)</f>
        <v>#DIV/0!</v>
      </c>
      <c r="N47" s="2574" t="e">
        <f>SUMPRODUCT(N44:N46,$H$44:$H$46)</f>
        <v>#DIV/0!</v>
      </c>
      <c r="O47" s="2039"/>
      <c r="P47" s="47"/>
      <c r="Q47" s="2197"/>
      <c r="U47" s="1">
        <v>4</v>
      </c>
      <c r="V47" s="2356" t="e">
        <f>M47</f>
        <v>#DIV/0!</v>
      </c>
      <c r="W47" t="e">
        <f>(U48-U47)/(V48-V47)</f>
        <v>#DIV/0!</v>
      </c>
      <c r="X47" t="e">
        <f>U48-W47*V48</f>
        <v>#DIV/0!</v>
      </c>
    </row>
    <row r="48" spans="2:24">
      <c r="B48" s="2042"/>
      <c r="C48" s="47"/>
      <c r="D48" s="2039"/>
      <c r="E48" s="47"/>
      <c r="F48" s="2039"/>
      <c r="G48" s="47"/>
      <c r="H48" s="47"/>
      <c r="I48" s="47"/>
      <c r="J48" s="47"/>
      <c r="K48" s="2039"/>
      <c r="L48" s="2039"/>
      <c r="M48" s="47"/>
      <c r="N48" s="47"/>
      <c r="O48" s="2039"/>
      <c r="P48" s="47"/>
      <c r="Q48" s="2197"/>
      <c r="U48" s="1">
        <v>5</v>
      </c>
      <c r="V48" s="2356" t="e">
        <f>N47</f>
        <v>#DIV/0!</v>
      </c>
    </row>
    <row r="49" spans="2:24" ht="14.25" thickBot="1">
      <c r="B49" s="2042"/>
      <c r="C49" s="47"/>
      <c r="D49" s="2039" t="s">
        <v>3444</v>
      </c>
      <c r="E49" s="47"/>
      <c r="F49" s="2039"/>
      <c r="G49" s="47"/>
      <c r="H49" s="47"/>
      <c r="I49" s="47"/>
      <c r="J49" s="47"/>
      <c r="K49" s="2039"/>
      <c r="L49" s="2039"/>
      <c r="M49" s="47"/>
      <c r="N49" s="47"/>
      <c r="O49" s="2039"/>
      <c r="P49" s="47"/>
      <c r="Q49" s="2197"/>
    </row>
    <row r="50" spans="2:24" ht="14.25" thickBot="1">
      <c r="B50" s="2042"/>
      <c r="C50" s="47"/>
      <c r="D50" s="2039"/>
      <c r="E50" s="47"/>
      <c r="F50" s="2039"/>
      <c r="G50" s="2213" t="s">
        <v>3445</v>
      </c>
      <c r="H50" s="2566"/>
      <c r="I50" s="2213"/>
      <c r="J50" s="2564" t="str">
        <f>IF(H50="",S50,IF(H50&lt;=V57,U57,IF(H50&gt;=V53,U53,H50*W51+X51)))</f>
        <v>BEI未入力</v>
      </c>
      <c r="K50" s="2039"/>
      <c r="L50" s="2039"/>
      <c r="M50" s="47"/>
      <c r="N50" s="47"/>
      <c r="O50" s="2039"/>
      <c r="P50" s="47"/>
      <c r="Q50" s="2197"/>
      <c r="S50" t="s">
        <v>3440</v>
      </c>
    </row>
    <row r="51" spans="2:24">
      <c r="B51" s="2042"/>
      <c r="C51" s="47"/>
      <c r="D51" s="2039"/>
      <c r="E51" s="2047" t="s">
        <v>3441</v>
      </c>
      <c r="F51" s="2039"/>
      <c r="G51" s="47"/>
      <c r="H51" s="47"/>
      <c r="I51" s="47"/>
      <c r="J51" s="47"/>
      <c r="K51" s="2039"/>
      <c r="L51" s="2039"/>
      <c r="M51" s="47"/>
      <c r="N51" s="47"/>
      <c r="O51" s="2039"/>
      <c r="P51" s="47"/>
      <c r="Q51" s="2197"/>
      <c r="U51" s="2570" t="e">
        <f>IF($H$50&lt;=V57,U57,IF($H$50&lt;=V56,U56,IF($H$50&lt;=V55,U55,IF($H$50&lt;=V54,U54,U53))))</f>
        <v>#DIV/0!</v>
      </c>
      <c r="W51" t="e">
        <f>VLOOKUP($U$51,U53:X57,3)</f>
        <v>#DIV/0!</v>
      </c>
      <c r="X51" t="e">
        <f>VLOOKUP($U$51,U53:X57,4)</f>
        <v>#DIV/0!</v>
      </c>
    </row>
    <row r="52" spans="2:24">
      <c r="B52" s="2042"/>
      <c r="C52" s="47"/>
      <c r="D52" s="2039"/>
      <c r="E52" s="2046"/>
      <c r="F52" s="1551" t="s">
        <v>3413</v>
      </c>
      <c r="G52" s="1551" t="s">
        <v>3442</v>
      </c>
      <c r="H52" s="1551" t="s">
        <v>3414</v>
      </c>
      <c r="I52" s="47"/>
      <c r="J52" s="907" t="s">
        <v>3428</v>
      </c>
      <c r="K52" s="2571" t="s">
        <v>3429</v>
      </c>
      <c r="L52" s="907" t="s">
        <v>1625</v>
      </c>
      <c r="M52" s="907" t="s">
        <v>1626</v>
      </c>
      <c r="N52" s="907" t="s">
        <v>1627</v>
      </c>
      <c r="O52" s="2039"/>
      <c r="P52" s="47"/>
      <c r="Q52" s="2197"/>
      <c r="U52" s="1" t="s">
        <v>374</v>
      </c>
      <c r="V52" s="1" t="s">
        <v>2346</v>
      </c>
      <c r="W52" t="s">
        <v>2777</v>
      </c>
      <c r="X52" t="s">
        <v>2778</v>
      </c>
    </row>
    <row r="53" spans="2:24">
      <c r="B53" s="2042"/>
      <c r="C53" s="47"/>
      <c r="D53" s="2039"/>
      <c r="E53" s="2046" t="s">
        <v>3431</v>
      </c>
      <c r="F53" s="2577">
        <f>F44</f>
        <v>9000</v>
      </c>
      <c r="G53" s="2563"/>
      <c r="H53" s="2292" t="e">
        <f>G53/G56</f>
        <v>#DIV/0!</v>
      </c>
      <c r="I53" s="47"/>
      <c r="J53" s="2574">
        <v>1.1000000000000001</v>
      </c>
      <c r="K53" s="2575">
        <v>1</v>
      </c>
      <c r="L53" s="2574">
        <v>0.8</v>
      </c>
      <c r="M53" s="2574">
        <v>0.7</v>
      </c>
      <c r="N53" s="2574">
        <v>0.6</v>
      </c>
      <c r="O53" s="2039"/>
      <c r="P53" s="47"/>
      <c r="Q53" s="2197"/>
      <c r="U53" s="1">
        <v>1</v>
      </c>
      <c r="V53" s="2356" t="e">
        <f>J56</f>
        <v>#DIV/0!</v>
      </c>
      <c r="W53" t="e">
        <f>(U54-U53)/(V54-V53)</f>
        <v>#DIV/0!</v>
      </c>
      <c r="X53" t="e">
        <f>U54-W53*V54</f>
        <v>#DIV/0!</v>
      </c>
    </row>
    <row r="54" spans="2:24">
      <c r="B54" s="2042"/>
      <c r="C54" s="47"/>
      <c r="D54" s="2039"/>
      <c r="E54" s="2046" t="s">
        <v>3432</v>
      </c>
      <c r="F54" s="2577">
        <f>F45</f>
        <v>3000</v>
      </c>
      <c r="G54" s="2563"/>
      <c r="H54" s="2292" t="e">
        <f>G54/G56</f>
        <v>#DIV/0!</v>
      </c>
      <c r="I54" s="47"/>
      <c r="J54" s="2574">
        <v>1.1000000000000001</v>
      </c>
      <c r="K54" s="2575">
        <v>1</v>
      </c>
      <c r="L54" s="2574">
        <v>0.8</v>
      </c>
      <c r="M54" s="2574">
        <v>0.75</v>
      </c>
      <c r="N54" s="2574">
        <v>0.7</v>
      </c>
      <c r="O54" s="2039"/>
      <c r="P54" s="47"/>
      <c r="Q54" s="2197"/>
      <c r="U54" s="1">
        <v>2</v>
      </c>
      <c r="V54" s="2356" t="e">
        <f>K56</f>
        <v>#DIV/0!</v>
      </c>
      <c r="W54" t="e">
        <f>(U55-U54)/(V55-V54)</f>
        <v>#DIV/0!</v>
      </c>
      <c r="X54" t="e">
        <f>U55-W54*V55</f>
        <v>#DIV/0!</v>
      </c>
    </row>
    <row r="55" spans="2:24" hidden="1">
      <c r="B55" s="2042"/>
      <c r="C55" s="47"/>
      <c r="D55" s="2039"/>
      <c r="E55" s="2046" t="s">
        <v>1893</v>
      </c>
      <c r="F55" s="2577"/>
      <c r="G55" s="2577"/>
      <c r="H55" s="2292" t="e">
        <f>G55/G56</f>
        <v>#DIV/0!</v>
      </c>
      <c r="I55" s="47"/>
      <c r="J55" s="2574">
        <v>1.2</v>
      </c>
      <c r="K55" s="2575">
        <v>1.1000000000000001</v>
      </c>
      <c r="L55" s="2574">
        <v>1</v>
      </c>
      <c r="M55" s="2574">
        <v>0.9</v>
      </c>
      <c r="N55" s="2574">
        <v>0.85</v>
      </c>
      <c r="O55" s="2039"/>
      <c r="P55" s="47"/>
      <c r="Q55" s="2197"/>
      <c r="U55" s="1">
        <v>3</v>
      </c>
      <c r="V55" s="2356" t="e">
        <f>L56</f>
        <v>#DIV/0!</v>
      </c>
      <c r="W55" t="e">
        <f>(U56-U55)/(V56-V55)</f>
        <v>#DIV/0!</v>
      </c>
      <c r="X55" t="e">
        <f>U56-W55*V56</f>
        <v>#DIV/0!</v>
      </c>
    </row>
    <row r="56" spans="2:24">
      <c r="B56" s="2042"/>
      <c r="C56" s="47"/>
      <c r="D56" s="2039"/>
      <c r="E56" s="2213" t="s">
        <v>3443</v>
      </c>
      <c r="F56" s="2577">
        <f>SUM(F53:F55)</f>
        <v>12000</v>
      </c>
      <c r="G56" s="2577">
        <f>SUM(G53:G55)</f>
        <v>0</v>
      </c>
      <c r="H56" s="2577" t="e">
        <f>SUM(H53:H55)</f>
        <v>#DIV/0!</v>
      </c>
      <c r="I56" s="47"/>
      <c r="J56" s="2574" t="e">
        <f>SUMPRODUCT(J53:J55,$H$53:$H$55)</f>
        <v>#DIV/0!</v>
      </c>
      <c r="K56" s="2574" t="e">
        <f>SUMPRODUCT(K53:K55,$H$53:$H$55)</f>
        <v>#DIV/0!</v>
      </c>
      <c r="L56" s="2574" t="e">
        <f>SUMPRODUCT(L53:L55,$H$53:$H$55)</f>
        <v>#DIV/0!</v>
      </c>
      <c r="M56" s="2574" t="e">
        <f>SUMPRODUCT(M53:M55,$H$53:$H$55)</f>
        <v>#DIV/0!</v>
      </c>
      <c r="N56" s="2574" t="e">
        <f>SUMPRODUCT(N53:N55,$H$53:$H$55)</f>
        <v>#DIV/0!</v>
      </c>
      <c r="O56" s="2039"/>
      <c r="P56" s="47"/>
      <c r="Q56" s="2197"/>
      <c r="U56" s="1">
        <v>4</v>
      </c>
      <c r="V56" s="2356" t="e">
        <f>M56</f>
        <v>#DIV/0!</v>
      </c>
      <c r="W56" t="e">
        <f>(U57-U56)/(V57-V56)</f>
        <v>#DIV/0!</v>
      </c>
      <c r="X56" t="e">
        <f>U57-W56*V57</f>
        <v>#DIV/0!</v>
      </c>
    </row>
    <row r="57" spans="2:24">
      <c r="B57" s="2042"/>
      <c r="C57" s="47"/>
      <c r="D57" s="2039"/>
      <c r="E57" s="2213"/>
      <c r="F57" s="2584"/>
      <c r="G57" s="2584"/>
      <c r="H57" s="2585"/>
      <c r="I57" s="47"/>
      <c r="J57" s="2586"/>
      <c r="K57" s="2586"/>
      <c r="L57" s="2586"/>
      <c r="M57" s="2586"/>
      <c r="N57" s="2586"/>
      <c r="O57" s="2039"/>
      <c r="P57" s="47"/>
      <c r="Q57" s="2197"/>
      <c r="U57" s="1">
        <v>5</v>
      </c>
      <c r="V57" s="2356" t="e">
        <f>N56</f>
        <v>#DIV/0!</v>
      </c>
    </row>
    <row r="58" spans="2:24">
      <c r="B58" s="2042"/>
      <c r="C58" s="47"/>
      <c r="D58" s="2039" t="s">
        <v>3446</v>
      </c>
      <c r="E58" s="47"/>
      <c r="F58" s="2039"/>
      <c r="G58" s="47"/>
      <c r="H58" s="47"/>
      <c r="I58" s="47"/>
      <c r="J58" s="47"/>
      <c r="K58" s="47"/>
      <c r="L58" s="47"/>
      <c r="M58" s="47"/>
      <c r="N58" s="47"/>
      <c r="O58" s="47"/>
      <c r="P58" s="47"/>
      <c r="Q58" s="2197"/>
    </row>
    <row r="59" spans="2:24">
      <c r="B59" s="2042"/>
      <c r="C59" s="47"/>
      <c r="D59" s="47"/>
      <c r="E59" s="47" t="s">
        <v>3447</v>
      </c>
      <c r="F59" s="2039"/>
      <c r="G59" s="2039"/>
      <c r="H59" s="2039"/>
      <c r="I59" s="2039"/>
      <c r="J59" s="2039"/>
      <c r="K59" s="2039"/>
      <c r="L59" s="2039"/>
      <c r="M59" s="47"/>
      <c r="N59" s="47"/>
      <c r="O59" s="47"/>
      <c r="P59" s="47"/>
      <c r="Q59" s="2197"/>
      <c r="S59" s="2251" t="s">
        <v>2932</v>
      </c>
    </row>
    <row r="60" spans="2:24" ht="13.5" customHeight="1">
      <c r="B60" s="2042"/>
      <c r="C60" s="47"/>
      <c r="D60" s="47"/>
      <c r="E60" s="3046" t="s">
        <v>3448</v>
      </c>
      <c r="F60" s="3046"/>
      <c r="G60" s="3046"/>
      <c r="H60" s="3046"/>
      <c r="I60" s="3046"/>
      <c r="J60" s="3046"/>
      <c r="K60" s="3046"/>
      <c r="L60" s="3046"/>
      <c r="M60" s="3046"/>
      <c r="N60" s="3046"/>
      <c r="O60" s="3046"/>
      <c r="P60" s="47"/>
      <c r="Q60" s="2197"/>
      <c r="S60">
        <v>1</v>
      </c>
    </row>
    <row r="61" spans="2:24" ht="31.5" customHeight="1" thickBot="1">
      <c r="B61" s="2042"/>
      <c r="C61" s="47"/>
      <c r="D61" s="47"/>
      <c r="E61" s="3046"/>
      <c r="F61" s="3046"/>
      <c r="G61" s="3046"/>
      <c r="H61" s="3046"/>
      <c r="I61" s="3046"/>
      <c r="J61" s="3046"/>
      <c r="K61" s="3046"/>
      <c r="L61" s="3046"/>
      <c r="M61" s="3046"/>
      <c r="N61" s="3046"/>
      <c r="O61" s="3046"/>
      <c r="P61" s="47"/>
      <c r="Q61" s="2197"/>
      <c r="S61">
        <v>3</v>
      </c>
    </row>
    <row r="62" spans="2:24" ht="14.25" thickBot="1">
      <c r="B62" s="2042"/>
      <c r="C62" s="47"/>
      <c r="D62" s="47"/>
      <c r="E62" s="2587" t="s">
        <v>2939</v>
      </c>
      <c r="F62" s="3049" t="s">
        <v>2932</v>
      </c>
      <c r="G62" s="3050"/>
      <c r="H62" s="3051"/>
      <c r="I62" s="2562"/>
      <c r="J62" s="2562"/>
      <c r="K62" s="2562"/>
      <c r="L62" s="47"/>
      <c r="M62" s="47"/>
      <c r="N62" s="47"/>
      <c r="O62" s="47"/>
      <c r="P62" s="47"/>
      <c r="Q62" s="2197"/>
    </row>
    <row r="63" spans="2:24" ht="7.5" customHeight="1" thickBot="1">
      <c r="B63" s="2042"/>
      <c r="C63" s="47"/>
      <c r="D63" s="47"/>
      <c r="E63" s="47"/>
      <c r="F63" s="47"/>
      <c r="G63" s="47"/>
      <c r="H63" s="47"/>
      <c r="I63" s="47"/>
      <c r="J63" s="2039"/>
      <c r="K63" s="47"/>
      <c r="L63" s="47"/>
      <c r="M63" s="47"/>
      <c r="N63" s="47"/>
      <c r="O63" s="47"/>
      <c r="P63" s="47"/>
      <c r="Q63" s="2197"/>
    </row>
    <row r="64" spans="2:24" ht="14.25" thickBot="1">
      <c r="B64" s="2042"/>
      <c r="C64" s="47"/>
      <c r="D64" s="47"/>
      <c r="E64" s="2587" t="s">
        <v>2347</v>
      </c>
      <c r="F64" s="2040"/>
      <c r="G64" s="47"/>
      <c r="H64" s="47"/>
      <c r="I64" s="47"/>
      <c r="J64" s="2039"/>
      <c r="K64" s="2587" t="s">
        <v>2348</v>
      </c>
      <c r="L64" s="2040"/>
      <c r="M64" s="47"/>
      <c r="N64" s="47"/>
      <c r="O64" s="47"/>
      <c r="P64" s="47"/>
      <c r="Q64" s="2197"/>
      <c r="S64" t="s">
        <v>2341</v>
      </c>
      <c r="T64" t="s">
        <v>2339</v>
      </c>
    </row>
    <row r="65" spans="2:20">
      <c r="B65" s="2042"/>
      <c r="C65" s="47"/>
      <c r="D65" s="47"/>
      <c r="E65" s="47"/>
      <c r="F65" s="2565" t="s">
        <v>2933</v>
      </c>
      <c r="G65" s="2565"/>
      <c r="H65" s="2565"/>
      <c r="I65" s="2565"/>
      <c r="J65" s="2578"/>
      <c r="K65" s="2578"/>
      <c r="L65" s="2565" t="s">
        <v>2937</v>
      </c>
      <c r="M65" s="2565"/>
      <c r="N65" s="2565"/>
      <c r="O65" s="47"/>
      <c r="P65" s="47"/>
      <c r="Q65" s="2197"/>
      <c r="S65" t="s">
        <v>2343</v>
      </c>
      <c r="T65" t="s">
        <v>2342</v>
      </c>
    </row>
    <row r="66" spans="2:20">
      <c r="B66" s="2042"/>
      <c r="C66" s="47"/>
      <c r="D66" s="47"/>
      <c r="E66" s="47"/>
      <c r="F66" s="2565" t="s">
        <v>2934</v>
      </c>
      <c r="G66" s="2565"/>
      <c r="H66" s="2565"/>
      <c r="I66" s="2565"/>
      <c r="J66" s="2578"/>
      <c r="K66" s="2578"/>
      <c r="L66" s="2565" t="s">
        <v>2938</v>
      </c>
      <c r="M66" s="2565"/>
      <c r="N66" s="2565"/>
      <c r="O66" s="47"/>
      <c r="P66" s="47"/>
      <c r="Q66" s="2197"/>
      <c r="S66" t="s">
        <v>2344</v>
      </c>
      <c r="T66" t="s">
        <v>188</v>
      </c>
    </row>
    <row r="67" spans="2:20">
      <c r="B67" s="2042"/>
      <c r="C67" s="47"/>
      <c r="D67" s="47"/>
      <c r="E67" s="47"/>
      <c r="F67" s="2565" t="s">
        <v>2935</v>
      </c>
      <c r="G67" s="2565"/>
      <c r="H67" s="2565"/>
      <c r="I67" s="2565"/>
      <c r="J67" s="2578"/>
      <c r="K67" s="2578"/>
      <c r="L67" s="2565" t="s">
        <v>2936</v>
      </c>
      <c r="M67" s="2565"/>
      <c r="N67" s="2565"/>
      <c r="O67" s="47"/>
      <c r="P67" s="47"/>
      <c r="Q67" s="2197"/>
      <c r="S67" t="s">
        <v>188</v>
      </c>
    </row>
    <row r="68" spans="2:20">
      <c r="B68" s="2042"/>
      <c r="C68" s="47"/>
      <c r="D68" s="47"/>
      <c r="E68" s="47"/>
      <c r="F68" s="2565" t="s">
        <v>2936</v>
      </c>
      <c r="G68" s="2565"/>
      <c r="H68" s="2565"/>
      <c r="I68" s="2565"/>
      <c r="J68" s="2578"/>
      <c r="K68" s="2565"/>
      <c r="L68" s="2565"/>
      <c r="M68" s="2565"/>
      <c r="N68" s="2565"/>
      <c r="O68" s="47"/>
      <c r="P68" s="47"/>
      <c r="Q68" s="2197"/>
    </row>
    <row r="69" spans="2:20" ht="14.25" hidden="1" thickBot="1">
      <c r="B69" s="2042"/>
      <c r="C69" s="47"/>
      <c r="D69" s="2039"/>
      <c r="E69" s="47"/>
      <c r="F69" s="2039"/>
      <c r="G69" s="47"/>
      <c r="H69" s="2588"/>
      <c r="I69" s="2589" t="s">
        <v>3449</v>
      </c>
      <c r="J69" s="2590">
        <v>0.8</v>
      </c>
      <c r="K69" s="2565"/>
      <c r="L69" s="2039"/>
      <c r="M69" s="47"/>
      <c r="N69" s="47"/>
      <c r="O69" s="2039"/>
      <c r="P69" s="47"/>
      <c r="Q69" s="2197"/>
    </row>
    <row r="70" spans="2:20">
      <c r="B70" s="2042"/>
      <c r="C70" s="47"/>
      <c r="D70" s="2039"/>
      <c r="E70" s="2047" t="s">
        <v>3450</v>
      </c>
      <c r="F70" s="2039"/>
      <c r="G70" s="2563"/>
      <c r="H70" s="47" t="s">
        <v>678</v>
      </c>
      <c r="I70" s="47"/>
      <c r="J70" s="47" t="s">
        <v>3451</v>
      </c>
      <c r="K70" s="2565"/>
      <c r="L70" s="2039"/>
      <c r="M70" s="47"/>
      <c r="N70" s="47"/>
      <c r="O70" s="2039"/>
      <c r="P70" s="47"/>
      <c r="Q70" s="2197"/>
    </row>
    <row r="71" spans="2:20">
      <c r="B71" s="2042"/>
      <c r="C71" s="47"/>
      <c r="D71" s="2039"/>
      <c r="E71" s="2047"/>
      <c r="F71" s="2039"/>
      <c r="G71" s="47"/>
      <c r="H71" s="47"/>
      <c r="I71" s="47"/>
      <c r="J71" s="47"/>
      <c r="K71" s="2565"/>
      <c r="L71" s="2039"/>
      <c r="M71" s="47"/>
      <c r="N71" s="47"/>
      <c r="O71" s="2039"/>
      <c r="P71" s="47"/>
      <c r="Q71" s="2197"/>
    </row>
    <row r="72" spans="2:20">
      <c r="B72" s="2042"/>
      <c r="C72" s="47"/>
      <c r="D72" s="2047" t="s">
        <v>3452</v>
      </c>
      <c r="E72" s="2047"/>
      <c r="F72" s="2039"/>
      <c r="G72" s="2039"/>
      <c r="H72" s="2039"/>
      <c r="I72" s="47"/>
      <c r="J72" s="2039"/>
      <c r="K72" s="2039"/>
      <c r="L72" s="2039"/>
      <c r="M72" s="2039"/>
      <c r="N72" s="47"/>
      <c r="O72" s="2039"/>
      <c r="P72" s="47"/>
      <c r="Q72" s="2197"/>
    </row>
    <row r="73" spans="2:20" ht="14.25" thickBot="1">
      <c r="B73" s="2042"/>
      <c r="C73" s="47"/>
      <c r="D73" s="2047"/>
      <c r="E73" s="47"/>
      <c r="F73" s="2047"/>
      <c r="G73" s="1551" t="s">
        <v>3442</v>
      </c>
      <c r="H73" s="1551" t="s">
        <v>3414</v>
      </c>
      <c r="I73" s="47"/>
      <c r="J73" s="2039"/>
      <c r="K73" s="2039"/>
      <c r="L73" s="2039"/>
      <c r="M73" s="2039"/>
      <c r="N73" s="47"/>
      <c r="O73" s="2039"/>
      <c r="P73" s="47"/>
      <c r="Q73" s="2197"/>
    </row>
    <row r="74" spans="2:20" ht="14.25" thickBot="1">
      <c r="B74" s="2042"/>
      <c r="C74" s="47"/>
      <c r="D74" s="2039"/>
      <c r="E74" s="47"/>
      <c r="F74" s="2046" t="s">
        <v>3453</v>
      </c>
      <c r="G74" s="2577">
        <f>G47</f>
        <v>0</v>
      </c>
      <c r="H74" s="2292" t="e">
        <f>G74/G$77</f>
        <v>#DIV/0!</v>
      </c>
      <c r="I74" s="47"/>
      <c r="J74" s="2564" t="str">
        <f>J41</f>
        <v>BEI未入力</v>
      </c>
      <c r="K74" s="2039"/>
      <c r="L74" s="2039"/>
      <c r="M74" s="2039"/>
      <c r="N74" s="47"/>
      <c r="O74" s="2039"/>
      <c r="P74" s="47"/>
      <c r="Q74" s="2197"/>
    </row>
    <row r="75" spans="2:20" ht="14.25" thickBot="1">
      <c r="B75" s="2042"/>
      <c r="C75" s="47"/>
      <c r="D75" s="2039"/>
      <c r="E75" s="47"/>
      <c r="F75" s="2046" t="s">
        <v>3454</v>
      </c>
      <c r="G75" s="2577">
        <f>G56</f>
        <v>0</v>
      </c>
      <c r="H75" s="2292" t="e">
        <f>G75/G$77</f>
        <v>#DIV/0!</v>
      </c>
      <c r="I75" s="47"/>
      <c r="J75" s="2564" t="str">
        <f>J50</f>
        <v>BEI未入力</v>
      </c>
      <c r="K75" s="2039"/>
      <c r="L75" s="2039"/>
      <c r="M75" s="2039"/>
      <c r="N75" s="47"/>
      <c r="O75" s="2039"/>
      <c r="P75" s="47"/>
      <c r="Q75" s="2197"/>
    </row>
    <row r="76" spans="2:20" ht="14.25" thickBot="1">
      <c r="B76" s="2042"/>
      <c r="C76" s="47"/>
      <c r="D76" s="2039"/>
      <c r="E76" s="47"/>
      <c r="F76" s="2046" t="s">
        <v>3455</v>
      </c>
      <c r="G76" s="2577">
        <f>G70</f>
        <v>0</v>
      </c>
      <c r="H76" s="2292" t="e">
        <f>G76/G$77</f>
        <v>#DIV/0!</v>
      </c>
      <c r="I76" s="47"/>
      <c r="J76" s="2591" t="str">
        <f>F62</f>
        <v>算定プログラムによる評価</v>
      </c>
      <c r="K76" s="2039"/>
      <c r="L76" s="2039"/>
      <c r="M76" s="2039"/>
      <c r="N76" s="47"/>
      <c r="O76" s="2039"/>
      <c r="P76" s="47"/>
      <c r="Q76" s="2197"/>
    </row>
    <row r="77" spans="2:20" ht="14.25" thickBot="1">
      <c r="B77" s="2042"/>
      <c r="C77" s="47"/>
      <c r="D77" s="2039"/>
      <c r="E77" s="47"/>
      <c r="F77" s="2213" t="s">
        <v>3456</v>
      </c>
      <c r="G77" s="2577">
        <f>SUM(G74:G76)</f>
        <v>0</v>
      </c>
      <c r="H77" s="2577" t="e">
        <f>SUM(H74:H76)</f>
        <v>#DIV/0!</v>
      </c>
      <c r="I77" s="47"/>
      <c r="J77" s="2564">
        <f>IF(G77=0,0,SUMPRODUCT(H74:H76,J74:J76))</f>
        <v>0</v>
      </c>
      <c r="K77" s="2592" t="str">
        <f>IF(G77&lt;&gt;G35,"建物全体の面積と評価対象面積の合計があっていません。","")</f>
        <v>建物全体の面積と評価対象面積の合計があっていません。</v>
      </c>
      <c r="L77" s="2039"/>
      <c r="M77" s="47"/>
      <c r="N77" s="47"/>
      <c r="O77" s="2039"/>
      <c r="P77" s="47"/>
      <c r="Q77" s="2197"/>
    </row>
    <row r="78" spans="2:20">
      <c r="B78" s="2042"/>
      <c r="C78" s="2198"/>
      <c r="D78" s="2039"/>
      <c r="E78" s="47"/>
      <c r="F78" s="47"/>
      <c r="G78" s="47"/>
      <c r="H78" s="2039"/>
      <c r="I78" s="47"/>
      <c r="J78" s="47"/>
      <c r="K78" s="47"/>
      <c r="L78" s="2562"/>
      <c r="M78" s="47"/>
      <c r="N78" s="47"/>
      <c r="O78" s="47"/>
      <c r="P78" s="47"/>
      <c r="Q78" s="2197"/>
    </row>
    <row r="79" spans="2:20">
      <c r="B79" s="2042"/>
      <c r="C79" s="2593" t="s">
        <v>375</v>
      </c>
      <c r="D79" s="2039" t="s">
        <v>3457</v>
      </c>
      <c r="E79" s="47"/>
      <c r="F79" s="2039"/>
      <c r="G79" s="47"/>
      <c r="H79" s="898"/>
      <c r="I79" s="47"/>
      <c r="J79" s="2039"/>
      <c r="K79" s="2039"/>
      <c r="L79" s="2039"/>
      <c r="M79" s="47"/>
      <c r="N79" s="47"/>
      <c r="O79" s="2039"/>
      <c r="P79" s="47"/>
      <c r="Q79" s="2197"/>
    </row>
    <row r="80" spans="2:20">
      <c r="B80" s="2042"/>
      <c r="C80" s="2198"/>
      <c r="D80" s="2593"/>
      <c r="E80" s="2039"/>
      <c r="F80" s="2039"/>
      <c r="G80" s="47"/>
      <c r="H80" s="898"/>
      <c r="I80" s="47"/>
      <c r="J80" s="2594" t="s">
        <v>126</v>
      </c>
      <c r="K80" s="2595" t="s">
        <v>3403</v>
      </c>
      <c r="L80" s="2596"/>
      <c r="M80" s="2596"/>
      <c r="N80" s="2594" t="s">
        <v>479</v>
      </c>
      <c r="O80" s="2039"/>
      <c r="P80" s="47"/>
      <c r="Q80" s="2197"/>
    </row>
    <row r="81" spans="2:20" ht="37.5" customHeight="1">
      <c r="B81" s="2042"/>
      <c r="C81" s="47"/>
      <c r="D81" s="2039"/>
      <c r="E81" s="47"/>
      <c r="F81" s="2039"/>
      <c r="G81" s="47"/>
      <c r="H81" s="2039"/>
      <c r="I81" s="2039"/>
      <c r="J81" s="2597"/>
      <c r="K81" s="1551" t="s">
        <v>3458</v>
      </c>
      <c r="L81" s="2598" t="s">
        <v>3459</v>
      </c>
      <c r="M81" s="2599" t="s">
        <v>3460</v>
      </c>
      <c r="N81" s="2597"/>
      <c r="O81" s="2578"/>
      <c r="P81" s="47"/>
      <c r="Q81" s="2197"/>
    </row>
    <row r="82" spans="2:20" ht="14.25" customHeight="1">
      <c r="B82" s="2042"/>
      <c r="C82" s="47"/>
      <c r="D82" s="47" t="s">
        <v>3461</v>
      </c>
      <c r="E82" s="47"/>
      <c r="F82" s="47"/>
      <c r="G82" s="47"/>
      <c r="H82" s="47"/>
      <c r="I82" s="47"/>
      <c r="J82" s="919"/>
      <c r="K82" s="2600"/>
      <c r="L82" s="2600"/>
      <c r="M82" s="2600"/>
      <c r="N82" s="2049">
        <f>SUM(J82:M82)</f>
        <v>0</v>
      </c>
      <c r="O82" s="2565" t="s">
        <v>651</v>
      </c>
      <c r="P82" s="47"/>
      <c r="Q82" s="2197"/>
    </row>
    <row r="83" spans="2:20" ht="14.25" customHeight="1">
      <c r="B83" s="2042"/>
      <c r="C83" s="47"/>
      <c r="D83" s="47" t="s">
        <v>3462</v>
      </c>
      <c r="E83" s="47"/>
      <c r="F83" s="47"/>
      <c r="G83" s="47"/>
      <c r="H83" s="47"/>
      <c r="I83" s="47"/>
      <c r="J83" s="919"/>
      <c r="K83" s="2600"/>
      <c r="L83" s="2600"/>
      <c r="M83" s="2600"/>
      <c r="N83" s="2049">
        <f>SUM(J83:M83)</f>
        <v>0</v>
      </c>
      <c r="O83" s="47"/>
      <c r="P83" s="47"/>
      <c r="Q83" s="2197"/>
    </row>
    <row r="84" spans="2:20">
      <c r="B84" s="2042"/>
      <c r="C84" s="47"/>
      <c r="D84" s="47" t="s">
        <v>3463</v>
      </c>
      <c r="E84" s="47"/>
      <c r="F84" s="47"/>
      <c r="G84" s="47"/>
      <c r="H84" s="47"/>
      <c r="I84" s="2046" t="s">
        <v>3464</v>
      </c>
      <c r="J84" s="2600"/>
      <c r="K84" s="2600"/>
      <c r="L84" s="2600"/>
      <c r="M84" s="2599"/>
      <c r="N84" s="2049">
        <f>SUM(J84:L84)</f>
        <v>0</v>
      </c>
      <c r="O84" s="2565"/>
      <c r="P84" s="47"/>
      <c r="Q84" s="2197"/>
    </row>
    <row r="85" spans="2:20">
      <c r="B85" s="2042"/>
      <c r="C85" s="47"/>
      <c r="D85" s="47"/>
      <c r="E85" s="47"/>
      <c r="F85" s="47"/>
      <c r="G85" s="47"/>
      <c r="H85" s="47"/>
      <c r="I85" s="2046" t="s">
        <v>3465</v>
      </c>
      <c r="J85" s="2600"/>
      <c r="K85" s="2600"/>
      <c r="L85" s="2600"/>
      <c r="M85" s="2599"/>
      <c r="N85" s="2049">
        <f>SUM(J85:L85)</f>
        <v>0</v>
      </c>
      <c r="O85" s="2565"/>
      <c r="P85" s="47"/>
      <c r="Q85" s="2197"/>
    </row>
    <row r="86" spans="2:20">
      <c r="B86" s="2042"/>
      <c r="C86" s="47"/>
      <c r="D86" s="47"/>
      <c r="E86" s="2565" t="s">
        <v>3466</v>
      </c>
      <c r="F86" s="47"/>
      <c r="G86" s="47"/>
      <c r="H86" s="47"/>
      <c r="I86" s="47"/>
      <c r="J86" s="2608" t="s">
        <v>3470</v>
      </c>
      <c r="K86" s="2613"/>
      <c r="L86" s="47"/>
      <c r="M86" s="47"/>
      <c r="N86" s="47"/>
      <c r="O86" s="47"/>
      <c r="P86" s="47"/>
      <c r="Q86" s="2197"/>
    </row>
    <row r="87" spans="2:20" ht="61.9" customHeight="1">
      <c r="B87" s="2042"/>
      <c r="C87" s="47"/>
      <c r="D87" s="47"/>
      <c r="E87" s="2553" t="s">
        <v>3467</v>
      </c>
      <c r="F87" s="3046" t="s">
        <v>3468</v>
      </c>
      <c r="G87" s="3046"/>
      <c r="H87" s="3046"/>
      <c r="I87" s="3046"/>
      <c r="J87" s="3046"/>
      <c r="K87" s="3046"/>
      <c r="L87" s="3046"/>
      <c r="M87" s="3046"/>
      <c r="N87" s="3046"/>
      <c r="O87" s="3046"/>
      <c r="P87" s="3046"/>
      <c r="Q87" s="2197"/>
    </row>
    <row r="88" spans="2:20" ht="15" customHeight="1" thickBot="1">
      <c r="B88" s="2202"/>
      <c r="C88" s="2203"/>
      <c r="D88" s="2203"/>
      <c r="E88" s="2601"/>
      <c r="F88" s="2205"/>
      <c r="G88" s="2205"/>
      <c r="H88" s="2205"/>
      <c r="I88" s="2205"/>
      <c r="J88" s="2205"/>
      <c r="K88" s="2205"/>
      <c r="L88" s="2205"/>
      <c r="M88" s="2203"/>
      <c r="N88" s="2205"/>
      <c r="O88" s="2205"/>
      <c r="P88" s="2205"/>
      <c r="Q88" s="2204"/>
    </row>
    <row r="89" spans="2:20" ht="15" customHeight="1" thickBot="1">
      <c r="B89" s="880"/>
      <c r="C89" s="880"/>
      <c r="D89" s="880"/>
      <c r="E89" s="880"/>
      <c r="F89" s="880"/>
      <c r="G89" s="880"/>
      <c r="H89" s="880"/>
      <c r="I89" s="880"/>
      <c r="J89" s="880"/>
      <c r="K89" s="880"/>
      <c r="L89" s="880"/>
      <c r="M89" s="880"/>
      <c r="N89" s="880"/>
      <c r="O89" s="880"/>
      <c r="P89" s="880"/>
      <c r="Q89" s="880"/>
    </row>
    <row r="90" spans="2:20" ht="27" customHeight="1">
      <c r="B90" s="2206"/>
      <c r="C90" s="2207" t="s">
        <v>2173</v>
      </c>
      <c r="D90" s="2208"/>
      <c r="E90" s="2208"/>
      <c r="F90" s="2208"/>
      <c r="G90" s="2208"/>
      <c r="H90" s="2208"/>
      <c r="I90" s="2208"/>
      <c r="J90" s="2208"/>
      <c r="K90" s="2208"/>
      <c r="L90" s="2208"/>
      <c r="M90" s="2208"/>
      <c r="N90" s="2209"/>
      <c r="O90" s="2210"/>
      <c r="P90" s="2210"/>
      <c r="Q90" s="2211"/>
    </row>
    <row r="91" spans="2:20">
      <c r="B91" s="2045"/>
      <c r="C91" s="905"/>
      <c r="D91" s="905" t="s">
        <v>2172</v>
      </c>
      <c r="E91" s="47"/>
      <c r="F91" s="47"/>
      <c r="G91" s="2039"/>
      <c r="H91" s="47"/>
      <c r="I91" s="47"/>
      <c r="J91" s="47"/>
      <c r="K91" s="47"/>
      <c r="L91" s="47"/>
      <c r="M91" s="47"/>
      <c r="N91" s="47" t="s">
        <v>2400</v>
      </c>
      <c r="O91" s="47"/>
      <c r="P91" s="47"/>
      <c r="Q91" s="2179" t="s">
        <v>2401</v>
      </c>
    </row>
    <row r="92" spans="2:20" ht="14.25" thickBot="1">
      <c r="B92" s="2045"/>
      <c r="C92" s="905"/>
      <c r="D92" s="905"/>
      <c r="E92" s="47"/>
      <c r="F92" s="2046" t="s">
        <v>2036</v>
      </c>
      <c r="G92" s="2046" t="s">
        <v>3340</v>
      </c>
      <c r="H92" s="2046" t="s">
        <v>3339</v>
      </c>
      <c r="I92" s="47"/>
      <c r="J92" s="47" t="s">
        <v>653</v>
      </c>
      <c r="K92" s="47"/>
      <c r="L92" s="2044" t="s">
        <v>127</v>
      </c>
      <c r="M92" s="47"/>
      <c r="N92" s="902" t="s">
        <v>651</v>
      </c>
      <c r="O92" s="910"/>
      <c r="P92" s="910"/>
      <c r="Q92" s="904" t="s">
        <v>651</v>
      </c>
      <c r="S92" s="2602" t="s">
        <v>3440</v>
      </c>
    </row>
    <row r="93" spans="2:20" ht="14.25" thickBot="1">
      <c r="B93" s="2045"/>
      <c r="C93" s="905"/>
      <c r="D93" s="905"/>
      <c r="E93" s="2039" t="s">
        <v>649</v>
      </c>
      <c r="F93" s="2616"/>
      <c r="G93" s="2482" t="e">
        <f>-(境界値!I51-1)*0.1</f>
        <v>#N/A</v>
      </c>
      <c r="H93" s="2048" t="e">
        <f>F93+G93</f>
        <v>#N/A</v>
      </c>
      <c r="I93" s="47"/>
      <c r="J93" s="2049">
        <f>(H117*N117+H119*N119+N120*H120)/1000</f>
        <v>0</v>
      </c>
      <c r="K93" s="2050" t="s">
        <v>651</v>
      </c>
      <c r="L93" s="2180">
        <f>N123</f>
        <v>1</v>
      </c>
      <c r="M93" s="2050"/>
      <c r="N93" s="2181">
        <f>境界値!J20+境界値!J8</f>
        <v>0</v>
      </c>
      <c r="O93" s="910"/>
      <c r="P93" s="916"/>
      <c r="Q93" s="2051" t="e">
        <f>(N93/H93+J93)/L93</f>
        <v>#N/A</v>
      </c>
      <c r="T93" s="2237" t="e">
        <f>T113/Q93</f>
        <v>#N/A</v>
      </c>
    </row>
    <row r="94" spans="2:20">
      <c r="B94" s="2045"/>
      <c r="C94" s="905"/>
      <c r="D94" s="905"/>
      <c r="E94" s="2039"/>
      <c r="F94" s="2501"/>
      <c r="G94" s="2502"/>
      <c r="H94" s="2501"/>
      <c r="I94" s="47"/>
      <c r="J94" s="2055"/>
      <c r="K94" s="2050"/>
      <c r="L94" s="2503"/>
      <c r="M94" s="2050"/>
      <c r="N94" s="2183"/>
      <c r="O94" s="910"/>
      <c r="P94" s="916"/>
      <c r="Q94" s="2184"/>
      <c r="S94" t="s">
        <v>3361</v>
      </c>
      <c r="T94" s="2504">
        <f>CO2データ!N170</f>
        <v>0</v>
      </c>
    </row>
    <row r="95" spans="2:20">
      <c r="B95" s="2042"/>
      <c r="C95" s="47"/>
      <c r="D95" s="47"/>
      <c r="E95" s="47"/>
      <c r="F95" s="47"/>
      <c r="G95" s="2044"/>
      <c r="H95" s="2044" t="s">
        <v>659</v>
      </c>
      <c r="I95" s="47"/>
      <c r="J95" s="2044" t="s">
        <v>658</v>
      </c>
      <c r="K95" s="2044"/>
      <c r="L95" s="2044" t="s">
        <v>3342</v>
      </c>
      <c r="M95" s="47"/>
      <c r="N95" s="47"/>
      <c r="O95" s="47"/>
      <c r="P95" s="47"/>
      <c r="Q95" s="2197"/>
    </row>
    <row r="96" spans="2:20">
      <c r="B96" s="2042"/>
      <c r="C96" s="47"/>
      <c r="D96" s="47"/>
      <c r="E96" s="47"/>
      <c r="F96" s="47"/>
      <c r="G96" s="2046"/>
      <c r="H96" s="2046" t="s">
        <v>2415</v>
      </c>
      <c r="I96" s="47"/>
      <c r="J96" s="2044" t="s">
        <v>654</v>
      </c>
      <c r="K96" s="2044"/>
      <c r="L96" s="2044" t="s">
        <v>1779</v>
      </c>
      <c r="M96" s="47"/>
      <c r="N96" s="47"/>
      <c r="O96" s="47"/>
      <c r="P96" s="47"/>
      <c r="Q96" s="2197"/>
      <c r="S96" t="s">
        <v>719</v>
      </c>
    </row>
    <row r="97" spans="2:19">
      <c r="B97" s="2042"/>
      <c r="C97" s="47"/>
      <c r="D97" s="47"/>
      <c r="E97" s="2186" t="s">
        <v>1771</v>
      </c>
      <c r="F97" s="2187" t="s">
        <v>461</v>
      </c>
      <c r="G97" s="2188"/>
      <c r="H97" s="2201">
        <f>メイン!R47</f>
        <v>5000</v>
      </c>
      <c r="I97" s="47"/>
      <c r="J97" s="2201">
        <f>CO2データ!H151</f>
        <v>1540</v>
      </c>
      <c r="K97" s="47"/>
      <c r="L97" s="2225" t="e">
        <f>CO2データ!R151</f>
        <v>#VALUE!</v>
      </c>
      <c r="M97" s="47"/>
      <c r="N97" s="47"/>
      <c r="O97" s="47"/>
      <c r="P97" s="47"/>
      <c r="Q97" s="2197"/>
      <c r="S97" s="2235">
        <f>CO2データ!N151</f>
        <v>0.9</v>
      </c>
    </row>
    <row r="98" spans="2:19">
      <c r="B98" s="2042"/>
      <c r="C98" s="47"/>
      <c r="D98" s="47"/>
      <c r="E98" s="2189"/>
      <c r="F98" s="2187" t="s">
        <v>2311</v>
      </c>
      <c r="G98" s="2188"/>
      <c r="H98" s="2201">
        <f>メイン!R48</f>
        <v>0</v>
      </c>
      <c r="I98" s="47"/>
      <c r="J98" s="2201">
        <f>CO2データ!H152</f>
        <v>0</v>
      </c>
      <c r="K98" s="47"/>
      <c r="L98" s="2225" t="e">
        <f>CO2データ!R152</f>
        <v>#VALUE!</v>
      </c>
      <c r="M98" s="47"/>
      <c r="N98" s="47"/>
      <c r="O98" s="47"/>
      <c r="P98" s="47"/>
      <c r="Q98" s="2197"/>
      <c r="S98" s="2235">
        <f>CO2データ!N152</f>
        <v>0.83</v>
      </c>
    </row>
    <row r="99" spans="2:19">
      <c r="B99" s="2042"/>
      <c r="C99" s="47"/>
      <c r="D99" s="47"/>
      <c r="E99" s="2190" t="s">
        <v>2315</v>
      </c>
      <c r="F99" s="2187" t="s">
        <v>2316</v>
      </c>
      <c r="G99" s="2188"/>
      <c r="H99" s="2201">
        <f>メイン!R49</f>
        <v>0</v>
      </c>
      <c r="I99" s="47"/>
      <c r="J99" s="2201">
        <f>CO2データ!H153</f>
        <v>0</v>
      </c>
      <c r="K99" s="47"/>
      <c r="L99" s="2225" t="e">
        <f>CO2データ!R153</f>
        <v>#VALUE!</v>
      </c>
      <c r="M99" s="47"/>
      <c r="N99" s="47"/>
      <c r="O99" s="47"/>
      <c r="P99" s="47"/>
      <c r="Q99" s="2197"/>
      <c r="S99" s="2235">
        <f>CO2データ!N153</f>
        <v>0.71</v>
      </c>
    </row>
    <row r="100" spans="2:19">
      <c r="B100" s="2042"/>
      <c r="C100" s="47"/>
      <c r="D100" s="47"/>
      <c r="E100" s="2190"/>
      <c r="F100" s="2191" t="s">
        <v>2317</v>
      </c>
      <c r="G100" s="2192" t="s">
        <v>2318</v>
      </c>
      <c r="H100" s="2201">
        <f>メイン!R50</f>
        <v>0</v>
      </c>
      <c r="I100" s="47"/>
      <c r="J100" s="2201">
        <f>CO2データ!H154</f>
        <v>0</v>
      </c>
      <c r="K100" s="47"/>
      <c r="L100" s="2225" t="e">
        <f>CO2データ!R154</f>
        <v>#VALUE!</v>
      </c>
      <c r="M100" s="47"/>
      <c r="N100" s="47"/>
      <c r="O100" s="47"/>
      <c r="P100" s="47"/>
      <c r="Q100" s="2197"/>
      <c r="S100" s="2235">
        <f>CO2データ!N154</f>
        <v>0.62299911901772109</v>
      </c>
    </row>
    <row r="101" spans="2:19">
      <c r="B101" s="2042"/>
      <c r="C101" s="47"/>
      <c r="D101" s="47"/>
      <c r="E101" s="2190"/>
      <c r="F101" s="2193"/>
      <c r="G101" s="2192" t="s">
        <v>2706</v>
      </c>
      <c r="H101" s="2201">
        <f>メイン!R51</f>
        <v>4000</v>
      </c>
      <c r="I101" s="47"/>
      <c r="J101" s="2201">
        <f>CO2データ!H155</f>
        <v>310</v>
      </c>
      <c r="K101" s="47"/>
      <c r="L101" s="2225" t="e">
        <f>CO2データ!R155</f>
        <v>#VALUE!</v>
      </c>
      <c r="M101" s="47"/>
      <c r="N101" s="47"/>
      <c r="O101" s="47"/>
      <c r="P101" s="47"/>
      <c r="Q101" s="2197"/>
      <c r="S101" s="2235">
        <f>CO2データ!N155</f>
        <v>0.75998792472086629</v>
      </c>
    </row>
    <row r="102" spans="2:19">
      <c r="B102" s="2042"/>
      <c r="C102" s="47"/>
      <c r="D102" s="47"/>
      <c r="E102" s="2190"/>
      <c r="F102" s="2187" t="s">
        <v>2319</v>
      </c>
      <c r="G102" s="2188"/>
      <c r="H102" s="2201">
        <f>メイン!R52</f>
        <v>0</v>
      </c>
      <c r="I102" s="47"/>
      <c r="J102" s="2201">
        <f>CO2データ!H156</f>
        <v>0</v>
      </c>
      <c r="K102" s="47"/>
      <c r="L102" s="2225" t="e">
        <f>CO2データ!R156</f>
        <v>#VALUE!</v>
      </c>
      <c r="M102" s="47"/>
      <c r="N102" s="47"/>
      <c r="O102" s="47"/>
      <c r="P102" s="47"/>
      <c r="Q102" s="2197"/>
      <c r="S102" s="2235">
        <f>CO2データ!N156</f>
        <v>0.74</v>
      </c>
    </row>
    <row r="103" spans="2:19">
      <c r="B103" s="2042"/>
      <c r="C103" s="47"/>
      <c r="D103" s="47"/>
      <c r="E103" s="2189"/>
      <c r="F103" s="2187" t="s">
        <v>2320</v>
      </c>
      <c r="G103" s="2188"/>
      <c r="H103" s="2201">
        <f>メイン!R53</f>
        <v>0</v>
      </c>
      <c r="I103" s="47"/>
      <c r="J103" s="2201">
        <f>CO2データ!H157</f>
        <v>0</v>
      </c>
      <c r="K103" s="47"/>
      <c r="L103" s="2225" t="e">
        <f>CO2データ!R157</f>
        <v>#VALUE!</v>
      </c>
      <c r="M103" s="47"/>
      <c r="N103" s="47"/>
      <c r="O103" s="47"/>
      <c r="P103" s="47"/>
      <c r="Q103" s="2197"/>
      <c r="S103" s="2235">
        <f>CO2データ!N157</f>
        <v>0.79</v>
      </c>
    </row>
    <row r="104" spans="2:19">
      <c r="B104" s="2042"/>
      <c r="C104" s="47"/>
      <c r="D104" s="47"/>
      <c r="E104" s="2186" t="s">
        <v>2312</v>
      </c>
      <c r="F104" s="2187" t="s">
        <v>1964</v>
      </c>
      <c r="G104" s="2188"/>
      <c r="H104" s="2201">
        <f>メイン!R54</f>
        <v>0</v>
      </c>
      <c r="I104" s="47"/>
      <c r="J104" s="2201">
        <f>CO2データ!H158</f>
        <v>0</v>
      </c>
      <c r="K104" s="47"/>
      <c r="L104" s="2225" t="e">
        <f>CO2データ!R158</f>
        <v>#VALUE!</v>
      </c>
      <c r="M104" s="47"/>
      <c r="N104" s="47"/>
      <c r="O104" s="47"/>
      <c r="P104" s="47"/>
      <c r="Q104" s="2197"/>
      <c r="S104" s="2235">
        <f>CO2データ!N158</f>
        <v>0.93</v>
      </c>
    </row>
    <row r="105" spans="2:19">
      <c r="B105" s="2042"/>
      <c r="C105" s="47"/>
      <c r="D105" s="47"/>
      <c r="E105" s="2189"/>
      <c r="F105" s="2187" t="s">
        <v>2313</v>
      </c>
      <c r="G105" s="2188"/>
      <c r="H105" s="2201">
        <f>メイン!R55</f>
        <v>0</v>
      </c>
      <c r="I105" s="47"/>
      <c r="J105" s="2201">
        <f>CO2データ!H159</f>
        <v>0</v>
      </c>
      <c r="K105" s="47"/>
      <c r="L105" s="2225" t="e">
        <f>CO2データ!R159</f>
        <v>#VALUE!</v>
      </c>
      <c r="M105" s="47"/>
      <c r="N105" s="47"/>
      <c r="O105" s="47"/>
      <c r="P105" s="47"/>
      <c r="Q105" s="2197"/>
      <c r="S105" s="2235">
        <f>CO2データ!N159</f>
        <v>0.92</v>
      </c>
    </row>
    <row r="106" spans="2:19">
      <c r="B106" s="2042"/>
      <c r="C106" s="47"/>
      <c r="D106" s="47"/>
      <c r="E106" s="2187" t="s">
        <v>467</v>
      </c>
      <c r="F106" s="2194"/>
      <c r="G106" s="2188"/>
      <c r="H106" s="2201">
        <f>メイン!R56</f>
        <v>0</v>
      </c>
      <c r="I106" s="47"/>
      <c r="J106" s="2201">
        <f>CO2データ!H160</f>
        <v>0</v>
      </c>
      <c r="K106" s="47"/>
      <c r="L106" s="2225" t="e">
        <f>CO2データ!R160</f>
        <v>#VALUE!</v>
      </c>
      <c r="M106" s="47"/>
      <c r="N106" s="47"/>
      <c r="O106" s="47"/>
      <c r="P106" s="47"/>
      <c r="Q106" s="2197"/>
      <c r="S106" s="2235">
        <f>CO2データ!N160</f>
        <v>0.5</v>
      </c>
    </row>
    <row r="107" spans="2:19">
      <c r="B107" s="2042"/>
      <c r="C107" s="47"/>
      <c r="D107" s="47"/>
      <c r="E107" s="2186" t="s">
        <v>2321</v>
      </c>
      <c r="F107" s="2187" t="s">
        <v>2322</v>
      </c>
      <c r="G107" s="2188"/>
      <c r="H107" s="2201">
        <f>メイン!R57</f>
        <v>3000</v>
      </c>
      <c r="I107" s="47"/>
      <c r="J107" s="2201">
        <f>CO2データ!H161</f>
        <v>1030</v>
      </c>
      <c r="K107" s="47"/>
      <c r="L107" s="2225" t="e">
        <f>CO2データ!R161</f>
        <v>#VALUE!</v>
      </c>
      <c r="M107" s="47"/>
      <c r="N107" s="47"/>
      <c r="O107" s="47"/>
      <c r="P107" s="47"/>
      <c r="Q107" s="2197"/>
      <c r="S107" s="2235">
        <f>CO2データ!N161</f>
        <v>0.76</v>
      </c>
    </row>
    <row r="108" spans="2:19">
      <c r="B108" s="2042"/>
      <c r="C108" s="47"/>
      <c r="D108" s="47"/>
      <c r="E108" s="2190"/>
      <c r="F108" s="2187" t="s">
        <v>2323</v>
      </c>
      <c r="G108" s="2188"/>
      <c r="H108" s="2201">
        <f>メイン!R58</f>
        <v>0</v>
      </c>
      <c r="I108" s="47"/>
      <c r="J108" s="2201">
        <f>CO2データ!H162</f>
        <v>0</v>
      </c>
      <c r="K108" s="47"/>
      <c r="L108" s="2225" t="e">
        <f>CO2データ!R162</f>
        <v>#VALUE!</v>
      </c>
      <c r="M108" s="47"/>
      <c r="N108" s="47"/>
      <c r="O108" s="47"/>
      <c r="P108" s="47"/>
      <c r="Q108" s="2197"/>
      <c r="S108" s="2235">
        <f>CO2データ!N162</f>
        <v>0.81</v>
      </c>
    </row>
    <row r="109" spans="2:19">
      <c r="B109" s="2042"/>
      <c r="C109" s="47"/>
      <c r="D109" s="47"/>
      <c r="E109" s="2190"/>
      <c r="F109" s="2191" t="s">
        <v>2324</v>
      </c>
      <c r="G109" s="2195"/>
      <c r="H109" s="2201">
        <f>メイン!R59</f>
        <v>0</v>
      </c>
      <c r="I109" s="47"/>
      <c r="J109" s="2201">
        <f>CO2データ!H163</f>
        <v>0</v>
      </c>
      <c r="K109" s="47"/>
      <c r="L109" s="2225" t="e">
        <f>CO2データ!R163</f>
        <v>#VALUE!</v>
      </c>
      <c r="M109" s="47"/>
      <c r="N109" s="47"/>
      <c r="O109" s="47"/>
      <c r="P109" s="47"/>
      <c r="Q109" s="2197"/>
      <c r="S109" s="2235">
        <f>CO2データ!N163</f>
        <v>0.92</v>
      </c>
    </row>
    <row r="110" spans="2:19">
      <c r="B110" s="2042"/>
      <c r="C110" s="47"/>
      <c r="D110" s="47"/>
      <c r="E110" s="2187" t="s">
        <v>477</v>
      </c>
      <c r="F110" s="2194"/>
      <c r="G110" s="2188"/>
      <c r="H110" s="2201">
        <f>メイン!E60</f>
        <v>0</v>
      </c>
      <c r="I110" s="47"/>
      <c r="J110" s="2201">
        <f>CO2データ!H164</f>
        <v>0</v>
      </c>
      <c r="K110" s="47"/>
      <c r="L110" s="2225" t="e">
        <f>CO2データ!R164</f>
        <v>#VALUE!</v>
      </c>
      <c r="M110" s="47"/>
      <c r="N110" s="47"/>
      <c r="O110" s="47"/>
      <c r="P110" s="47"/>
      <c r="Q110" s="2197"/>
      <c r="S110" s="2235">
        <f>CO2データ!N164</f>
        <v>1</v>
      </c>
    </row>
    <row r="111" spans="2:19">
      <c r="B111" s="2042"/>
      <c r="C111" s="47"/>
      <c r="D111" s="47"/>
      <c r="E111" s="2187" t="s">
        <v>471</v>
      </c>
      <c r="F111" s="2194"/>
      <c r="G111" s="2188"/>
      <c r="H111" s="2201">
        <f>メイン!R61</f>
        <v>0</v>
      </c>
      <c r="I111" s="47"/>
      <c r="J111" s="2201">
        <f>CO2データ!H165</f>
        <v>0</v>
      </c>
      <c r="K111" s="47"/>
      <c r="L111" s="2225" t="e">
        <f>CO2データ!R165</f>
        <v>#VALUE!</v>
      </c>
      <c r="M111" s="47"/>
      <c r="N111" s="47"/>
      <c r="O111" s="47"/>
      <c r="P111" s="47"/>
      <c r="Q111" s="2197"/>
      <c r="S111" s="2235">
        <f>CO2データ!N165</f>
        <v>0.65</v>
      </c>
    </row>
    <row r="112" spans="2:19" ht="14.25" thickBot="1">
      <c r="B112" s="2042"/>
      <c r="C112" s="47"/>
      <c r="D112" s="47"/>
      <c r="E112" s="2187" t="s">
        <v>2314</v>
      </c>
      <c r="F112" s="2194"/>
      <c r="G112" s="2188"/>
      <c r="H112" s="2201">
        <f>メイン!R62</f>
        <v>0</v>
      </c>
      <c r="I112" s="47"/>
      <c r="J112" s="2201">
        <f>CO2データ!H166</f>
        <v>0</v>
      </c>
      <c r="K112" s="47"/>
      <c r="L112" s="2226" t="e">
        <f>CO2データ!R166</f>
        <v>#VALUE!</v>
      </c>
      <c r="M112" s="47"/>
      <c r="N112" s="47"/>
      <c r="O112" s="47"/>
      <c r="P112" s="47"/>
      <c r="Q112" s="2197"/>
      <c r="S112" s="2235">
        <f>CO2データ!N166</f>
        <v>0.77</v>
      </c>
    </row>
    <row r="113" spans="2:27" ht="14.25" thickBot="1">
      <c r="B113" s="2042"/>
      <c r="C113" s="47"/>
      <c r="D113" s="47"/>
      <c r="E113" s="2196" t="s">
        <v>126</v>
      </c>
      <c r="F113" s="2196" t="s">
        <v>479</v>
      </c>
      <c r="G113" s="2196"/>
      <c r="H113" s="2216">
        <f>SUM(H97:H112)</f>
        <v>12000</v>
      </c>
      <c r="I113" s="47"/>
      <c r="J113" s="2216">
        <f>SUMPRODUCT(H97:H112,J97:J112)/1000</f>
        <v>12030</v>
      </c>
      <c r="K113" s="47" t="s">
        <v>128</v>
      </c>
      <c r="L113" s="2227" t="e">
        <f>SUMPRODUCT(H97:H112,L97:L112)/H113</f>
        <v>#VALUE!</v>
      </c>
      <c r="M113" s="47"/>
      <c r="N113" s="47"/>
      <c r="O113" s="47"/>
      <c r="P113" s="47"/>
      <c r="Q113" s="2197"/>
      <c r="T113" s="2236">
        <f>SUMPRODUCT(H97:H112,J97:J112,S97:S112)/1000</f>
        <v>10220.785026653875</v>
      </c>
    </row>
    <row r="114" spans="2:27">
      <c r="B114" s="2042"/>
      <c r="C114" s="47"/>
      <c r="D114" s="47"/>
      <c r="E114" s="47"/>
      <c r="F114" s="47"/>
      <c r="G114" s="47"/>
      <c r="H114" s="47"/>
      <c r="I114" s="47"/>
      <c r="J114" s="47"/>
      <c r="K114" s="47"/>
      <c r="L114" s="47"/>
      <c r="M114" s="47"/>
      <c r="N114" s="47"/>
      <c r="O114" s="47"/>
      <c r="P114" s="47"/>
      <c r="Q114" s="2197"/>
    </row>
    <row r="115" spans="2:27">
      <c r="B115" s="2042"/>
      <c r="C115" s="47"/>
      <c r="D115" s="47"/>
      <c r="E115" s="912" t="s">
        <v>2170</v>
      </c>
      <c r="F115" s="2047"/>
      <c r="G115" s="47"/>
      <c r="H115" s="2044" t="s">
        <v>659</v>
      </c>
      <c r="I115" s="47"/>
      <c r="J115" s="47"/>
      <c r="K115" s="47"/>
      <c r="L115" s="47"/>
      <c r="M115" s="47"/>
      <c r="N115" s="47"/>
      <c r="O115" s="47"/>
      <c r="P115" s="47"/>
      <c r="Q115" s="2197"/>
      <c r="S115" s="2235"/>
      <c r="V115" s="1"/>
      <c r="W115" s="1"/>
      <c r="Z115" s="1"/>
      <c r="AA115" s="1"/>
    </row>
    <row r="116" spans="2:27" ht="14.25" hidden="1" thickBot="1">
      <c r="B116" s="2042"/>
      <c r="C116" s="47"/>
      <c r="D116" s="47"/>
      <c r="E116" s="912"/>
      <c r="F116" s="2047"/>
      <c r="G116" s="47"/>
      <c r="H116" s="47"/>
      <c r="I116" s="47"/>
      <c r="J116" s="47"/>
      <c r="K116" s="47"/>
      <c r="L116" s="47"/>
      <c r="M116" s="47"/>
      <c r="N116" s="47"/>
      <c r="O116" s="47"/>
      <c r="P116" s="47"/>
      <c r="Q116" s="2197"/>
      <c r="T116" s="2244">
        <v>1</v>
      </c>
    </row>
    <row r="117" spans="2:27" ht="14.25" hidden="1" thickBot="1">
      <c r="B117" s="2042"/>
      <c r="C117" s="47"/>
      <c r="D117" s="47"/>
      <c r="E117" s="912"/>
      <c r="F117" s="912" t="s">
        <v>2038</v>
      </c>
      <c r="G117" s="2047"/>
      <c r="H117" s="2052">
        <f>IF(T116=1,0,H113-H100-H101)</f>
        <v>0</v>
      </c>
      <c r="I117" s="47"/>
      <c r="J117" s="47"/>
      <c r="K117" s="47"/>
      <c r="L117" s="47"/>
      <c r="M117" s="47"/>
      <c r="N117" s="2228">
        <f>採点LR1!I44</f>
        <v>0</v>
      </c>
      <c r="O117" s="47" t="s">
        <v>2039</v>
      </c>
      <c r="P117" s="47"/>
      <c r="Q117" s="2197"/>
      <c r="S117" s="2235">
        <f>CO2データ!N171</f>
        <v>0</v>
      </c>
    </row>
    <row r="118" spans="2:27">
      <c r="B118" s="2053"/>
      <c r="C118" s="905"/>
      <c r="D118" s="905"/>
      <c r="E118" s="912"/>
      <c r="F118" s="912" t="s">
        <v>2947</v>
      </c>
      <c r="G118" s="2047"/>
      <c r="H118" s="2046" t="s">
        <v>2415</v>
      </c>
      <c r="I118" s="2046"/>
      <c r="J118" s="907" t="s">
        <v>1625</v>
      </c>
      <c r="K118" s="907" t="s">
        <v>1626</v>
      </c>
      <c r="L118" s="907" t="s">
        <v>1627</v>
      </c>
      <c r="M118" s="908" t="s">
        <v>316</v>
      </c>
      <c r="N118" s="908" t="s">
        <v>2079</v>
      </c>
      <c r="O118" s="2055"/>
      <c r="P118" s="916"/>
      <c r="Q118" s="2056"/>
      <c r="S118" s="2235">
        <f>CO2データ!N172</f>
        <v>0</v>
      </c>
    </row>
    <row r="119" spans="2:27">
      <c r="B119" s="2053"/>
      <c r="C119" s="905"/>
      <c r="D119" s="905"/>
      <c r="E119" s="912"/>
      <c r="F119" s="912"/>
      <c r="G119" s="2046" t="s">
        <v>2040</v>
      </c>
      <c r="H119" s="2610">
        <f>H100+H101+G34</f>
        <v>6500</v>
      </c>
      <c r="I119" s="2046"/>
      <c r="J119" s="2221">
        <v>0</v>
      </c>
      <c r="K119" s="2221">
        <v>1</v>
      </c>
      <c r="L119" s="2221">
        <v>15</v>
      </c>
      <c r="M119" s="2059">
        <f>採点LR1!L47</f>
        <v>3</v>
      </c>
      <c r="N119" s="2220">
        <f>IF(M119&gt;=5,$L119,IF(M119&gt;=4,$K119,$J119))</f>
        <v>0</v>
      </c>
      <c r="O119" s="47"/>
      <c r="P119" s="916"/>
      <c r="Q119" s="2056"/>
      <c r="S119" s="2235">
        <f>CO2データ!N173</f>
        <v>0</v>
      </c>
    </row>
    <row r="120" spans="2:27">
      <c r="B120" s="2053"/>
      <c r="C120" s="905"/>
      <c r="D120" s="905"/>
      <c r="E120" s="912"/>
      <c r="F120" s="912"/>
      <c r="G120" s="2047" t="s">
        <v>2041</v>
      </c>
      <c r="H120" s="2052">
        <f>IF(T116=1,H113-H100-H101,0)</f>
        <v>8000</v>
      </c>
      <c r="I120" s="2046"/>
      <c r="J120" s="2221">
        <v>0</v>
      </c>
      <c r="K120" s="2221">
        <v>1</v>
      </c>
      <c r="L120" s="2221">
        <f>採点LR1!I54</f>
        <v>0</v>
      </c>
      <c r="M120" s="2059">
        <f>採点LR1!G47</f>
        <v>3</v>
      </c>
      <c r="N120" s="2220">
        <f>IF(M120&gt;=5,$L120,IF(M120&gt;=4,$K120,$J120))</f>
        <v>0</v>
      </c>
      <c r="O120" s="47" t="s">
        <v>2865</v>
      </c>
      <c r="P120" s="916"/>
      <c r="Q120" s="2056"/>
      <c r="S120" s="2235">
        <f>CO2データ!N174</f>
        <v>0</v>
      </c>
    </row>
    <row r="121" spans="2:27">
      <c r="B121" s="2053"/>
      <c r="C121" s="905"/>
      <c r="D121" s="905"/>
      <c r="E121" s="2061"/>
      <c r="F121" s="2061"/>
      <c r="G121" s="2054"/>
      <c r="H121" s="2047"/>
      <c r="I121" s="2047"/>
      <c r="J121" s="2047"/>
      <c r="K121" s="2047"/>
      <c r="L121" s="2047"/>
      <c r="M121" s="2047"/>
      <c r="N121" s="2047"/>
      <c r="O121" s="2055"/>
      <c r="P121" s="916"/>
      <c r="Q121" s="2056"/>
      <c r="S121" s="2235">
        <f>CO2データ!N175</f>
        <v>0</v>
      </c>
    </row>
    <row r="122" spans="2:27">
      <c r="B122" s="2045"/>
      <c r="C122" s="905"/>
      <c r="D122" s="905"/>
      <c r="E122" s="912" t="s">
        <v>371</v>
      </c>
      <c r="F122" s="2061"/>
      <c r="G122" s="47"/>
      <c r="H122" s="2217"/>
      <c r="I122" s="47"/>
      <c r="J122" s="907" t="s">
        <v>1625</v>
      </c>
      <c r="K122" s="907" t="s">
        <v>1626</v>
      </c>
      <c r="L122" s="907" t="s">
        <v>1627</v>
      </c>
      <c r="M122" s="908" t="s">
        <v>316</v>
      </c>
      <c r="N122" s="908" t="s">
        <v>655</v>
      </c>
      <c r="O122" s="910"/>
      <c r="P122" s="916"/>
      <c r="Q122" s="2056"/>
      <c r="S122" s="2235">
        <f>CO2データ!N176</f>
        <v>0</v>
      </c>
    </row>
    <row r="123" spans="2:27">
      <c r="B123" s="2045"/>
      <c r="C123" s="905"/>
      <c r="D123" s="905"/>
      <c r="E123" s="912"/>
      <c r="F123" s="912" t="s">
        <v>656</v>
      </c>
      <c r="G123" s="47"/>
      <c r="H123" s="47"/>
      <c r="I123" s="47"/>
      <c r="J123" s="2057">
        <v>1</v>
      </c>
      <c r="K123" s="2058">
        <v>0.97499999999999998</v>
      </c>
      <c r="L123" s="2057">
        <v>0.95</v>
      </c>
      <c r="M123" s="2059">
        <f>スコア!M134</f>
        <v>3</v>
      </c>
      <c r="N123" s="2060">
        <f>IF(M123&gt;=5,$L123,IF(M123&gt;=4,$K123,$J123))</f>
        <v>1</v>
      </c>
      <c r="O123" s="910"/>
      <c r="P123" s="916"/>
      <c r="Q123" s="2056"/>
    </row>
    <row r="124" spans="2:27">
      <c r="B124" s="2045"/>
      <c r="C124" s="905"/>
      <c r="D124" s="47"/>
      <c r="E124" s="47"/>
      <c r="F124" s="47"/>
      <c r="G124" s="47"/>
      <c r="H124" s="47"/>
      <c r="I124" s="47"/>
      <c r="J124" s="47"/>
      <c r="K124" s="47"/>
      <c r="L124" s="47"/>
      <c r="M124" s="47"/>
      <c r="N124" s="902"/>
      <c r="O124" s="910"/>
      <c r="P124" s="910"/>
      <c r="Q124" s="904"/>
    </row>
    <row r="125" spans="2:27">
      <c r="B125" s="2045"/>
      <c r="C125" s="905"/>
      <c r="D125" s="47"/>
      <c r="E125" s="2039" t="s">
        <v>657</v>
      </c>
      <c r="F125" s="47"/>
      <c r="G125" s="2081"/>
      <c r="H125" s="47"/>
      <c r="I125" s="47"/>
      <c r="J125" s="47"/>
      <c r="K125" s="47"/>
      <c r="L125" s="47"/>
      <c r="M125" s="47"/>
      <c r="N125" s="47" t="s">
        <v>2400</v>
      </c>
      <c r="O125" s="47"/>
      <c r="P125" s="47"/>
      <c r="Q125" s="2179" t="s">
        <v>2401</v>
      </c>
    </row>
    <row r="126" spans="2:27">
      <c r="B126" s="2045"/>
      <c r="C126" s="905"/>
      <c r="D126" s="47"/>
      <c r="E126" s="47"/>
      <c r="F126" s="47"/>
      <c r="G126" s="2081"/>
      <c r="H126" s="47"/>
      <c r="I126" s="47"/>
      <c r="J126" s="47"/>
      <c r="K126" s="47"/>
      <c r="L126" s="47"/>
      <c r="M126" s="47"/>
      <c r="N126" s="902" t="s">
        <v>651</v>
      </c>
      <c r="O126" s="910"/>
      <c r="P126" s="910"/>
      <c r="Q126" s="904" t="s">
        <v>651</v>
      </c>
    </row>
    <row r="127" spans="2:27">
      <c r="B127" s="2045"/>
      <c r="C127" s="905"/>
      <c r="D127" s="47"/>
      <c r="E127" s="47"/>
      <c r="F127" s="47" t="s">
        <v>2345</v>
      </c>
      <c r="G127" s="2604">
        <f>メイン!E64</f>
        <v>2000</v>
      </c>
      <c r="H127" s="2604" t="s">
        <v>678</v>
      </c>
      <c r="I127" s="47"/>
      <c r="J127" s="2046" t="s">
        <v>372</v>
      </c>
      <c r="K127" s="2046" t="s">
        <v>2400</v>
      </c>
      <c r="L127" s="2046" t="s">
        <v>2401</v>
      </c>
      <c r="M127" s="2046"/>
      <c r="N127" s="2617">
        <f>IF(G127=0,0,IF(F62=S59,K83+K85,J129*K129/1000))</f>
        <v>0</v>
      </c>
      <c r="O127" s="47"/>
      <c r="P127" s="47"/>
      <c r="Q127" s="2618">
        <f>IF(G127=0,0,IF(F62=S59,(K82-K86)*1.1+K86,J129*L129/1000))</f>
        <v>0</v>
      </c>
      <c r="S127" s="2235"/>
    </row>
    <row r="128" spans="2:27">
      <c r="B128" s="2045"/>
      <c r="C128" s="905"/>
      <c r="D128" s="47"/>
      <c r="E128" s="47"/>
      <c r="F128" s="47"/>
      <c r="G128" s="2081"/>
      <c r="H128" s="47"/>
      <c r="I128" s="47"/>
      <c r="J128" s="2046" t="s">
        <v>2415</v>
      </c>
      <c r="K128" s="2043" t="s">
        <v>2865</v>
      </c>
      <c r="L128" s="2043" t="s">
        <v>2865</v>
      </c>
      <c r="M128" s="2046"/>
      <c r="N128" s="2183"/>
      <c r="O128" s="47"/>
      <c r="P128" s="47"/>
      <c r="Q128" s="2184"/>
    </row>
    <row r="129" spans="2:19">
      <c r="B129" s="2045"/>
      <c r="C129" s="905"/>
      <c r="D129" s="47"/>
      <c r="E129" s="47"/>
      <c r="F129" s="47"/>
      <c r="G129" s="2607" t="s">
        <v>3469</v>
      </c>
      <c r="H129" s="2604"/>
      <c r="I129" s="2608"/>
      <c r="J129" s="2609">
        <f>G70</f>
        <v>0</v>
      </c>
      <c r="K129" s="2181" t="e">
        <f>CO2データ!I196</f>
        <v>#N/A</v>
      </c>
      <c r="L129" s="2181" t="e">
        <f>CO2データ!I197</f>
        <v>#N/A</v>
      </c>
      <c r="M129" s="2046"/>
      <c r="N129" s="902"/>
      <c r="O129" s="910"/>
      <c r="P129" s="910"/>
      <c r="Q129" s="904"/>
    </row>
    <row r="130" spans="2:19" ht="6.75" customHeight="1">
      <c r="B130" s="2045"/>
      <c r="C130" s="905"/>
      <c r="D130" s="47"/>
      <c r="E130" s="47"/>
      <c r="F130" s="47"/>
      <c r="G130" s="2047"/>
      <c r="H130" s="47"/>
      <c r="I130" s="2046"/>
      <c r="J130" s="2183"/>
      <c r="K130" s="2183"/>
      <c r="L130" s="2183"/>
      <c r="M130" s="2046"/>
      <c r="N130" s="902"/>
      <c r="O130" s="910"/>
      <c r="P130" s="910"/>
      <c r="Q130" s="904"/>
    </row>
    <row r="131" spans="2:19">
      <c r="B131" s="2045"/>
      <c r="C131" s="905"/>
      <c r="D131" s="47"/>
      <c r="E131" s="47"/>
      <c r="F131" s="47" t="s">
        <v>838</v>
      </c>
      <c r="G131" s="2604">
        <f>メイン!E65</f>
        <v>500</v>
      </c>
      <c r="H131" s="2604" t="s">
        <v>678</v>
      </c>
      <c r="I131" s="47"/>
      <c r="J131" s="47"/>
      <c r="K131" s="47"/>
      <c r="L131" s="2044"/>
      <c r="M131" s="47"/>
      <c r="N131" s="2617" t="str">
        <f>IF(G131=0,0,IF(L83=0,"-",L83+M83+L85))</f>
        <v>-</v>
      </c>
      <c r="O131" s="910"/>
      <c r="P131" s="916"/>
      <c r="Q131" s="2618">
        <f>IF(G131=0,0,L82+M82)</f>
        <v>0</v>
      </c>
      <c r="S131" s="2235"/>
    </row>
    <row r="132" spans="2:19" ht="14.25" thickBot="1">
      <c r="B132" s="2202"/>
      <c r="C132" s="2203"/>
      <c r="D132" s="2203"/>
      <c r="E132" s="2203"/>
      <c r="F132" s="2203"/>
      <c r="G132" s="2203"/>
      <c r="H132" s="2203"/>
      <c r="I132" s="2203"/>
      <c r="J132" s="2203"/>
      <c r="K132" s="2203"/>
      <c r="L132" s="2203"/>
      <c r="M132" s="2203"/>
      <c r="N132" s="2203"/>
      <c r="O132" s="2203"/>
      <c r="P132" s="2203"/>
      <c r="Q132" s="2204"/>
    </row>
    <row r="133" spans="2:19">
      <c r="H133" s="1391"/>
    </row>
    <row r="134" spans="2:19"/>
    <row r="135" spans="2:19"/>
    <row r="136" spans="2:19"/>
    <row r="137" spans="2:19"/>
    <row r="138" spans="2:19"/>
  </sheetData>
  <sheetProtection algorithmName="SHA-512" hashValue="gPo3hifPCy4cvqkgN64gH7MPKH1TZZ+Z3QBh2jI3xmo5/e0f0calG/hVWYcFVz1/AoxYiV9wu1hMekCkgG604Q==" saltValue="SQs+1ZToETmFQq3IehvZZg==" spinCount="100000" sheet="1" objects="1" scenarios="1"/>
  <mergeCells count="7">
    <mergeCell ref="F87:P87"/>
    <mergeCell ref="F10:P10"/>
    <mergeCell ref="G12:P12"/>
    <mergeCell ref="E30:O30"/>
    <mergeCell ref="D39:O39"/>
    <mergeCell ref="E60:O61"/>
    <mergeCell ref="F62:H62"/>
  </mergeCells>
  <phoneticPr fontId="21"/>
  <conditionalFormatting sqref="F62:H62 F64 L64 K84:L84">
    <cfRule type="expression" dxfId="51" priority="6">
      <formula>$G$34=0</formula>
    </cfRule>
  </conditionalFormatting>
  <conditionalFormatting sqref="H6">
    <cfRule type="expression" dxfId="50" priority="3">
      <formula>$G$15=0</formula>
    </cfRule>
  </conditionalFormatting>
  <conditionalFormatting sqref="H9">
    <cfRule type="expression" dxfId="49" priority="4">
      <formula>$G$16=0</formula>
    </cfRule>
  </conditionalFormatting>
  <conditionalFormatting sqref="H41 H50 J69 J84:J85">
    <cfRule type="expression" dxfId="48" priority="5">
      <formula>$G$32+$G$33=0</formula>
    </cfRule>
  </conditionalFormatting>
  <conditionalFormatting sqref="J69">
    <cfRule type="expression" dxfId="47" priority="13">
      <formula>$F$62=$S$59</formula>
    </cfRule>
    <cfRule type="expression" dxfId="46" priority="14">
      <formula>$G$34=0</formula>
    </cfRule>
  </conditionalFormatting>
  <conditionalFormatting sqref="J85">
    <cfRule type="expression" dxfId="45" priority="9">
      <formula>$J$84=0</formula>
    </cfRule>
  </conditionalFormatting>
  <conditionalFormatting sqref="K85">
    <cfRule type="expression" dxfId="44" priority="7">
      <formula>$K$84=0</formula>
    </cfRule>
  </conditionalFormatting>
  <conditionalFormatting sqref="K85:K86">
    <cfRule type="expression" dxfId="43" priority="1">
      <formula>$G$34=0</formula>
    </cfRule>
  </conditionalFormatting>
  <conditionalFormatting sqref="K82:M83">
    <cfRule type="expression" dxfId="42" priority="2">
      <formula>$G$34=0</formula>
    </cfRule>
  </conditionalFormatting>
  <conditionalFormatting sqref="L85">
    <cfRule type="expression" dxfId="41" priority="11">
      <formula>$L$84=0</formula>
    </cfRule>
    <cfRule type="expression" dxfId="40" priority="12">
      <formula>$G$34=0</formula>
    </cfRule>
  </conditionalFormatting>
  <conditionalFormatting sqref="N117">
    <cfRule type="expression" dxfId="39" priority="20" stopIfTrue="1">
      <formula>$J$52&gt;0</formula>
    </cfRule>
  </conditionalFormatting>
  <dataValidations count="5">
    <dataValidation allowBlank="1" showInputMessage="1" sqref="N117" xr:uid="{00000000-0002-0000-0A00-000000000000}"/>
    <dataValidation type="list" allowBlank="1" showInputMessage="1" showErrorMessage="1" sqref="F64" xr:uid="{E1BA2FEF-8606-42A3-A24D-BED318CA4B58}">
      <formula1>$S$64:$S$67</formula1>
    </dataValidation>
    <dataValidation type="list" allowBlank="1" showInputMessage="1" showErrorMessage="1" sqref="L64" xr:uid="{49272B38-7E08-4B02-B4F9-44C2ACECCB23}">
      <formula1>$T$64:$T$66</formula1>
    </dataValidation>
    <dataValidation type="list" allowBlank="1" showInputMessage="1" sqref="F62" xr:uid="{83380225-A120-4EB3-85C2-3136DB2BDBEB}">
      <formula1>$S$59:$S$61</formula1>
    </dataValidation>
    <dataValidation type="list" allowBlank="1" showInputMessage="1" showErrorMessage="1" sqref="H9" xr:uid="{798B7DE6-CBDC-49E2-9631-6C8B117C02A6}">
      <formula1>$T$6:$T$11</formula1>
    </dataValidation>
  </dataValidations>
  <pageMargins left="0.78740157480314965" right="0.78740157480314965" top="0.98425196850393704" bottom="0.98425196850393704" header="0.51181102362204722" footer="0.51181102362204722"/>
  <pageSetup paperSize="9" scale="67" fitToHeight="0" orientation="portrait" r:id="rId1"/>
  <headerFooter alignWithMargins="0">
    <oddHeader>&amp;L&amp;F&amp;R&amp;A</oddHeader>
    <oddFooter>&amp;C&amp;P/&amp;N</oddFooter>
  </headerFooter>
  <rowBreaks count="1" manualBreakCount="1">
    <brk id="89" max="16383" man="1"/>
  </rowBreak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pageSetUpPr fitToPage="1"/>
  </sheetPr>
  <dimension ref="A1:V102"/>
  <sheetViews>
    <sheetView showGridLines="0" zoomScaleNormal="100" zoomScaleSheetLayoutView="100" workbookViewId="0">
      <selection activeCell="J23" sqref="J23"/>
    </sheetView>
  </sheetViews>
  <sheetFormatPr defaultColWidth="0" defaultRowHeight="13.5" zeroHeight="1"/>
  <cols>
    <col min="1" max="1" width="3.75" customWidth="1"/>
    <col min="2" max="3" width="3.5" customWidth="1"/>
    <col min="4" max="4" width="11.25" customWidth="1"/>
    <col min="5" max="5" width="12.375" customWidth="1"/>
    <col min="6" max="6" width="2.375" customWidth="1"/>
    <col min="7" max="7" width="12.25" customWidth="1"/>
    <col min="8" max="9" width="9" customWidth="1"/>
    <col min="10" max="10" width="10.75" customWidth="1"/>
    <col min="11" max="11" width="12" customWidth="1"/>
    <col min="12" max="15" width="9" customWidth="1"/>
    <col min="16" max="22" width="0" hidden="1" customWidth="1"/>
    <col min="23" max="16384" width="9" hidden="1"/>
  </cols>
  <sheetData>
    <row r="1" spans="2:14">
      <c r="L1" s="951" t="s">
        <v>2697</v>
      </c>
      <c r="M1" s="952"/>
      <c r="N1" s="952" t="str">
        <f>メイン!C11</f>
        <v>○○ビル</v>
      </c>
    </row>
    <row r="2" spans="2:14">
      <c r="B2" s="2392" t="s">
        <v>2968</v>
      </c>
      <c r="C2" s="1674"/>
      <c r="D2" s="1674"/>
      <c r="E2" s="1674"/>
      <c r="F2" s="1674"/>
      <c r="G2" s="1674"/>
      <c r="H2" s="1674"/>
      <c r="I2" s="1674"/>
      <c r="J2" s="1674"/>
      <c r="N2" s="950"/>
    </row>
    <row r="3" spans="2:14" ht="14.25" thickBot="1">
      <c r="B3" s="2393"/>
      <c r="N3" s="950"/>
    </row>
    <row r="4" spans="2:14" ht="16.5" thickBot="1">
      <c r="B4" s="2394"/>
      <c r="C4" s="2394"/>
      <c r="J4" s="2395"/>
      <c r="K4" s="880" t="s">
        <v>2969</v>
      </c>
    </row>
    <row r="5" spans="2:14" ht="15.75">
      <c r="B5" s="2394"/>
      <c r="C5" s="2396" t="s">
        <v>2970</v>
      </c>
    </row>
    <row r="6" spans="2:14" ht="16.5" thickBot="1">
      <c r="B6" s="2394"/>
      <c r="C6" s="2394"/>
      <c r="D6" s="2400" t="s">
        <v>3347</v>
      </c>
      <c r="E6" s="2398"/>
    </row>
    <row r="7" spans="2:14" ht="16.5" thickBot="1">
      <c r="B7" s="2394"/>
      <c r="C7" s="2394"/>
      <c r="D7" s="2397"/>
      <c r="E7" s="1563" t="s">
        <v>3346</v>
      </c>
      <c r="J7" s="2399"/>
      <c r="K7" s="880" t="s">
        <v>2971</v>
      </c>
      <c r="L7" s="950" t="s">
        <v>3371</v>
      </c>
    </row>
    <row r="8" spans="2:14" ht="16.5" thickBot="1">
      <c r="B8" s="2394"/>
      <c r="C8" s="2394"/>
      <c r="E8" s="2514" t="s">
        <v>3370</v>
      </c>
      <c r="J8" s="2399">
        <v>0</v>
      </c>
      <c r="K8" s="880" t="s">
        <v>2971</v>
      </c>
      <c r="L8" s="2466">
        <f>メイン!E60</f>
        <v>0</v>
      </c>
      <c r="M8" s="2493" t="s">
        <v>2944</v>
      </c>
    </row>
    <row r="9" spans="2:14" ht="16.5" thickBot="1">
      <c r="B9" s="2394"/>
      <c r="C9" s="2394"/>
      <c r="D9" s="2400"/>
      <c r="E9" s="2515" t="s">
        <v>3348</v>
      </c>
      <c r="J9" s="2394"/>
      <c r="K9" s="2394"/>
    </row>
    <row r="10" spans="2:14" ht="15.75">
      <c r="B10" s="2394"/>
      <c r="C10" s="2394"/>
      <c r="D10" s="2400"/>
      <c r="E10" s="2513" t="s">
        <v>3345</v>
      </c>
      <c r="H10" s="2470" t="s">
        <v>2331</v>
      </c>
      <c r="I10" s="2471" t="s">
        <v>1788</v>
      </c>
      <c r="J10" s="2472" t="s">
        <v>3337</v>
      </c>
      <c r="K10" s="2513"/>
    </row>
    <row r="11" spans="2:14" ht="16.5" thickBot="1">
      <c r="B11" s="2394"/>
      <c r="C11" s="2394"/>
      <c r="H11" s="2473"/>
      <c r="I11" s="2496"/>
      <c r="J11" s="2474"/>
    </row>
    <row r="12" spans="2:14" ht="12" customHeight="1" thickBot="1">
      <c r="B12" s="2394"/>
      <c r="C12" s="2394"/>
      <c r="E12" s="2394"/>
      <c r="F12" s="2394"/>
      <c r="G12" s="2394"/>
      <c r="H12" s="2394"/>
      <c r="I12" s="2394"/>
      <c r="J12" s="2394"/>
      <c r="K12" s="2394"/>
    </row>
    <row r="13" spans="2:14" ht="16.5" thickBot="1">
      <c r="B13" s="2394"/>
      <c r="C13" s="2394"/>
      <c r="D13" s="2400" t="s">
        <v>2972</v>
      </c>
      <c r="G13" s="2401" t="s">
        <v>2973</v>
      </c>
      <c r="H13" s="2402" t="s">
        <v>3373</v>
      </c>
      <c r="I13" s="2403"/>
      <c r="J13" s="2404" t="s">
        <v>2974</v>
      </c>
      <c r="L13" s="950" t="s">
        <v>3341</v>
      </c>
    </row>
    <row r="14" spans="2:14" ht="16.5" thickTop="1">
      <c r="B14" s="2394"/>
      <c r="C14" s="2394"/>
      <c r="G14" s="2469" t="s">
        <v>3335</v>
      </c>
      <c r="H14" s="2490">
        <f>メイン!R60</f>
        <v>0</v>
      </c>
      <c r="I14" s="2405">
        <f>IF(H14=0,0,+H14/$L$14)</f>
        <v>0</v>
      </c>
      <c r="J14" s="2406"/>
      <c r="K14" s="880" t="s">
        <v>2971</v>
      </c>
      <c r="L14" s="2466">
        <f>メイン!C63</f>
        <v>12000</v>
      </c>
      <c r="M14" s="2493" t="s">
        <v>3343</v>
      </c>
    </row>
    <row r="15" spans="2:14" ht="15.75">
      <c r="B15" s="2394"/>
      <c r="C15" s="2394"/>
      <c r="G15" s="2407" t="s">
        <v>2975</v>
      </c>
      <c r="H15" s="2487"/>
      <c r="I15" s="2408">
        <f>IF(H15=0,0,+H15/$L$14)</f>
        <v>0</v>
      </c>
      <c r="J15" s="2409"/>
      <c r="K15" s="880" t="s">
        <v>2971</v>
      </c>
      <c r="M15" s="2397"/>
      <c r="N15" s="2410"/>
    </row>
    <row r="16" spans="2:14" ht="15.75">
      <c r="B16" s="2394"/>
      <c r="C16" s="2394"/>
      <c r="G16" s="2467" t="s">
        <v>3336</v>
      </c>
      <c r="H16" s="2488"/>
      <c r="I16" s="2408">
        <f>IF(H16=0,0,+H16/$L$14)</f>
        <v>0</v>
      </c>
      <c r="J16" s="2468"/>
      <c r="K16" s="880" t="s">
        <v>2971</v>
      </c>
      <c r="M16" s="2397"/>
      <c r="N16" s="2410"/>
    </row>
    <row r="17" spans="2:22" ht="15.75">
      <c r="B17" s="2394"/>
      <c r="C17" s="2394"/>
      <c r="G17" s="2467"/>
      <c r="H17" s="2488"/>
      <c r="I17" s="2408">
        <f>IF(H17=0,0,+H17/$L$14)</f>
        <v>0</v>
      </c>
      <c r="J17" s="2468"/>
      <c r="K17" s="880" t="s">
        <v>2971</v>
      </c>
      <c r="M17" s="2397"/>
      <c r="N17" s="2410"/>
    </row>
    <row r="18" spans="2:22" ht="16.5" thickBot="1">
      <c r="B18" s="2394"/>
      <c r="C18" s="2394"/>
      <c r="G18" s="2411"/>
      <c r="H18" s="2489"/>
      <c r="I18" s="2412">
        <f>IF(H18=0,0,+H18/$L$14)</f>
        <v>0</v>
      </c>
      <c r="J18" s="2413"/>
      <c r="K18" s="880" t="s">
        <v>2971</v>
      </c>
      <c r="M18" s="2397"/>
      <c r="N18" s="2410"/>
    </row>
    <row r="19" spans="2:22" ht="6.75" customHeight="1" thickBot="1">
      <c r="B19" s="2394"/>
      <c r="C19" s="2394"/>
      <c r="D19" s="2394"/>
      <c r="E19" s="2394"/>
      <c r="F19" s="2394"/>
      <c r="G19" s="2394"/>
      <c r="H19" s="2394"/>
      <c r="I19" s="2394"/>
      <c r="J19" s="2394"/>
      <c r="K19" s="2394"/>
      <c r="L19" s="2394"/>
      <c r="M19" s="2397"/>
      <c r="N19" s="2410"/>
    </row>
    <row r="20" spans="2:22" ht="16.5" thickBot="1">
      <c r="B20" s="2394"/>
      <c r="D20" s="2400" t="s">
        <v>3372</v>
      </c>
      <c r="H20" s="2394"/>
      <c r="J20" s="2414">
        <f>+J7-SUM(J14:J18)</f>
        <v>0</v>
      </c>
      <c r="K20" s="880" t="s">
        <v>2971</v>
      </c>
      <c r="M20" s="2397"/>
      <c r="N20" s="2410"/>
    </row>
    <row r="21" spans="2:22" ht="9" customHeight="1" thickBot="1">
      <c r="B21" s="2394"/>
      <c r="D21" s="2400"/>
      <c r="H21" s="2394"/>
      <c r="I21" s="2394"/>
      <c r="J21" s="2394"/>
      <c r="K21" s="2394"/>
      <c r="M21" s="2397"/>
      <c r="N21" s="2410"/>
    </row>
    <row r="22" spans="2:22" ht="16.5" thickBot="1">
      <c r="B22" s="2394"/>
      <c r="C22" s="2400" t="s">
        <v>2976</v>
      </c>
      <c r="F22" s="2400"/>
      <c r="H22" s="2394"/>
      <c r="J22" s="1563" t="s">
        <v>2977</v>
      </c>
      <c r="L22" s="2415"/>
      <c r="M22" s="2397"/>
      <c r="N22" s="2410"/>
    </row>
    <row r="23" spans="2:22">
      <c r="D23" s="1563" t="s">
        <v>2979</v>
      </c>
      <c r="E23" s="136"/>
      <c r="G23" s="1563" t="s">
        <v>2980</v>
      </c>
      <c r="K23" s="1563" t="s">
        <v>2981</v>
      </c>
    </row>
    <row r="24" spans="2:22" ht="14.25" thickBot="1">
      <c r="D24" s="950" t="s">
        <v>419</v>
      </c>
      <c r="E24" s="950" t="s">
        <v>2982</v>
      </c>
      <c r="F24" s="1355"/>
      <c r="G24" s="1003" t="s">
        <v>419</v>
      </c>
      <c r="H24" s="1003" t="s">
        <v>2983</v>
      </c>
      <c r="K24" s="1003" t="s">
        <v>419</v>
      </c>
      <c r="L24" s="2416" t="s">
        <v>2984</v>
      </c>
      <c r="M24" s="2416" t="s">
        <v>2985</v>
      </c>
      <c r="T24" t="s">
        <v>2318</v>
      </c>
      <c r="U24" t="s">
        <v>3018</v>
      </c>
      <c r="V24" t="s">
        <v>3034</v>
      </c>
    </row>
    <row r="25" spans="2:22" ht="14.25" hidden="1" thickBot="1">
      <c r="D25" s="1557"/>
      <c r="E25" s="1557"/>
      <c r="G25" s="1340"/>
      <c r="H25" s="2417"/>
      <c r="K25" s="2418" t="e">
        <f>VLOOKUP(L22,U24:V30,2)</f>
        <v>#N/A</v>
      </c>
      <c r="T25" t="s">
        <v>3016</v>
      </c>
      <c r="U25" t="s">
        <v>2978</v>
      </c>
      <c r="V25" t="s">
        <v>3035</v>
      </c>
    </row>
    <row r="26" spans="2:22" ht="14.25">
      <c r="D26" s="1550" t="s">
        <v>1771</v>
      </c>
      <c r="E26" s="2419">
        <f>メイン!R47</f>
        <v>5000</v>
      </c>
      <c r="G26" s="2420" t="s">
        <v>1771</v>
      </c>
      <c r="H26" s="2498">
        <f>IF(E26=0,"",E26/$E$44)</f>
        <v>0.41666666666666669</v>
      </c>
      <c r="K26" s="2420" t="s">
        <v>1771</v>
      </c>
      <c r="L26" s="2421" t="e">
        <f>HLOOKUP(K$25,$G$56:$M$73,P57)</f>
        <v>#N/A</v>
      </c>
      <c r="M26" s="2421" t="e">
        <f t="shared" ref="M26:M42" si="0">HLOOKUP(K$25,$G$78:$M$95,P79)</f>
        <v>#N/A</v>
      </c>
      <c r="T26" t="s">
        <v>2978</v>
      </c>
      <c r="U26" t="s">
        <v>3020</v>
      </c>
      <c r="V26" t="s">
        <v>3036</v>
      </c>
    </row>
    <row r="27" spans="2:22" ht="14.25" hidden="1">
      <c r="D27" s="1392" t="s">
        <v>2986</v>
      </c>
      <c r="E27" s="2422"/>
      <c r="G27" s="2423" t="s">
        <v>2986</v>
      </c>
      <c r="H27" s="2499"/>
      <c r="K27" s="2423" t="s">
        <v>2986</v>
      </c>
      <c r="L27" s="2421" t="e">
        <f t="shared" ref="L27:L42" si="1">HLOOKUP(K$25,$G$56:$M$73,P58)</f>
        <v>#N/A</v>
      </c>
      <c r="M27" s="2421" t="e">
        <f t="shared" si="0"/>
        <v>#N/A</v>
      </c>
      <c r="T27" t="s">
        <v>3017</v>
      </c>
      <c r="U27" t="s">
        <v>3019</v>
      </c>
      <c r="V27" t="s">
        <v>3037</v>
      </c>
    </row>
    <row r="28" spans="2:22" ht="14.25">
      <c r="D28" s="1556" t="s">
        <v>2987</v>
      </c>
      <c r="E28" s="2424">
        <f>メイン!R48</f>
        <v>0</v>
      </c>
      <c r="G28" s="2420" t="s">
        <v>2987</v>
      </c>
      <c r="H28" s="2499" t="str">
        <f t="shared" ref="H28:H42" si="2">IF(E28=0,"",E28/$E$44)</f>
        <v/>
      </c>
      <c r="K28" s="2420" t="s">
        <v>2987</v>
      </c>
      <c r="L28" s="2421" t="e">
        <f t="shared" si="1"/>
        <v>#N/A</v>
      </c>
      <c r="M28" s="2421" t="e">
        <f t="shared" si="0"/>
        <v>#N/A</v>
      </c>
      <c r="T28" t="s">
        <v>3018</v>
      </c>
      <c r="U28" t="s">
        <v>3017</v>
      </c>
      <c r="V28" t="s">
        <v>3038</v>
      </c>
    </row>
    <row r="29" spans="2:22" ht="14.25">
      <c r="D29" s="1550" t="s">
        <v>2988</v>
      </c>
      <c r="E29" s="2419">
        <f>メイン!R49</f>
        <v>0</v>
      </c>
      <c r="G29" s="2420" t="s">
        <v>2988</v>
      </c>
      <c r="H29" s="2499" t="str">
        <f t="shared" si="2"/>
        <v/>
      </c>
      <c r="K29" s="2420" t="s">
        <v>2988</v>
      </c>
      <c r="L29" s="2421" t="e">
        <f t="shared" si="1"/>
        <v>#N/A</v>
      </c>
      <c r="M29" s="2421" t="e">
        <f t="shared" si="0"/>
        <v>#N/A</v>
      </c>
      <c r="T29" t="s">
        <v>3019</v>
      </c>
      <c r="U29" t="s">
        <v>3016</v>
      </c>
      <c r="V29" t="s">
        <v>3039</v>
      </c>
    </row>
    <row r="30" spans="2:22" ht="14.25">
      <c r="D30" s="1392" t="s">
        <v>2989</v>
      </c>
      <c r="E30" s="2422">
        <f>メイン!R50+メイン!R51</f>
        <v>4000</v>
      </c>
      <c r="G30" s="2420" t="s">
        <v>2989</v>
      </c>
      <c r="H30" s="2499">
        <f t="shared" si="2"/>
        <v>0.33333333333333331</v>
      </c>
      <c r="K30" s="2420" t="s">
        <v>2989</v>
      </c>
      <c r="L30" s="2421" t="e">
        <f t="shared" si="1"/>
        <v>#N/A</v>
      </c>
      <c r="M30" s="2421" t="e">
        <f t="shared" si="0"/>
        <v>#N/A</v>
      </c>
      <c r="T30" t="s">
        <v>3020</v>
      </c>
      <c r="U30" t="s">
        <v>2318</v>
      </c>
      <c r="V30" t="s">
        <v>3040</v>
      </c>
    </row>
    <row r="31" spans="2:22" ht="14.25">
      <c r="D31" s="1392" t="s">
        <v>2990</v>
      </c>
      <c r="E31" s="2422">
        <f>メイン!R52</f>
        <v>0</v>
      </c>
      <c r="G31" s="2420" t="s">
        <v>2990</v>
      </c>
      <c r="H31" s="2499" t="str">
        <f t="shared" si="2"/>
        <v/>
      </c>
      <c r="K31" s="2420" t="s">
        <v>2990</v>
      </c>
      <c r="L31" s="2421" t="e">
        <f t="shared" si="1"/>
        <v>#N/A</v>
      </c>
      <c r="M31" s="2421" t="e">
        <f t="shared" si="0"/>
        <v>#N/A</v>
      </c>
    </row>
    <row r="32" spans="2:22" ht="14.25">
      <c r="D32" s="1556" t="s">
        <v>2991</v>
      </c>
      <c r="E32" s="2424">
        <f>メイン!R53</f>
        <v>0</v>
      </c>
      <c r="G32" s="2420" t="s">
        <v>2991</v>
      </c>
      <c r="H32" s="2499" t="str">
        <f t="shared" si="2"/>
        <v/>
      </c>
      <c r="K32" s="2420" t="s">
        <v>2991</v>
      </c>
      <c r="L32" s="2421" t="e">
        <f>HLOOKUP(K$25,$G$56:$M$73,P63)</f>
        <v>#N/A</v>
      </c>
      <c r="M32" s="2421" t="e">
        <f t="shared" si="0"/>
        <v>#N/A</v>
      </c>
    </row>
    <row r="33" spans="3:13" ht="14.25" hidden="1">
      <c r="D33" s="1008" t="s">
        <v>2992</v>
      </c>
      <c r="E33" s="2425"/>
      <c r="G33" s="2423" t="s">
        <v>2992</v>
      </c>
      <c r="H33" s="2499" t="str">
        <f t="shared" si="2"/>
        <v/>
      </c>
      <c r="K33" s="2423" t="s">
        <v>2992</v>
      </c>
      <c r="L33" s="2421" t="e">
        <f t="shared" si="1"/>
        <v>#N/A</v>
      </c>
      <c r="M33" s="2421" t="e">
        <f t="shared" si="0"/>
        <v>#N/A</v>
      </c>
    </row>
    <row r="34" spans="3:13" ht="14.25">
      <c r="D34" s="1550" t="s">
        <v>3332</v>
      </c>
      <c r="E34" s="2419">
        <f>メイン!R54</f>
        <v>0</v>
      </c>
      <c r="G34" s="2420" t="s">
        <v>2993</v>
      </c>
      <c r="H34" s="2499" t="str">
        <f t="shared" si="2"/>
        <v/>
      </c>
      <c r="K34" s="2420" t="s">
        <v>2993</v>
      </c>
      <c r="L34" s="2421" t="e">
        <f t="shared" si="1"/>
        <v>#N/A</v>
      </c>
      <c r="M34" s="2421" t="e">
        <f t="shared" si="0"/>
        <v>#N/A</v>
      </c>
    </row>
    <row r="35" spans="3:13" ht="14.25">
      <c r="D35" s="1556" t="s">
        <v>465</v>
      </c>
      <c r="E35" s="2424">
        <f>メイン!R55</f>
        <v>0</v>
      </c>
      <c r="G35" s="2420" t="s">
        <v>2994</v>
      </c>
      <c r="H35" s="2499" t="str">
        <f t="shared" si="2"/>
        <v/>
      </c>
      <c r="K35" s="2420" t="s">
        <v>2994</v>
      </c>
      <c r="L35" s="2421" t="e">
        <f t="shared" si="1"/>
        <v>#N/A</v>
      </c>
      <c r="M35" s="2421" t="e">
        <f t="shared" si="0"/>
        <v>#N/A</v>
      </c>
    </row>
    <row r="36" spans="3:13" ht="14.25">
      <c r="D36" s="1008" t="s">
        <v>467</v>
      </c>
      <c r="E36" s="2425">
        <f>メイン!R56</f>
        <v>0</v>
      </c>
      <c r="G36" s="2420" t="s">
        <v>2995</v>
      </c>
      <c r="H36" s="2499" t="str">
        <f t="shared" si="2"/>
        <v/>
      </c>
      <c r="K36" s="2420" t="s">
        <v>2995</v>
      </c>
      <c r="L36" s="2421" t="e">
        <f>HLOOKUP(K$25,$G$56:$M$73,P67)</f>
        <v>#N/A</v>
      </c>
      <c r="M36" s="2421" t="e">
        <f t="shared" si="0"/>
        <v>#N/A</v>
      </c>
    </row>
    <row r="37" spans="3:13" ht="14.25">
      <c r="D37" s="1392" t="s">
        <v>2996</v>
      </c>
      <c r="E37" s="2422">
        <f>メイン!R57</f>
        <v>3000</v>
      </c>
      <c r="G37" s="2420" t="s">
        <v>2996</v>
      </c>
      <c r="H37" s="2499">
        <f t="shared" si="2"/>
        <v>0.25</v>
      </c>
      <c r="K37" s="2420" t="s">
        <v>2996</v>
      </c>
      <c r="L37" s="2421" t="e">
        <f t="shared" si="1"/>
        <v>#N/A</v>
      </c>
      <c r="M37" s="2421" t="e">
        <f t="shared" si="0"/>
        <v>#N/A</v>
      </c>
    </row>
    <row r="38" spans="3:13" ht="14.25">
      <c r="D38" s="1392" t="s">
        <v>2997</v>
      </c>
      <c r="E38" s="2422">
        <f>メイン!R58</f>
        <v>0</v>
      </c>
      <c r="G38" s="2420" t="s">
        <v>2997</v>
      </c>
      <c r="H38" s="2499" t="str">
        <f t="shared" si="2"/>
        <v/>
      </c>
      <c r="K38" s="2420" t="s">
        <v>2997</v>
      </c>
      <c r="L38" s="2421" t="e">
        <f t="shared" si="1"/>
        <v>#N/A</v>
      </c>
      <c r="M38" s="2421" t="e">
        <f t="shared" si="0"/>
        <v>#N/A</v>
      </c>
    </row>
    <row r="39" spans="3:13" ht="14.25">
      <c r="D39" s="1556" t="s">
        <v>2998</v>
      </c>
      <c r="E39" s="2424">
        <f>メイン!R59</f>
        <v>0</v>
      </c>
      <c r="G39" s="2420" t="s">
        <v>2998</v>
      </c>
      <c r="H39" s="2499" t="str">
        <f t="shared" si="2"/>
        <v/>
      </c>
      <c r="K39" s="2420" t="s">
        <v>2998</v>
      </c>
      <c r="L39" s="2421" t="e">
        <f t="shared" si="1"/>
        <v>#N/A</v>
      </c>
      <c r="M39" s="2421" t="e">
        <f t="shared" si="0"/>
        <v>#N/A</v>
      </c>
    </row>
    <row r="40" spans="3:13" ht="14.25">
      <c r="D40" s="1008" t="s">
        <v>1967</v>
      </c>
      <c r="E40" s="2425">
        <f>メイン!R61</f>
        <v>0</v>
      </c>
      <c r="G40" s="2420" t="s">
        <v>1967</v>
      </c>
      <c r="H40" s="2499" t="str">
        <f t="shared" si="2"/>
        <v/>
      </c>
      <c r="K40" s="2420" t="s">
        <v>1967</v>
      </c>
      <c r="L40" s="2421" t="e">
        <f t="shared" si="1"/>
        <v>#N/A</v>
      </c>
      <c r="M40" s="2421" t="e">
        <f t="shared" si="0"/>
        <v>#N/A</v>
      </c>
    </row>
    <row r="41" spans="3:13" ht="14.25" hidden="1">
      <c r="D41" s="1008" t="s">
        <v>2999</v>
      </c>
      <c r="E41" s="2425"/>
      <c r="G41" s="2423" t="s">
        <v>2999</v>
      </c>
      <c r="H41" s="2499" t="str">
        <f t="shared" si="2"/>
        <v/>
      </c>
      <c r="K41" s="2423" t="s">
        <v>2999</v>
      </c>
      <c r="L41" s="2421" t="e">
        <f t="shared" si="1"/>
        <v>#N/A</v>
      </c>
      <c r="M41" s="2421" t="e">
        <f t="shared" si="0"/>
        <v>#N/A</v>
      </c>
    </row>
    <row r="42" spans="3:13" ht="15" thickBot="1">
      <c r="D42" s="1008" t="s">
        <v>319</v>
      </c>
      <c r="E42" s="2425">
        <f>メイン!R62</f>
        <v>0</v>
      </c>
      <c r="G42" s="2420" t="s">
        <v>3001</v>
      </c>
      <c r="H42" s="2500" t="str">
        <f t="shared" si="2"/>
        <v/>
      </c>
      <c r="K42" s="2420" t="s">
        <v>3001</v>
      </c>
      <c r="L42" s="2421" t="e">
        <f t="shared" si="1"/>
        <v>#N/A</v>
      </c>
      <c r="M42" s="2421" t="e">
        <f t="shared" si="0"/>
        <v>#N/A</v>
      </c>
    </row>
    <row r="43" spans="3:13" hidden="1">
      <c r="D43" s="1005"/>
      <c r="E43" s="2425"/>
      <c r="G43" s="2426"/>
      <c r="H43" s="2427"/>
      <c r="K43" s="2426"/>
      <c r="L43" s="2421"/>
      <c r="M43" s="2421"/>
    </row>
    <row r="44" spans="3:13">
      <c r="D44" s="1005" t="s">
        <v>479</v>
      </c>
      <c r="E44" s="2428">
        <f>SUM(E25:E43)</f>
        <v>12000</v>
      </c>
      <c r="G44" s="2418" t="s">
        <v>479</v>
      </c>
      <c r="H44" s="2429">
        <f>SUM(H26:H42)</f>
        <v>1</v>
      </c>
      <c r="K44" s="2426" t="s">
        <v>479</v>
      </c>
      <c r="L44" s="2428" t="e">
        <f>SUMPRODUCT(H26:H42,L26:L42)</f>
        <v>#N/A</v>
      </c>
      <c r="M44" s="2428" t="e">
        <f>SUMPRODUCT(H26:H42,M26:M42)</f>
        <v>#N/A</v>
      </c>
    </row>
    <row r="45" spans="3:13">
      <c r="D45" s="880" t="s">
        <v>3002</v>
      </c>
    </row>
    <row r="46" spans="3:13">
      <c r="G46" s="2416"/>
    </row>
    <row r="47" spans="3:13">
      <c r="C47" s="2430" t="s">
        <v>3003</v>
      </c>
    </row>
    <row r="48" spans="3:13">
      <c r="D48" s="1563" t="s">
        <v>3004</v>
      </c>
      <c r="I48" s="2052">
        <f>L14-SUM(H14:H18)</f>
        <v>12000</v>
      </c>
      <c r="J48" s="880" t="s">
        <v>3005</v>
      </c>
      <c r="K48" s="880"/>
      <c r="L48" s="880"/>
      <c r="M48" s="880"/>
    </row>
    <row r="49" spans="4:16">
      <c r="D49" s="2400" t="s">
        <v>3006</v>
      </c>
      <c r="I49" s="2052">
        <f>J20/I48*1000</f>
        <v>0</v>
      </c>
      <c r="J49" s="880" t="s">
        <v>3007</v>
      </c>
      <c r="K49" s="880"/>
      <c r="L49" s="880"/>
      <c r="M49" s="880"/>
    </row>
    <row r="50" spans="4:16" ht="14.25" thickBot="1">
      <c r="D50" s="2400" t="s">
        <v>3008</v>
      </c>
      <c r="G50" s="2416"/>
      <c r="H50" s="1568" t="s">
        <v>3009</v>
      </c>
      <c r="I50" s="2052" t="e">
        <f>L44</f>
        <v>#N/A</v>
      </c>
      <c r="J50" s="880" t="s">
        <v>3007</v>
      </c>
      <c r="K50" s="2398" t="s">
        <v>3010</v>
      </c>
      <c r="L50" s="2052" t="e">
        <f>M44</f>
        <v>#N/A</v>
      </c>
      <c r="M50" s="880" t="s">
        <v>3011</v>
      </c>
    </row>
    <row r="51" spans="4:16" ht="14.25" thickBot="1">
      <c r="D51" s="2400" t="s">
        <v>3012</v>
      </c>
      <c r="I51" s="2431" t="e">
        <f>IF(I14&gt;=0.8,1,IF(I48=0,0,IF(I49&gt;L50,-1,IF(I49&lt;I50,1,0))))</f>
        <v>#N/A</v>
      </c>
      <c r="J51" s="1563" t="e">
        <f>IF(I51=1,"レベル上げる",IF(I51=-1,"レベル下げる","上下なし"))</f>
        <v>#N/A</v>
      </c>
      <c r="K51" s="2258" t="s">
        <v>3013</v>
      </c>
    </row>
    <row r="52" spans="4:16" ht="9.75" customHeight="1">
      <c r="G52" s="2416"/>
    </row>
    <row r="53" spans="4:16">
      <c r="E53" s="2097" t="s">
        <v>3014</v>
      </c>
    </row>
    <row r="54" spans="4:16">
      <c r="D54" s="2416"/>
      <c r="E54" s="1003" t="s">
        <v>3015</v>
      </c>
    </row>
    <row r="55" spans="4:16">
      <c r="E55" s="2426" t="s">
        <v>419</v>
      </c>
      <c r="G55" s="2426" t="s">
        <v>2318</v>
      </c>
      <c r="H55" s="2426" t="s">
        <v>3016</v>
      </c>
      <c r="I55" s="2426" t="s">
        <v>2978</v>
      </c>
      <c r="J55" s="2426" t="s">
        <v>3017</v>
      </c>
      <c r="K55" s="2426" t="s">
        <v>3018</v>
      </c>
      <c r="L55" s="2426" t="s">
        <v>3019</v>
      </c>
      <c r="M55" s="2426" t="s">
        <v>3020</v>
      </c>
    </row>
    <row r="56" spans="4:16" hidden="1">
      <c r="E56" s="1569"/>
      <c r="G56" s="2426" t="s">
        <v>3021</v>
      </c>
      <c r="H56" s="2426" t="s">
        <v>3022</v>
      </c>
      <c r="I56" s="2426" t="s">
        <v>3023</v>
      </c>
      <c r="J56" s="2426" t="s">
        <v>3024</v>
      </c>
      <c r="K56" s="2426" t="s">
        <v>3025</v>
      </c>
      <c r="L56" s="2426" t="s">
        <v>3026</v>
      </c>
      <c r="M56" s="2426" t="s">
        <v>3027</v>
      </c>
    </row>
    <row r="57" spans="4:16">
      <c r="E57" s="2426" t="s">
        <v>1771</v>
      </c>
      <c r="G57" s="2421">
        <v>1900</v>
      </c>
      <c r="H57" s="2421">
        <v>1900</v>
      </c>
      <c r="I57" s="2421">
        <v>1900</v>
      </c>
      <c r="J57" s="2421">
        <v>1900</v>
      </c>
      <c r="K57" s="2421">
        <v>1900</v>
      </c>
      <c r="L57" s="2421">
        <v>1900</v>
      </c>
      <c r="M57" s="2421">
        <v>1900</v>
      </c>
      <c r="P57">
        <v>2</v>
      </c>
    </row>
    <row r="58" spans="4:16" hidden="1">
      <c r="E58" s="1569" t="s">
        <v>2986</v>
      </c>
      <c r="G58" s="2421"/>
      <c r="H58" s="2421"/>
      <c r="I58" s="2421"/>
      <c r="J58" s="2421"/>
      <c r="K58" s="2421"/>
      <c r="L58" s="2421"/>
      <c r="M58" s="2421"/>
      <c r="P58">
        <v>3</v>
      </c>
    </row>
    <row r="59" spans="4:16">
      <c r="E59" s="2426" t="s">
        <v>2987</v>
      </c>
      <c r="G59" s="2421">
        <v>1100</v>
      </c>
      <c r="H59" s="2421">
        <v>1100</v>
      </c>
      <c r="I59" s="2421">
        <v>1100</v>
      </c>
      <c r="J59" s="2421">
        <v>1100</v>
      </c>
      <c r="K59" s="2421">
        <v>1100</v>
      </c>
      <c r="L59" s="2421">
        <v>1100</v>
      </c>
      <c r="M59" s="2421">
        <v>1100</v>
      </c>
      <c r="P59">
        <v>4</v>
      </c>
    </row>
    <row r="60" spans="4:16">
      <c r="E60" s="2426" t="s">
        <v>2988</v>
      </c>
      <c r="G60" s="2421">
        <v>520</v>
      </c>
      <c r="H60" s="2421">
        <v>520</v>
      </c>
      <c r="I60" s="2421">
        <v>520</v>
      </c>
      <c r="J60" s="2421">
        <v>520</v>
      </c>
      <c r="K60" s="2421">
        <v>520</v>
      </c>
      <c r="L60" s="2421">
        <v>520</v>
      </c>
      <c r="M60" s="2421">
        <v>520</v>
      </c>
      <c r="P60">
        <v>5</v>
      </c>
    </row>
    <row r="61" spans="4:16">
      <c r="E61" s="2426" t="s">
        <v>2989</v>
      </c>
      <c r="G61" s="2432">
        <v>510</v>
      </c>
      <c r="H61" s="2421">
        <v>270</v>
      </c>
      <c r="I61" s="2421">
        <v>270</v>
      </c>
      <c r="J61" s="2421">
        <v>270</v>
      </c>
      <c r="K61" s="2421">
        <v>270</v>
      </c>
      <c r="L61" s="2421">
        <v>270</v>
      </c>
      <c r="M61" s="2421">
        <v>270</v>
      </c>
      <c r="P61">
        <v>6</v>
      </c>
    </row>
    <row r="62" spans="4:16">
      <c r="E62" s="2426" t="s">
        <v>2990</v>
      </c>
      <c r="G62" s="2421">
        <v>330</v>
      </c>
      <c r="H62" s="2421">
        <v>330</v>
      </c>
      <c r="I62" s="2421">
        <v>330</v>
      </c>
      <c r="J62" s="2421">
        <v>330</v>
      </c>
      <c r="K62" s="2421">
        <v>330</v>
      </c>
      <c r="L62" s="2421">
        <v>330</v>
      </c>
      <c r="M62" s="2421">
        <v>330</v>
      </c>
      <c r="P62">
        <v>7</v>
      </c>
    </row>
    <row r="63" spans="4:16">
      <c r="E63" s="2426" t="s">
        <v>2991</v>
      </c>
      <c r="G63" s="2421">
        <v>1000</v>
      </c>
      <c r="H63" s="2421">
        <v>1000</v>
      </c>
      <c r="I63" s="2421">
        <v>1000</v>
      </c>
      <c r="J63" s="2421">
        <v>1000</v>
      </c>
      <c r="K63" s="2421">
        <v>1000</v>
      </c>
      <c r="L63" s="2421">
        <v>1000</v>
      </c>
      <c r="M63" s="2421">
        <v>1000</v>
      </c>
      <c r="P63">
        <v>8</v>
      </c>
    </row>
    <row r="64" spans="4:16" hidden="1">
      <c r="E64" s="1569" t="s">
        <v>2992</v>
      </c>
      <c r="G64" s="2421"/>
      <c r="H64" s="2421"/>
      <c r="I64" s="2421"/>
      <c r="J64" s="2421"/>
      <c r="K64" s="2421"/>
      <c r="L64" s="2421"/>
      <c r="M64" s="2421"/>
      <c r="P64">
        <v>9</v>
      </c>
    </row>
    <row r="65" spans="5:16">
      <c r="E65" s="2426" t="s">
        <v>3028</v>
      </c>
      <c r="G65" s="2421">
        <v>2900</v>
      </c>
      <c r="H65" s="2421">
        <v>2900</v>
      </c>
      <c r="I65" s="2421">
        <v>2900</v>
      </c>
      <c r="J65" s="2421">
        <v>2900</v>
      </c>
      <c r="K65" s="2421">
        <v>2900</v>
      </c>
      <c r="L65" s="2421">
        <v>2900</v>
      </c>
      <c r="M65" s="2421">
        <v>2900</v>
      </c>
      <c r="P65">
        <v>10</v>
      </c>
    </row>
    <row r="66" spans="5:16">
      <c r="E66" s="2426" t="s">
        <v>3029</v>
      </c>
      <c r="G66" s="2421">
        <v>2400</v>
      </c>
      <c r="H66" s="2421">
        <v>2400</v>
      </c>
      <c r="I66" s="2421">
        <v>2400</v>
      </c>
      <c r="J66" s="2421">
        <v>2400</v>
      </c>
      <c r="K66" s="2421">
        <v>2400</v>
      </c>
      <c r="L66" s="2421">
        <v>2400</v>
      </c>
      <c r="M66" s="2421">
        <v>2400</v>
      </c>
      <c r="P66">
        <v>11</v>
      </c>
    </row>
    <row r="67" spans="5:16">
      <c r="E67" s="2426" t="s">
        <v>3030</v>
      </c>
      <c r="G67" s="2421">
        <v>2900</v>
      </c>
      <c r="H67" s="2421">
        <v>2900</v>
      </c>
      <c r="I67" s="2421">
        <v>2900</v>
      </c>
      <c r="J67" s="2421">
        <v>2900</v>
      </c>
      <c r="K67" s="2421">
        <v>2900</v>
      </c>
      <c r="L67" s="2421">
        <v>2900</v>
      </c>
      <c r="M67" s="2421">
        <v>2900</v>
      </c>
      <c r="P67">
        <v>12</v>
      </c>
    </row>
    <row r="68" spans="5:16">
      <c r="E68" s="2426" t="s">
        <v>2996</v>
      </c>
      <c r="G68" s="2421">
        <v>1400</v>
      </c>
      <c r="H68" s="2421">
        <v>1400</v>
      </c>
      <c r="I68" s="2421">
        <v>1400</v>
      </c>
      <c r="J68" s="2421">
        <v>1400</v>
      </c>
      <c r="K68" s="2421">
        <v>1400</v>
      </c>
      <c r="L68" s="2421">
        <v>1400</v>
      </c>
      <c r="M68" s="2421">
        <v>1400</v>
      </c>
      <c r="P68">
        <v>13</v>
      </c>
    </row>
    <row r="69" spans="5:16">
      <c r="E69" s="2426" t="s">
        <v>2997</v>
      </c>
      <c r="G69" s="2421">
        <v>1300</v>
      </c>
      <c r="H69" s="2421">
        <v>1300</v>
      </c>
      <c r="I69" s="2421">
        <v>1300</v>
      </c>
      <c r="J69" s="2421">
        <v>1300</v>
      </c>
      <c r="K69" s="2421">
        <v>1300</v>
      </c>
      <c r="L69" s="2421">
        <v>1300</v>
      </c>
      <c r="M69" s="2421">
        <v>1300</v>
      </c>
      <c r="P69">
        <v>14</v>
      </c>
    </row>
    <row r="70" spans="5:16">
      <c r="E70" s="2426" t="s">
        <v>2998</v>
      </c>
      <c r="G70" s="2421">
        <v>1450</v>
      </c>
      <c r="H70" s="2421">
        <v>1450</v>
      </c>
      <c r="I70" s="2421">
        <v>1450</v>
      </c>
      <c r="J70" s="2421">
        <v>1450</v>
      </c>
      <c r="K70" s="2421">
        <v>1450</v>
      </c>
      <c r="L70" s="2421">
        <v>1450</v>
      </c>
      <c r="M70" s="2421">
        <v>1450</v>
      </c>
      <c r="P70">
        <v>15</v>
      </c>
    </row>
    <row r="71" spans="5:16">
      <c r="E71" s="2426" t="s">
        <v>1967</v>
      </c>
      <c r="G71" s="2421">
        <v>2450</v>
      </c>
      <c r="H71" s="2421">
        <v>2450</v>
      </c>
      <c r="I71" s="2421">
        <v>2450</v>
      </c>
      <c r="J71" s="2421">
        <v>2450</v>
      </c>
      <c r="K71" s="2421">
        <v>2450</v>
      </c>
      <c r="L71" s="2421">
        <v>2450</v>
      </c>
      <c r="M71" s="2421">
        <v>2450</v>
      </c>
      <c r="P71">
        <v>16</v>
      </c>
    </row>
    <row r="72" spans="5:16" hidden="1">
      <c r="E72" s="1569" t="s">
        <v>2999</v>
      </c>
      <c r="G72" s="2421"/>
      <c r="H72" s="2421"/>
      <c r="I72" s="2421"/>
      <c r="J72" s="2421"/>
      <c r="K72" s="2421"/>
      <c r="L72" s="2421"/>
      <c r="M72" s="2421"/>
      <c r="P72">
        <v>17</v>
      </c>
    </row>
    <row r="73" spans="5:16">
      <c r="E73" s="2426" t="s">
        <v>3000</v>
      </c>
      <c r="G73" s="2421">
        <v>2750</v>
      </c>
      <c r="H73" s="2421">
        <v>2750</v>
      </c>
      <c r="I73" s="2421">
        <v>2750</v>
      </c>
      <c r="J73" s="2421">
        <v>2750</v>
      </c>
      <c r="K73" s="2421">
        <v>2750</v>
      </c>
      <c r="L73" s="2421">
        <v>2750</v>
      </c>
      <c r="M73" s="2421">
        <v>2750</v>
      </c>
      <c r="P73">
        <v>18</v>
      </c>
    </row>
    <row r="74" spans="5:16" hidden="1">
      <c r="E74" s="2426"/>
      <c r="G74" s="2426"/>
      <c r="H74" s="2426"/>
      <c r="I74" s="2426"/>
      <c r="J74" s="2426"/>
      <c r="K74" s="2426"/>
      <c r="L74" s="2426"/>
      <c r="M74" s="2426"/>
    </row>
    <row r="75" spans="5:16" ht="7.5" customHeight="1"/>
    <row r="76" spans="5:16">
      <c r="E76" s="2416" t="s">
        <v>3031</v>
      </c>
    </row>
    <row r="77" spans="5:16">
      <c r="E77" s="2426" t="s">
        <v>419</v>
      </c>
      <c r="G77" s="2426" t="s">
        <v>2318</v>
      </c>
      <c r="H77" s="2426" t="s">
        <v>3016</v>
      </c>
      <c r="I77" s="2426" t="s">
        <v>2978</v>
      </c>
      <c r="J77" s="2426" t="s">
        <v>3017</v>
      </c>
      <c r="K77" s="2426" t="s">
        <v>3018</v>
      </c>
      <c r="L77" s="2426" t="s">
        <v>3019</v>
      </c>
      <c r="M77" s="2426" t="s">
        <v>3020</v>
      </c>
    </row>
    <row r="78" spans="5:16" hidden="1">
      <c r="E78" s="1569"/>
      <c r="G78" s="2426" t="s">
        <v>3021</v>
      </c>
      <c r="H78" s="2426" t="s">
        <v>3022</v>
      </c>
      <c r="I78" s="2426" t="s">
        <v>3023</v>
      </c>
      <c r="J78" s="2426" t="s">
        <v>3024</v>
      </c>
      <c r="K78" s="2426" t="s">
        <v>3025</v>
      </c>
      <c r="L78" s="2426" t="s">
        <v>3032</v>
      </c>
      <c r="M78" s="2426" t="s">
        <v>3033</v>
      </c>
    </row>
    <row r="79" spans="5:16">
      <c r="E79" s="2426" t="s">
        <v>1771</v>
      </c>
      <c r="G79" s="2421">
        <v>3250</v>
      </c>
      <c r="H79" s="2421">
        <v>3250</v>
      </c>
      <c r="I79" s="2421">
        <v>3250</v>
      </c>
      <c r="J79" s="2421">
        <v>3250</v>
      </c>
      <c r="K79" s="2421">
        <v>3250</v>
      </c>
      <c r="L79" s="2421">
        <v>3250</v>
      </c>
      <c r="M79" s="2421">
        <v>3250</v>
      </c>
      <c r="P79">
        <v>2</v>
      </c>
    </row>
    <row r="80" spans="5:16" hidden="1">
      <c r="E80" s="1569" t="s">
        <v>2986</v>
      </c>
      <c r="G80" s="2421"/>
      <c r="H80" s="2421"/>
      <c r="I80" s="2421"/>
      <c r="J80" s="2421"/>
      <c r="K80" s="2421"/>
      <c r="L80" s="2421"/>
      <c r="M80" s="2421"/>
      <c r="P80">
        <v>3</v>
      </c>
    </row>
    <row r="81" spans="5:16">
      <c r="E81" s="2426" t="s">
        <v>2987</v>
      </c>
      <c r="G81" s="2421">
        <v>1600</v>
      </c>
      <c r="H81" s="2421">
        <v>1600</v>
      </c>
      <c r="I81" s="2421">
        <v>1600</v>
      </c>
      <c r="J81" s="2421">
        <v>1600</v>
      </c>
      <c r="K81" s="2421">
        <v>1600</v>
      </c>
      <c r="L81" s="2421">
        <v>1600</v>
      </c>
      <c r="M81" s="2421">
        <v>1600</v>
      </c>
      <c r="P81">
        <v>4</v>
      </c>
    </row>
    <row r="82" spans="5:16">
      <c r="E82" s="2426" t="s">
        <v>2988</v>
      </c>
      <c r="G82" s="2421">
        <v>1400</v>
      </c>
      <c r="H82" s="2421">
        <v>1400</v>
      </c>
      <c r="I82" s="2421">
        <v>1400</v>
      </c>
      <c r="J82" s="2421">
        <v>1400</v>
      </c>
      <c r="K82" s="2421">
        <v>1400</v>
      </c>
      <c r="L82" s="2421">
        <v>1400</v>
      </c>
      <c r="M82" s="2421">
        <v>1400</v>
      </c>
      <c r="P82">
        <v>5</v>
      </c>
    </row>
    <row r="83" spans="5:16">
      <c r="E83" s="2426" t="s">
        <v>2989</v>
      </c>
      <c r="G83" s="2421">
        <v>800</v>
      </c>
      <c r="H83" s="2421">
        <v>460</v>
      </c>
      <c r="I83" s="2421">
        <v>460</v>
      </c>
      <c r="J83" s="2421">
        <v>460</v>
      </c>
      <c r="K83" s="2421">
        <v>460</v>
      </c>
      <c r="L83" s="2421">
        <v>460</v>
      </c>
      <c r="M83" s="2421">
        <v>460</v>
      </c>
      <c r="P83">
        <v>6</v>
      </c>
    </row>
    <row r="84" spans="5:16">
      <c r="E84" s="2426" t="s">
        <v>2990</v>
      </c>
      <c r="G84" s="2421">
        <v>630</v>
      </c>
      <c r="H84" s="2421">
        <v>630</v>
      </c>
      <c r="I84" s="2421">
        <v>630</v>
      </c>
      <c r="J84" s="2421">
        <v>630</v>
      </c>
      <c r="K84" s="2421">
        <v>630</v>
      </c>
      <c r="L84" s="2421">
        <v>630</v>
      </c>
      <c r="M84" s="2421">
        <v>630</v>
      </c>
      <c r="P84">
        <v>7</v>
      </c>
    </row>
    <row r="85" spans="5:16">
      <c r="E85" s="2426" t="s">
        <v>2991</v>
      </c>
      <c r="G85" s="2421">
        <v>2300</v>
      </c>
      <c r="H85" s="2421">
        <v>2300</v>
      </c>
      <c r="I85" s="2421">
        <v>2300</v>
      </c>
      <c r="J85" s="2421">
        <v>2300</v>
      </c>
      <c r="K85" s="2421">
        <v>2300</v>
      </c>
      <c r="L85" s="2421">
        <v>2300</v>
      </c>
      <c r="M85" s="2421">
        <v>2300</v>
      </c>
      <c r="P85">
        <v>8</v>
      </c>
    </row>
    <row r="86" spans="5:16" hidden="1">
      <c r="E86" s="1569" t="s">
        <v>2992</v>
      </c>
      <c r="G86" s="2421"/>
      <c r="H86" s="2421"/>
      <c r="I86" s="2421"/>
      <c r="J86" s="2421"/>
      <c r="K86" s="2421"/>
      <c r="L86" s="2421"/>
      <c r="M86" s="2421"/>
      <c r="P86">
        <v>9</v>
      </c>
    </row>
    <row r="87" spans="5:16">
      <c r="E87" s="2426" t="s">
        <v>2993</v>
      </c>
      <c r="G87" s="2421">
        <v>4600</v>
      </c>
      <c r="H87" s="2421">
        <v>4600</v>
      </c>
      <c r="I87" s="2421">
        <v>4600</v>
      </c>
      <c r="J87" s="2421">
        <v>4600</v>
      </c>
      <c r="K87" s="2421">
        <v>4600</v>
      </c>
      <c r="L87" s="2421">
        <v>4600</v>
      </c>
      <c r="M87" s="2421">
        <v>4600</v>
      </c>
      <c r="P87">
        <v>10</v>
      </c>
    </row>
    <row r="88" spans="5:16">
      <c r="E88" s="2426" t="s">
        <v>2994</v>
      </c>
      <c r="G88" s="2421">
        <v>3750</v>
      </c>
      <c r="H88" s="2421">
        <v>3750</v>
      </c>
      <c r="I88" s="2421">
        <v>3750</v>
      </c>
      <c r="J88" s="2421">
        <v>3750</v>
      </c>
      <c r="K88" s="2421">
        <v>3750</v>
      </c>
      <c r="L88" s="2421">
        <v>3750</v>
      </c>
      <c r="M88" s="2421">
        <v>3750</v>
      </c>
      <c r="P88">
        <v>11</v>
      </c>
    </row>
    <row r="89" spans="5:16">
      <c r="E89" s="2426" t="s">
        <v>2995</v>
      </c>
      <c r="G89" s="2421">
        <v>4600</v>
      </c>
      <c r="H89" s="2421">
        <v>4600</v>
      </c>
      <c r="I89" s="2421">
        <v>4600</v>
      </c>
      <c r="J89" s="2421">
        <v>4600</v>
      </c>
      <c r="K89" s="2421">
        <v>4600</v>
      </c>
      <c r="L89" s="2421">
        <v>4600</v>
      </c>
      <c r="M89" s="2421">
        <v>4600</v>
      </c>
      <c r="P89">
        <v>12</v>
      </c>
    </row>
    <row r="90" spans="5:16">
      <c r="E90" s="2426" t="s">
        <v>2996</v>
      </c>
      <c r="G90" s="2421">
        <v>2900</v>
      </c>
      <c r="H90" s="2421">
        <v>2900</v>
      </c>
      <c r="I90" s="2421">
        <v>2900</v>
      </c>
      <c r="J90" s="2421">
        <v>2900</v>
      </c>
      <c r="K90" s="2421">
        <v>2900</v>
      </c>
      <c r="L90" s="2421">
        <v>2900</v>
      </c>
      <c r="M90" s="2421">
        <v>2900</v>
      </c>
      <c r="P90">
        <v>13</v>
      </c>
    </row>
    <row r="91" spans="5:16">
      <c r="E91" s="2426" t="s">
        <v>2997</v>
      </c>
      <c r="G91" s="2421">
        <v>2200</v>
      </c>
      <c r="H91" s="2421">
        <v>2200</v>
      </c>
      <c r="I91" s="2421">
        <v>2200</v>
      </c>
      <c r="J91" s="2421">
        <v>2200</v>
      </c>
      <c r="K91" s="2421">
        <v>2200</v>
      </c>
      <c r="L91" s="2421">
        <v>2200</v>
      </c>
      <c r="M91" s="2421">
        <v>2200</v>
      </c>
      <c r="P91">
        <v>14</v>
      </c>
    </row>
    <row r="92" spans="5:16">
      <c r="E92" s="2426" t="s">
        <v>2998</v>
      </c>
      <c r="G92" s="2421">
        <v>2900</v>
      </c>
      <c r="H92" s="2421">
        <v>2900</v>
      </c>
      <c r="I92" s="2421">
        <v>2900</v>
      </c>
      <c r="J92" s="2421">
        <v>2900</v>
      </c>
      <c r="K92" s="2421">
        <v>2900</v>
      </c>
      <c r="L92" s="2421">
        <v>2900</v>
      </c>
      <c r="M92" s="2421">
        <v>2900</v>
      </c>
      <c r="P92">
        <v>15</v>
      </c>
    </row>
    <row r="93" spans="5:16">
      <c r="E93" s="2426" t="s">
        <v>1967</v>
      </c>
      <c r="G93" s="2421">
        <v>3800</v>
      </c>
      <c r="H93" s="2421">
        <v>3800</v>
      </c>
      <c r="I93" s="2421">
        <v>3800</v>
      </c>
      <c r="J93" s="2421">
        <v>3800</v>
      </c>
      <c r="K93" s="2421">
        <v>3800</v>
      </c>
      <c r="L93" s="2421">
        <v>3800</v>
      </c>
      <c r="M93" s="2421">
        <v>3800</v>
      </c>
      <c r="P93">
        <v>16</v>
      </c>
    </row>
    <row r="94" spans="5:16" hidden="1">
      <c r="E94" s="1569" t="s">
        <v>2999</v>
      </c>
      <c r="G94" s="2421"/>
      <c r="H94" s="2421"/>
      <c r="I94" s="2421"/>
      <c r="J94" s="2421"/>
      <c r="K94" s="2421"/>
      <c r="L94" s="2421"/>
      <c r="M94" s="2421"/>
      <c r="P94">
        <v>17</v>
      </c>
    </row>
    <row r="95" spans="5:16">
      <c r="E95" s="2426" t="s">
        <v>3001</v>
      </c>
      <c r="G95" s="2421">
        <v>3800</v>
      </c>
      <c r="H95" s="2421">
        <v>3800</v>
      </c>
      <c r="I95" s="2421">
        <v>3800</v>
      </c>
      <c r="J95" s="2421">
        <v>3800</v>
      </c>
      <c r="K95" s="2421">
        <v>3800</v>
      </c>
      <c r="L95" s="2421">
        <v>3800</v>
      </c>
      <c r="M95" s="2421">
        <v>3800</v>
      </c>
      <c r="P95">
        <v>18</v>
      </c>
    </row>
    <row r="96" spans="5:16"/>
    <row r="97"/>
    <row r="98"/>
    <row r="99"/>
    <row r="100"/>
    <row r="101"/>
    <row r="102"/>
  </sheetData>
  <sheetProtection algorithmName="SHA-512" hashValue="eNDsnX6aB1qlVw6u1iZCqvxUdgqPk9FhFUj0AOCok0DvTtBOKOHiKyLC+3Oqb1Lqb4JWOBNPUaTBYyvxkO/ccQ==" saltValue="s9OELUrhRlRe+acE91LOIw==" spinCount="100000" sheet="1" objects="1" scenarios="1"/>
  <phoneticPr fontId="21"/>
  <conditionalFormatting sqref="H44">
    <cfRule type="cellIs" dxfId="38" priority="2" stopIfTrue="1" operator="notEqual">
      <formula>1</formula>
    </cfRule>
  </conditionalFormatting>
  <conditionalFormatting sqref="I14">
    <cfRule type="cellIs" dxfId="37" priority="1" operator="greaterThanOrEqual">
      <formula>0.8</formula>
    </cfRule>
  </conditionalFormatting>
  <conditionalFormatting sqref="I15:I18">
    <cfRule type="cellIs" dxfId="36" priority="3" stopIfTrue="1" operator="greaterThanOrEqual">
      <formula>0.2</formula>
    </cfRule>
  </conditionalFormatting>
  <dataValidations count="1">
    <dataValidation type="list" allowBlank="1" showInputMessage="1" showErrorMessage="1" sqref="L22" xr:uid="{00000000-0002-0000-0B00-000000000000}">
      <formula1>$T$24:$T$30</formula1>
    </dataValidation>
  </dataValidations>
  <pageMargins left="0.70866141732283472" right="0.70866141732283472" top="0.74803149606299213" bottom="0.74803149606299213" header="0.31496062992125984" footer="0.31496062992125984"/>
  <pageSetup paperSize="9" scale="70" fitToHeight="0" orientation="portrait" verticalDpi="0" r:id="rId1"/>
  <headerFooter>
    <oddHeader>&amp;L&amp;F&amp;R&amp;A</oddHeader>
    <oddFooter>&amp;C&amp;P/&amp;N</oddFooter>
  </headerFooter>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pageSetUpPr autoPageBreaks="0"/>
  </sheetPr>
  <dimension ref="B1:XFD270"/>
  <sheetViews>
    <sheetView showGridLines="0" zoomScaleNormal="100" zoomScaleSheetLayoutView="100" workbookViewId="0">
      <selection activeCell="F8" sqref="F8"/>
    </sheetView>
  </sheetViews>
  <sheetFormatPr defaultColWidth="0" defaultRowHeight="13.5" zeroHeight="1"/>
  <cols>
    <col min="1" max="1" width="2.5" customWidth="1"/>
    <col min="2" max="2" width="25.125" hidden="1" customWidth="1"/>
    <col min="3" max="3" width="11" hidden="1" customWidth="1"/>
    <col min="4" max="4" width="4.75" style="1989" customWidth="1"/>
    <col min="5" max="5" width="1.75" style="1989" customWidth="1"/>
    <col min="6" max="15" width="11.125" style="1989" customWidth="1"/>
    <col min="16" max="16" width="2.125" customWidth="1"/>
  </cols>
  <sheetData>
    <row r="1" spans="2:21" ht="15.75">
      <c r="D1" s="949"/>
      <c r="E1" s="950"/>
      <c r="F1" s="950"/>
      <c r="G1" s="950"/>
      <c r="H1" s="950"/>
      <c r="I1" s="950"/>
      <c r="J1" s="950"/>
      <c r="K1" s="950"/>
      <c r="L1" s="1393" t="s">
        <v>2697</v>
      </c>
      <c r="M1" s="952" t="str">
        <f>メイン!C11</f>
        <v>○○ビル</v>
      </c>
      <c r="N1" s="952"/>
      <c r="O1" s="1394"/>
      <c r="R1" t="s">
        <v>1326</v>
      </c>
    </row>
    <row r="2" spans="2:21" ht="5.25" customHeight="1" thickBot="1">
      <c r="D2" s="949"/>
      <c r="E2" s="950"/>
      <c r="F2" s="950"/>
      <c r="G2" s="950"/>
      <c r="H2" s="950"/>
      <c r="I2" s="950"/>
      <c r="J2" s="950"/>
      <c r="K2" s="950"/>
      <c r="L2" s="1395"/>
      <c r="M2" s="950"/>
      <c r="N2" s="950"/>
      <c r="O2" s="950"/>
    </row>
    <row r="3" spans="2:21" ht="18.75" thickBot="1">
      <c r="D3" s="1396" t="s">
        <v>558</v>
      </c>
      <c r="E3" s="537"/>
      <c r="F3" s="537"/>
      <c r="G3" s="537"/>
      <c r="H3" s="950"/>
      <c r="I3" s="955"/>
      <c r="J3" s="956" t="s">
        <v>2589</v>
      </c>
      <c r="K3" s="155"/>
      <c r="L3" s="1296"/>
      <c r="M3" s="537"/>
      <c r="N3" s="537"/>
      <c r="O3" s="957" t="str">
        <f>IF(メイン!E39=0,"",メイン!E39)</f>
        <v/>
      </c>
      <c r="R3" t="s">
        <v>2599</v>
      </c>
      <c r="T3" t="str">
        <f>メイン!I39</f>
        <v>基本設計段階</v>
      </c>
    </row>
    <row r="4" spans="2:21" ht="6" customHeight="1">
      <c r="D4" s="953"/>
      <c r="E4" s="537"/>
      <c r="F4" s="537"/>
      <c r="G4" s="537"/>
      <c r="H4" s="537"/>
      <c r="I4" s="537"/>
      <c r="J4" s="537"/>
      <c r="K4" s="537"/>
      <c r="L4" s="1397"/>
      <c r="M4" s="537"/>
      <c r="N4" s="537"/>
      <c r="O4" s="537"/>
      <c r="S4" t="s">
        <v>2600</v>
      </c>
      <c r="T4" t="str">
        <f>メイン!I40</f>
        <v>実施設計段階</v>
      </c>
    </row>
    <row r="5" spans="2:21" ht="13.5" customHeight="1">
      <c r="D5" s="949">
        <v>1</v>
      </c>
      <c r="E5" s="958" t="s">
        <v>559</v>
      </c>
      <c r="F5" s="958"/>
      <c r="G5" s="958"/>
      <c r="H5" s="959"/>
      <c r="I5" s="959"/>
      <c r="J5" s="959"/>
      <c r="K5" s="959"/>
      <c r="L5" s="1398"/>
      <c r="M5" s="959"/>
      <c r="N5" s="959"/>
      <c r="O5" s="959"/>
      <c r="T5" t="str">
        <f>メイン!I41</f>
        <v>竣工段階</v>
      </c>
    </row>
    <row r="6" spans="2:21" ht="13.5" customHeight="1">
      <c r="D6" s="949">
        <v>1.1000000000000001</v>
      </c>
      <c r="E6" s="958" t="s">
        <v>837</v>
      </c>
      <c r="F6" s="1991"/>
      <c r="G6" s="958"/>
      <c r="H6" s="959"/>
      <c r="I6" s="959"/>
      <c r="J6" s="959"/>
      <c r="K6" s="959"/>
      <c r="L6" s="1398"/>
      <c r="M6" s="959"/>
      <c r="N6" s="959"/>
      <c r="O6" s="959"/>
      <c r="R6" t="s">
        <v>1141</v>
      </c>
    </row>
    <row r="7" spans="2:21" ht="13.5" customHeight="1" thickBot="1">
      <c r="D7" s="1152"/>
      <c r="E7" s="1152"/>
      <c r="F7" s="1102"/>
      <c r="G7" s="966"/>
      <c r="H7" s="967"/>
      <c r="I7" s="968" t="s">
        <v>1358</v>
      </c>
      <c r="J7" s="969">
        <f>重み!M142</f>
        <v>0.4</v>
      </c>
      <c r="K7" s="1103"/>
      <c r="L7" s="1105"/>
      <c r="N7" s="959"/>
      <c r="O7" s="959"/>
      <c r="R7" t="s">
        <v>1142</v>
      </c>
    </row>
    <row r="8" spans="2:21" ht="28.5" customHeight="1" thickBot="1">
      <c r="D8" s="953"/>
      <c r="E8" s="960"/>
      <c r="F8" s="972">
        <v>3</v>
      </c>
      <c r="G8" s="1084" t="s">
        <v>560</v>
      </c>
      <c r="H8" s="977"/>
      <c r="I8" s="977"/>
      <c r="J8" s="977"/>
      <c r="K8" s="977"/>
      <c r="L8" s="1247"/>
      <c r="M8" s="959"/>
      <c r="N8" s="959"/>
      <c r="O8" s="959"/>
    </row>
    <row r="9" spans="2:21" ht="15.75" customHeight="1">
      <c r="B9" s="1">
        <v>1</v>
      </c>
      <c r="C9" s="1">
        <v>1</v>
      </c>
      <c r="D9" s="953"/>
      <c r="E9" s="960"/>
      <c r="F9" s="979" t="str">
        <f>IF(F8=$S$16,$T$10,IF(ROUNDDOWN(F8,0)=$S$10,$U$10,$T$10))</f>
        <v>　レベル　1</v>
      </c>
      <c r="G9" s="981" t="s">
        <v>828</v>
      </c>
      <c r="H9" s="982"/>
      <c r="I9" s="982"/>
      <c r="J9" s="982"/>
      <c r="K9" s="982"/>
      <c r="L9" s="1399"/>
      <c r="M9" s="959"/>
      <c r="N9" s="959"/>
      <c r="O9" s="959"/>
    </row>
    <row r="10" spans="2:21" ht="15.75" customHeight="1">
      <c r="B10" s="1" t="s">
        <v>220</v>
      </c>
      <c r="C10" s="1">
        <v>2</v>
      </c>
      <c r="D10" s="953"/>
      <c r="E10" s="960"/>
      <c r="F10" s="984" t="str">
        <f>IF(F8=$S$16,$T$11,IF(ROUNDDOWN(F8,0)=$S$11,$U$11,$T$11))</f>
        <v>　レベル　2</v>
      </c>
      <c r="G10" s="988" t="s">
        <v>2168</v>
      </c>
      <c r="H10" s="989"/>
      <c r="I10" s="989"/>
      <c r="J10" s="989"/>
      <c r="K10" s="989"/>
      <c r="L10" s="1400"/>
      <c r="M10" s="959"/>
      <c r="N10" s="959"/>
      <c r="O10" s="959"/>
      <c r="S10">
        <v>1</v>
      </c>
      <c r="T10" t="s">
        <v>1143</v>
      </c>
      <c r="U10" t="s">
        <v>1144</v>
      </c>
    </row>
    <row r="11" spans="2:21" ht="15.75" customHeight="1">
      <c r="B11" s="1">
        <v>3</v>
      </c>
      <c r="C11" s="1">
        <v>3</v>
      </c>
      <c r="D11" s="953"/>
      <c r="E11" s="960"/>
      <c r="F11" s="984" t="str">
        <f>IF(F8=$S$16,$T$12,IF(ROUNDDOWN(F8,0)=$S$12,$U$12,$T$12))</f>
        <v>■レベル　3</v>
      </c>
      <c r="G11" s="988" t="s">
        <v>561</v>
      </c>
      <c r="H11" s="989"/>
      <c r="I11" s="989"/>
      <c r="J11" s="989"/>
      <c r="K11" s="989"/>
      <c r="L11" s="1401"/>
      <c r="M11" s="959"/>
      <c r="N11" s="959"/>
      <c r="O11" s="959"/>
      <c r="S11">
        <v>2</v>
      </c>
      <c r="T11" t="s">
        <v>1327</v>
      </c>
      <c r="U11" t="s">
        <v>1328</v>
      </c>
    </row>
    <row r="12" spans="2:21" ht="15.75" customHeight="1">
      <c r="B12" s="1">
        <v>4</v>
      </c>
      <c r="C12" s="1">
        <v>4</v>
      </c>
      <c r="D12" s="953"/>
      <c r="E12" s="960"/>
      <c r="F12" s="984" t="str">
        <f>IF(F8=$S$16,$T$13,IF(ROUNDDOWN(F8,0)=$S$13,$U$13,$T$13))</f>
        <v>　レベル　4</v>
      </c>
      <c r="G12" s="988" t="s">
        <v>3264</v>
      </c>
      <c r="H12" s="989"/>
      <c r="I12" s="989"/>
      <c r="J12" s="989"/>
      <c r="K12" s="989"/>
      <c r="L12" s="1401"/>
      <c r="M12" s="959"/>
      <c r="N12" s="959"/>
      <c r="O12" s="959"/>
      <c r="S12">
        <v>3</v>
      </c>
      <c r="T12" t="s">
        <v>1332</v>
      </c>
      <c r="U12" t="s">
        <v>1333</v>
      </c>
    </row>
    <row r="13" spans="2:21" ht="15.75" customHeight="1">
      <c r="B13" s="1" t="s">
        <v>220</v>
      </c>
      <c r="C13" s="1">
        <v>5</v>
      </c>
      <c r="D13" s="953"/>
      <c r="E13" s="960"/>
      <c r="F13" s="995" t="str">
        <f>IF(F8=$S$16,$T$14,IF(ROUNDDOWN(F8,0)=$S$14,$U$14,$T$14))</f>
        <v>　レベル　5</v>
      </c>
      <c r="G13" s="999" t="s">
        <v>2168</v>
      </c>
      <c r="H13" s="1000"/>
      <c r="I13" s="1000"/>
      <c r="J13" s="1000"/>
      <c r="K13" s="1000"/>
      <c r="L13" s="1402"/>
      <c r="M13" s="959"/>
      <c r="N13" s="959"/>
      <c r="O13" s="959"/>
      <c r="S13">
        <v>4</v>
      </c>
      <c r="T13" t="s">
        <v>1216</v>
      </c>
      <c r="U13" t="s">
        <v>1217</v>
      </c>
    </row>
    <row r="14" spans="2:21" ht="14.25" customHeight="1">
      <c r="B14" s="1002">
        <v>0</v>
      </c>
      <c r="C14" s="1002">
        <v>0</v>
      </c>
      <c r="D14" s="953"/>
      <c r="E14" s="960"/>
      <c r="F14" s="960"/>
      <c r="G14" s="1403"/>
      <c r="H14" s="1404"/>
      <c r="I14" s="1404"/>
      <c r="J14" s="1404"/>
      <c r="K14" s="1404"/>
      <c r="L14" s="1398"/>
      <c r="M14" s="959"/>
      <c r="N14" s="959"/>
      <c r="O14" s="959"/>
      <c r="S14">
        <v>5</v>
      </c>
      <c r="T14" t="s">
        <v>1223</v>
      </c>
      <c r="U14" t="s">
        <v>1224</v>
      </c>
    </row>
    <row r="15" spans="2:21" ht="14.25" customHeight="1">
      <c r="D15" s="949">
        <v>1.2</v>
      </c>
      <c r="E15" s="958" t="s">
        <v>562</v>
      </c>
      <c r="F15" s="958"/>
      <c r="G15" s="959"/>
      <c r="H15" s="962"/>
      <c r="I15" s="959"/>
      <c r="J15" s="959"/>
      <c r="K15" s="959"/>
      <c r="L15" s="1405"/>
      <c r="M15" s="959"/>
      <c r="N15" s="959"/>
      <c r="O15" s="959"/>
    </row>
    <row r="16" spans="2:21" ht="14.25" customHeight="1">
      <c r="D16" s="949"/>
      <c r="E16" s="958"/>
      <c r="F16" s="1101" t="s">
        <v>3272</v>
      </c>
      <c r="G16" s="959"/>
      <c r="H16" s="962"/>
      <c r="I16" s="959"/>
      <c r="J16" s="959"/>
      <c r="K16" s="1101" t="s">
        <v>3271</v>
      </c>
      <c r="L16" s="1405"/>
      <c r="M16" s="959"/>
      <c r="N16" s="959"/>
      <c r="O16" s="959"/>
      <c r="S16">
        <v>0</v>
      </c>
      <c r="T16" t="s">
        <v>1145</v>
      </c>
      <c r="U16" t="s">
        <v>1145</v>
      </c>
    </row>
    <row r="17" spans="2:15" ht="14.25" customHeight="1" thickBot="1">
      <c r="B17" t="s">
        <v>1146</v>
      </c>
      <c r="C17" t="s">
        <v>1147</v>
      </c>
      <c r="D17" s="953"/>
      <c r="E17" s="960"/>
      <c r="F17" s="965"/>
      <c r="G17" s="966"/>
      <c r="H17" s="967"/>
      <c r="I17" s="968" t="s">
        <v>1358</v>
      </c>
      <c r="J17" s="971">
        <f>重み!M144</f>
        <v>0.7</v>
      </c>
      <c r="K17" s="965"/>
      <c r="L17" s="966"/>
      <c r="M17" s="967"/>
      <c r="N17" s="968" t="s">
        <v>1358</v>
      </c>
      <c r="O17" s="971">
        <f>重み!M145</f>
        <v>0.3</v>
      </c>
    </row>
    <row r="18" spans="2:15" ht="28.5" customHeight="1" thickBot="1">
      <c r="B18" s="1228" t="s">
        <v>563</v>
      </c>
      <c r="C18" s="1228"/>
      <c r="D18" s="953"/>
      <c r="E18" s="960"/>
      <c r="F18" s="972">
        <v>3</v>
      </c>
      <c r="G18" s="976" t="s">
        <v>501</v>
      </c>
      <c r="H18" s="977"/>
      <c r="I18" s="977"/>
      <c r="J18" s="1406"/>
      <c r="K18" s="972">
        <v>3</v>
      </c>
      <c r="L18" s="1084" t="s">
        <v>2510</v>
      </c>
      <c r="M18" s="977"/>
      <c r="N18" s="977"/>
      <c r="O18" s="978"/>
    </row>
    <row r="19" spans="2:15" ht="18" customHeight="1">
      <c r="B19" s="1" t="s">
        <v>220</v>
      </c>
      <c r="C19" s="1" t="s">
        <v>220</v>
      </c>
      <c r="D19" s="953"/>
      <c r="E19" s="960"/>
      <c r="F19" s="979" t="str">
        <f>IF(F18=$S$16,$T$10,IF(ROUNDDOWN(F18,0)=$S$10,$U$10,$T$10))</f>
        <v>　レベル　1</v>
      </c>
      <c r="G19" s="982" t="s">
        <v>2168</v>
      </c>
      <c r="H19" s="982"/>
      <c r="I19" s="982"/>
      <c r="J19" s="983"/>
      <c r="K19" s="979" t="str">
        <f>IF(K18=$S$16,$T$10,IF(ROUNDDOWN(K18,0)=$S$10,$U$10,$T$10))</f>
        <v>　レベル　1</v>
      </c>
      <c r="L19" s="981" t="s">
        <v>2168</v>
      </c>
      <c r="M19" s="982"/>
      <c r="N19" s="982"/>
      <c r="O19" s="983"/>
    </row>
    <row r="20" spans="2:15" ht="18" customHeight="1">
      <c r="B20" s="1" t="s">
        <v>220</v>
      </c>
      <c r="C20" s="1" t="s">
        <v>220</v>
      </c>
      <c r="D20" s="953"/>
      <c r="E20" s="960"/>
      <c r="F20" s="984" t="str">
        <f>IF(F18=$S$16,$T$11,IF(ROUNDDOWN(F18,0)=$S$11,$U$11,$T$11))</f>
        <v>　レベル　2</v>
      </c>
      <c r="G20" s="988" t="s">
        <v>2168</v>
      </c>
      <c r="H20" s="989"/>
      <c r="I20" s="989"/>
      <c r="J20" s="990"/>
      <c r="K20" s="984" t="str">
        <f>IF(K18=$S$16,$T$11,IF(ROUNDDOWN(K18,0)=$S$11,$U$11,$T$11))</f>
        <v>　レベル　2</v>
      </c>
      <c r="L20" s="988" t="s">
        <v>2168</v>
      </c>
      <c r="M20" s="989"/>
      <c r="N20" s="989"/>
      <c r="O20" s="990"/>
    </row>
    <row r="21" spans="2:15" ht="35.25" customHeight="1">
      <c r="B21" s="1">
        <v>3</v>
      </c>
      <c r="C21" s="1">
        <v>3</v>
      </c>
      <c r="D21" s="953"/>
      <c r="E21" s="960"/>
      <c r="F21" s="984" t="str">
        <f>IF(F18=$S$16,$T$12,IF(ROUNDDOWN(F18,0)=$S$12,$U$12,$T$12))</f>
        <v>■レベル　3</v>
      </c>
      <c r="G21" s="2750" t="s">
        <v>3265</v>
      </c>
      <c r="H21" s="2752"/>
      <c r="I21" s="2752"/>
      <c r="J21" s="2734"/>
      <c r="K21" s="984" t="str">
        <f>IF(K18=$S$16,$T$12,IF(ROUNDDOWN(K18,0)=$S$12,$U$12,$T$12))</f>
        <v>■レベル　3</v>
      </c>
      <c r="L21" s="2750" t="s">
        <v>3270</v>
      </c>
      <c r="M21" s="2752"/>
      <c r="N21" s="2752"/>
      <c r="O21" s="2734"/>
    </row>
    <row r="22" spans="2:15" ht="18" customHeight="1">
      <c r="B22" s="1">
        <v>4</v>
      </c>
      <c r="C22" s="1">
        <v>4</v>
      </c>
      <c r="D22" s="953"/>
      <c r="E22" s="960"/>
      <c r="F22" s="984" t="str">
        <f>IF(F18=$S$16,$T$13,IF(ROUNDDOWN(F18,0)=$S$13,$U$13,$T$13))</f>
        <v>　レベル　4</v>
      </c>
      <c r="G22" s="2750" t="s">
        <v>3266</v>
      </c>
      <c r="H22" s="2752"/>
      <c r="I22" s="2752"/>
      <c r="J22" s="2734"/>
      <c r="K22" s="984" t="str">
        <f>IF(K18=$S$16,$T$13,IF(ROUNDDOWN(K18,0)=$S$13,$U$13,$T$13))</f>
        <v>　レベル　4</v>
      </c>
      <c r="L22" s="988" t="s">
        <v>3268</v>
      </c>
      <c r="M22" s="989"/>
      <c r="N22" s="989"/>
      <c r="O22" s="990"/>
    </row>
    <row r="23" spans="2:15" ht="18" customHeight="1">
      <c r="B23" s="1">
        <v>5</v>
      </c>
      <c r="C23" s="1">
        <v>5</v>
      </c>
      <c r="D23" s="953"/>
      <c r="E23" s="960"/>
      <c r="F23" s="995" t="str">
        <f>IF(F18=$S$16,$T$14,IF(ROUNDDOWN(F18,0)=$S$14,$U$14,$T$14))</f>
        <v>　レベル　5</v>
      </c>
      <c r="G23" s="999" t="s">
        <v>3267</v>
      </c>
      <c r="H23" s="1000"/>
      <c r="I23" s="1000"/>
      <c r="J23" s="1001"/>
      <c r="K23" s="995" t="str">
        <f>IF(K18=$S$16,$T$14,IF(ROUNDDOWN(K18,0)=$S$14,$U$14,$T$14))</f>
        <v>　レベル　5</v>
      </c>
      <c r="L23" s="999" t="s">
        <v>3269</v>
      </c>
      <c r="M23" s="1000"/>
      <c r="N23" s="1000"/>
      <c r="O23" s="1001"/>
    </row>
    <row r="24" spans="2:15" ht="14.25" customHeight="1">
      <c r="B24" s="1002">
        <v>0</v>
      </c>
      <c r="C24" s="1002">
        <v>0</v>
      </c>
      <c r="D24" s="953"/>
      <c r="E24" s="960"/>
      <c r="F24" s="960"/>
      <c r="G24" s="1403" t="s">
        <v>2144</v>
      </c>
      <c r="H24" s="1407" t="s">
        <v>2145</v>
      </c>
      <c r="I24" s="1407"/>
      <c r="J24" s="960"/>
      <c r="K24" s="960"/>
      <c r="L24" s="1408"/>
      <c r="M24" s="960"/>
      <c r="N24" s="960"/>
      <c r="O24" s="960"/>
    </row>
    <row r="25" spans="2:15" ht="27.75" customHeight="1">
      <c r="D25" s="953"/>
      <c r="E25" s="960"/>
      <c r="F25" s="950"/>
      <c r="G25" s="1404"/>
      <c r="H25" s="1409" t="s">
        <v>2146</v>
      </c>
      <c r="I25" s="1404"/>
      <c r="J25" s="1404"/>
      <c r="K25" s="950"/>
      <c r="L25" s="1409"/>
      <c r="M25" s="1404"/>
      <c r="N25" s="1404"/>
      <c r="O25" s="1404"/>
    </row>
    <row r="26" spans="2:15" ht="14.25" customHeight="1">
      <c r="D26" s="949">
        <v>2</v>
      </c>
      <c r="E26" s="958" t="s">
        <v>1277</v>
      </c>
      <c r="F26" s="959"/>
      <c r="G26" s="959"/>
      <c r="H26" s="959"/>
      <c r="I26" s="959"/>
      <c r="J26" s="959"/>
      <c r="K26" s="959"/>
      <c r="L26" s="1398"/>
      <c r="M26" s="959"/>
      <c r="N26" s="959"/>
      <c r="O26" s="959"/>
    </row>
    <row r="27" spans="2:15" ht="14.25" customHeight="1">
      <c r="D27" s="953">
        <v>2.1</v>
      </c>
      <c r="E27" s="958" t="s">
        <v>1278</v>
      </c>
      <c r="F27" s="959"/>
      <c r="G27" s="959"/>
      <c r="H27" s="959"/>
      <c r="I27" s="959"/>
      <c r="J27" s="959"/>
      <c r="K27" s="959"/>
      <c r="L27" s="1398"/>
      <c r="M27" s="959"/>
      <c r="N27" s="959"/>
      <c r="O27" s="959"/>
    </row>
    <row r="28" spans="2:15" ht="14.25" customHeight="1" thickBot="1">
      <c r="C28" t="s">
        <v>1320</v>
      </c>
      <c r="D28" s="1152"/>
      <c r="E28" s="1152"/>
      <c r="F28" s="1102"/>
      <c r="G28" s="966"/>
      <c r="H28" s="967"/>
      <c r="I28" s="967"/>
      <c r="J28" s="967"/>
      <c r="K28" s="967"/>
      <c r="L28" s="1103"/>
      <c r="M28" s="1103"/>
      <c r="N28" s="968" t="s">
        <v>1358</v>
      </c>
      <c r="O28" s="971">
        <f>重み!M147</f>
        <v>0.1</v>
      </c>
    </row>
    <row r="29" spans="2:15" ht="24" customHeight="1" thickBot="1">
      <c r="C29" s="1228">
        <v>0</v>
      </c>
      <c r="D29" s="953"/>
      <c r="E29" s="142"/>
      <c r="F29" s="2027">
        <f>IF(C29=1,M29,IF(G37=$R$3,0,ROUND(IF(H46=0,2,IF(H46&gt;=5,5,IF(H46&gt;=3,4,IF(H46&gt;=1,3)))),0)))</f>
        <v>3</v>
      </c>
      <c r="G29" s="1084" t="s">
        <v>829</v>
      </c>
      <c r="H29" s="978"/>
      <c r="I29" s="1084"/>
      <c r="J29" s="1089"/>
      <c r="K29" s="1084" t="s">
        <v>1316</v>
      </c>
      <c r="L29" s="978"/>
      <c r="M29" s="2021">
        <v>0</v>
      </c>
      <c r="N29" s="1168" t="s">
        <v>2147</v>
      </c>
      <c r="O29" s="1410"/>
    </row>
    <row r="30" spans="2:15" ht="18.75" customHeight="1">
      <c r="B30" s="3"/>
      <c r="C30" s="1" t="s">
        <v>2847</v>
      </c>
      <c r="D30" s="953"/>
      <c r="E30" s="142"/>
      <c r="F30" s="979" t="str">
        <f>IF(F29=$S$16,$T$10,IF(ROUNDDOWN(F29,0)=$S$10,$U$10,$T$10))</f>
        <v>　レベル　1</v>
      </c>
      <c r="G30" s="2731" t="s">
        <v>2168</v>
      </c>
      <c r="H30" s="3054"/>
      <c r="I30" s="3054"/>
      <c r="J30" s="3055"/>
      <c r="K30" s="2769" t="s">
        <v>716</v>
      </c>
      <c r="L30" s="2991"/>
      <c r="M30" s="1165" t="str">
        <f>IF(M29=$S$16,$T$10,IF(ROUNDDOWN(M29,0)=$S$10,$U$10,$T$10))</f>
        <v>　レベル　1</v>
      </c>
      <c r="N30" s="1411" t="s">
        <v>830</v>
      </c>
      <c r="O30" s="1412"/>
    </row>
    <row r="31" spans="2:15" ht="39.75" customHeight="1">
      <c r="B31" s="3"/>
      <c r="C31" s="1" t="s">
        <v>1148</v>
      </c>
      <c r="D31" s="953"/>
      <c r="E31" s="142"/>
      <c r="F31" s="984" t="str">
        <f>IF(F29=$S$16,$T$11,IF(ROUNDDOWN(F29,0)=$S$11,$U$11,$T$11))</f>
        <v>　レベル　2</v>
      </c>
      <c r="G31" s="2750" t="s">
        <v>717</v>
      </c>
      <c r="H31" s="3056"/>
      <c r="I31" s="3056"/>
      <c r="J31" s="3031"/>
      <c r="K31" s="2992"/>
      <c r="L31" s="2993"/>
      <c r="M31" s="1166" t="str">
        <f>IF(M29=$S$16,$T$11,IF(ROUNDDOWN(M29,0)=$S$11,$U$11,$T$11))</f>
        <v>　レベル　2</v>
      </c>
      <c r="N31" s="1413" t="s">
        <v>830</v>
      </c>
      <c r="O31" s="1414"/>
    </row>
    <row r="32" spans="2:15" ht="39.75" customHeight="1">
      <c r="B32" s="3"/>
      <c r="C32" s="1">
        <v>3</v>
      </c>
      <c r="D32" s="953"/>
      <c r="E32" s="142"/>
      <c r="F32" s="984" t="str">
        <f>IF(F29=$S$16,$T$12,IF(ROUNDDOWN(F29,0)=$S$12,$U$12,$T$12))</f>
        <v>■レベル　3</v>
      </c>
      <c r="G32" s="2750" t="s">
        <v>718</v>
      </c>
      <c r="H32" s="3056"/>
      <c r="I32" s="3056"/>
      <c r="J32" s="3031"/>
      <c r="K32" s="2992"/>
      <c r="L32" s="2993"/>
      <c r="M32" s="1166" t="str">
        <f>IF(M29=$S$16,$T$12,IF(ROUNDDOWN(M29,0)=$S$12,$U$12,$T$12))</f>
        <v>　レベル　3</v>
      </c>
      <c r="N32" s="2735" t="s">
        <v>564</v>
      </c>
      <c r="O32" s="3067"/>
    </row>
    <row r="33" spans="2:15" ht="44.25" customHeight="1">
      <c r="B33" s="3"/>
      <c r="C33" s="1" t="s">
        <v>1149</v>
      </c>
      <c r="D33" s="953"/>
      <c r="E33" s="142"/>
      <c r="F33" s="984" t="str">
        <f>IF(F29=$S$16,$T$13,IF(ROUNDDOWN(F29,0)=$S$13,$U$13,$T$13))</f>
        <v>　レベル　4</v>
      </c>
      <c r="G33" s="2750" t="s">
        <v>565</v>
      </c>
      <c r="H33" s="3056"/>
      <c r="I33" s="3056"/>
      <c r="J33" s="3031"/>
      <c r="K33" s="2992"/>
      <c r="L33" s="2993"/>
      <c r="M33" s="1166" t="str">
        <f>IF(M29=$S$16,$T$13,IF(ROUNDDOWN(M29,0)=$S$13,$U$13,$T$13))</f>
        <v>　レベル　4</v>
      </c>
      <c r="N33" s="1413" t="s">
        <v>831</v>
      </c>
      <c r="O33" s="1414"/>
    </row>
    <row r="34" spans="2:15" ht="43.5" customHeight="1">
      <c r="B34" s="3"/>
      <c r="C34" s="1">
        <v>5</v>
      </c>
      <c r="D34" s="953"/>
      <c r="E34" s="142"/>
      <c r="F34" s="995" t="str">
        <f>IF(F29=$S$16,$T$14,IF(ROUNDDOWN(F29,0)=$S$14,$U$14,$T$14))</f>
        <v>　レベル　5</v>
      </c>
      <c r="G34" s="2879" t="s">
        <v>566</v>
      </c>
      <c r="H34" s="3052"/>
      <c r="I34" s="3052"/>
      <c r="J34" s="3053"/>
      <c r="K34" s="2994"/>
      <c r="L34" s="2995"/>
      <c r="M34" s="1167" t="str">
        <f>IF(M29=$S$16,$T$14,IF(ROUNDDOWN(M29,0)=$S$14,$U$14,$T$14))</f>
        <v>　レベル　5</v>
      </c>
      <c r="N34" s="2765" t="s">
        <v>567</v>
      </c>
      <c r="O34" s="3068"/>
    </row>
    <row r="35" spans="2:15">
      <c r="B35" s="2026"/>
      <c r="C35" s="1002">
        <v>0</v>
      </c>
      <c r="D35" s="157"/>
      <c r="E35" s="537"/>
      <c r="F35" s="957"/>
      <c r="G35" s="1303" t="s">
        <v>418</v>
      </c>
      <c r="H35" s="537"/>
      <c r="I35" s="537"/>
      <c r="J35" s="537"/>
      <c r="K35" s="537"/>
      <c r="L35" s="1397"/>
      <c r="M35" s="537"/>
      <c r="N35" s="537"/>
      <c r="O35" s="537"/>
    </row>
    <row r="36" spans="2:15" ht="16.5" thickBot="1">
      <c r="D36" s="953"/>
      <c r="E36" s="537"/>
      <c r="F36" s="537"/>
      <c r="G36" s="1304" t="s">
        <v>225</v>
      </c>
      <c r="H36" s="2953" t="s">
        <v>1736</v>
      </c>
      <c r="I36" s="2954"/>
      <c r="J36" s="2955"/>
      <c r="K36" s="1415" t="s">
        <v>1729</v>
      </c>
      <c r="L36" s="1416"/>
      <c r="M36" s="1417"/>
      <c r="N36" s="1417"/>
      <c r="O36" s="1213" t="s">
        <v>1737</v>
      </c>
    </row>
    <row r="37" spans="2:15" ht="31.5" customHeight="1" thickBot="1">
      <c r="D37" s="953"/>
      <c r="E37" s="537"/>
      <c r="F37" s="537"/>
      <c r="G37" s="972"/>
      <c r="H37" s="1199" t="s">
        <v>2294</v>
      </c>
      <c r="I37" s="1200"/>
      <c r="J37" s="1200"/>
      <c r="K37" s="1200"/>
      <c r="L37" s="1200"/>
      <c r="M37" s="1200"/>
      <c r="N37" s="1200"/>
      <c r="O37" s="1201"/>
    </row>
    <row r="38" spans="2:15" ht="15.75">
      <c r="B38">
        <v>0</v>
      </c>
      <c r="C38">
        <v>0</v>
      </c>
      <c r="D38" s="953"/>
      <c r="E38" s="537"/>
      <c r="F38" s="537"/>
      <c r="G38" s="3074">
        <v>1</v>
      </c>
      <c r="H38" s="2859" t="s">
        <v>1150</v>
      </c>
      <c r="I38" s="3057"/>
      <c r="J38" s="3058"/>
      <c r="K38" s="1188" t="s">
        <v>568</v>
      </c>
      <c r="L38" s="1418"/>
      <c r="M38" s="1261"/>
      <c r="N38" s="1261"/>
      <c r="O38" s="1992">
        <v>1</v>
      </c>
    </row>
    <row r="39" spans="2:15" ht="15.75">
      <c r="B39">
        <v>1</v>
      </c>
      <c r="C39">
        <v>1</v>
      </c>
      <c r="D39" s="953"/>
      <c r="E39" s="537"/>
      <c r="F39" s="537"/>
      <c r="G39" s="3075"/>
      <c r="H39" s="2947"/>
      <c r="I39" s="2919"/>
      <c r="J39" s="2920"/>
      <c r="K39" s="1191" t="s">
        <v>832</v>
      </c>
      <c r="L39" s="1993"/>
      <c r="M39" s="1994"/>
      <c r="N39" s="1994"/>
      <c r="O39" s="1995">
        <v>3</v>
      </c>
    </row>
    <row r="40" spans="2:15" ht="15.75">
      <c r="B40">
        <v>3</v>
      </c>
      <c r="C40">
        <v>2</v>
      </c>
      <c r="D40" s="953"/>
      <c r="E40" s="537"/>
      <c r="F40" s="537"/>
      <c r="G40" s="3076"/>
      <c r="H40" s="3059"/>
      <c r="I40" s="2903"/>
      <c r="J40" s="2904"/>
      <c r="K40" s="1190" t="s">
        <v>833</v>
      </c>
      <c r="L40" s="1419"/>
      <c r="M40" s="1308"/>
      <c r="N40" s="1308"/>
      <c r="O40" s="1995">
        <v>4</v>
      </c>
    </row>
    <row r="41" spans="2:15" ht="15.75">
      <c r="B41">
        <v>4</v>
      </c>
      <c r="C41">
        <v>3</v>
      </c>
      <c r="D41" s="953"/>
      <c r="E41" s="537"/>
      <c r="F41" s="537"/>
      <c r="G41" s="2901">
        <v>0</v>
      </c>
      <c r="H41" s="1420"/>
      <c r="I41" s="1312"/>
      <c r="J41" s="1313"/>
      <c r="K41" s="1190" t="s">
        <v>569</v>
      </c>
      <c r="L41" s="1419"/>
      <c r="M41" s="1308"/>
      <c r="N41" s="1308"/>
      <c r="O41" s="1995">
        <v>1</v>
      </c>
    </row>
    <row r="42" spans="2:15" ht="15.75">
      <c r="C42">
        <v>4</v>
      </c>
      <c r="D42" s="953"/>
      <c r="E42" s="537"/>
      <c r="F42" s="537"/>
      <c r="G42" s="2977"/>
      <c r="H42" s="1421" t="s">
        <v>570</v>
      </c>
      <c r="I42" s="1314"/>
      <c r="J42" s="1315"/>
      <c r="K42" s="1191" t="s">
        <v>834</v>
      </c>
      <c r="L42" s="1993"/>
      <c r="M42" s="1994"/>
      <c r="N42" s="1994"/>
      <c r="O42" s="1995">
        <v>3</v>
      </c>
    </row>
    <row r="43" spans="2:15" ht="15.75">
      <c r="C43">
        <v>5</v>
      </c>
      <c r="D43" s="953"/>
      <c r="E43" s="537"/>
      <c r="F43" s="537"/>
      <c r="G43" s="2902"/>
      <c r="H43" s="1422"/>
      <c r="I43" s="1314"/>
      <c r="J43" s="1315"/>
      <c r="K43" s="1324" t="s">
        <v>835</v>
      </c>
      <c r="L43" s="1423"/>
      <c r="M43" s="1312"/>
      <c r="N43" s="1312"/>
      <c r="O43" s="1996">
        <v>4</v>
      </c>
    </row>
    <row r="44" spans="2:15" ht="30.75" customHeight="1">
      <c r="C44">
        <v>6</v>
      </c>
      <c r="D44" s="953"/>
      <c r="E44" s="537"/>
      <c r="F44" s="537"/>
      <c r="G44" s="3060">
        <v>0</v>
      </c>
      <c r="H44" s="2937" t="s">
        <v>836</v>
      </c>
      <c r="I44" s="2906"/>
      <c r="J44" s="2907"/>
      <c r="K44" s="2854" t="s">
        <v>571</v>
      </c>
      <c r="L44" s="2921"/>
      <c r="M44" s="2921"/>
      <c r="N44" s="2922"/>
      <c r="O44" s="1997">
        <v>1</v>
      </c>
    </row>
    <row r="45" spans="2:15" ht="23.25" thickBot="1">
      <c r="C45">
        <v>7</v>
      </c>
      <c r="D45" s="953"/>
      <c r="E45" s="537"/>
      <c r="F45" s="537"/>
      <c r="G45" s="3061"/>
      <c r="H45" s="2849"/>
      <c r="I45" s="3062"/>
      <c r="J45" s="3063"/>
      <c r="K45" s="1194" t="s">
        <v>572</v>
      </c>
      <c r="L45" s="1998"/>
      <c r="M45" s="1999"/>
      <c r="N45" s="1999"/>
      <c r="O45" s="2028" t="s">
        <v>1768</v>
      </c>
    </row>
    <row r="46" spans="2:15" ht="15.75">
      <c r="C46">
        <v>8</v>
      </c>
      <c r="D46" s="953"/>
      <c r="E46" s="537"/>
      <c r="F46" s="537"/>
      <c r="G46" s="1208" t="s">
        <v>1755</v>
      </c>
      <c r="H46" s="2824">
        <f>IF(G37=$R3,0,SUM(G38:G45))</f>
        <v>1</v>
      </c>
      <c r="I46" s="2824"/>
      <c r="J46" s="2824"/>
      <c r="K46" s="1210"/>
      <c r="L46" s="1424"/>
      <c r="M46" s="1210"/>
      <c r="N46" s="1211"/>
      <c r="O46" s="1220"/>
    </row>
    <row r="47" spans="2:15" ht="6.75" customHeight="1">
      <c r="C47">
        <v>9</v>
      </c>
      <c r="D47" s="949"/>
      <c r="E47" s="958"/>
      <c r="F47" s="959"/>
      <c r="G47" s="959"/>
      <c r="H47" s="959"/>
      <c r="I47" s="959"/>
      <c r="J47" s="959"/>
      <c r="K47" s="959"/>
      <c r="L47" s="1398"/>
      <c r="M47" s="959"/>
      <c r="N47" s="959"/>
      <c r="O47" s="959"/>
    </row>
    <row r="48" spans="2:15" ht="15.75">
      <c r="D48" s="949"/>
      <c r="E48" s="958"/>
      <c r="F48" s="959"/>
      <c r="G48" s="959"/>
      <c r="H48" s="959"/>
      <c r="I48" s="959"/>
      <c r="J48" s="959"/>
      <c r="K48" s="959"/>
      <c r="L48" s="1398"/>
      <c r="M48" s="959"/>
      <c r="N48" s="959"/>
      <c r="O48" s="959"/>
    </row>
    <row r="49" spans="2:15" ht="14.25" customHeight="1">
      <c r="D49" s="949">
        <v>2.2000000000000002</v>
      </c>
      <c r="E49" s="958" t="s">
        <v>573</v>
      </c>
      <c r="F49" s="958"/>
      <c r="G49" s="1425"/>
      <c r="H49" s="1426"/>
      <c r="I49" s="1426"/>
      <c r="J49" s="1427"/>
      <c r="K49" s="1427"/>
      <c r="L49" s="1409"/>
      <c r="M49" s="956"/>
      <c r="N49" s="956"/>
      <c r="O49" s="956"/>
    </row>
    <row r="50" spans="2:15" ht="14.25" customHeight="1" thickBot="1">
      <c r="D50" s="1152"/>
      <c r="E50" s="1152"/>
      <c r="F50" s="1102"/>
      <c r="G50" s="966"/>
      <c r="H50" s="967"/>
      <c r="I50" s="968" t="s">
        <v>1358</v>
      </c>
      <c r="J50" s="969">
        <f>重み!M148</f>
        <v>0.2</v>
      </c>
      <c r="K50" s="1103"/>
      <c r="L50" s="1103"/>
      <c r="M50" s="1103"/>
      <c r="N50" s="1103"/>
      <c r="O50" s="978"/>
    </row>
    <row r="51" spans="2:15" ht="21.75" customHeight="1" thickBot="1">
      <c r="D51" s="953"/>
      <c r="E51" s="950"/>
      <c r="F51" s="972">
        <v>3</v>
      </c>
      <c r="G51" s="976" t="s">
        <v>501</v>
      </c>
      <c r="H51" s="977"/>
      <c r="I51" s="977"/>
      <c r="J51" s="977"/>
      <c r="K51" s="977"/>
      <c r="L51" s="1277"/>
      <c r="M51" s="977"/>
      <c r="N51" s="977"/>
      <c r="O51" s="978"/>
    </row>
    <row r="52" spans="2:15" ht="15.75">
      <c r="B52" s="1" t="s">
        <v>220</v>
      </c>
      <c r="C52" s="1">
        <v>1</v>
      </c>
      <c r="D52" s="953"/>
      <c r="E52" s="950"/>
      <c r="F52" s="979" t="str">
        <f>IF(F51=$S$16,$T$10,IF(ROUNDDOWN(F51,0)=$S$10,$U$10,$T$10))</f>
        <v>　レベル　1</v>
      </c>
      <c r="G52" s="981" t="s">
        <v>2168</v>
      </c>
      <c r="H52" s="982"/>
      <c r="I52" s="982"/>
      <c r="J52" s="982"/>
      <c r="K52" s="982"/>
      <c r="L52" s="1278"/>
      <c r="M52" s="982"/>
      <c r="N52" s="982"/>
      <c r="O52" s="983"/>
    </row>
    <row r="53" spans="2:15" ht="15.75">
      <c r="B53" s="1" t="s">
        <v>220</v>
      </c>
      <c r="C53" s="1">
        <v>2</v>
      </c>
      <c r="D53" s="953"/>
      <c r="E53" s="950"/>
      <c r="F53" s="984" t="str">
        <f>IF(F51=$S$16,$T$11,IF(ROUNDDOWN(F51,0)=$S$11,$U$11,$T$11))</f>
        <v>　レベル　2</v>
      </c>
      <c r="G53" s="988" t="s">
        <v>2168</v>
      </c>
      <c r="H53" s="989"/>
      <c r="I53" s="989"/>
      <c r="J53" s="989"/>
      <c r="K53" s="989"/>
      <c r="L53" s="1279"/>
      <c r="M53" s="989"/>
      <c r="N53" s="989"/>
      <c r="O53" s="990"/>
    </row>
    <row r="54" spans="2:15" ht="15.75">
      <c r="B54" s="1">
        <v>3</v>
      </c>
      <c r="C54" s="1">
        <v>3</v>
      </c>
      <c r="D54" s="953"/>
      <c r="E54" s="950"/>
      <c r="F54" s="984" t="str">
        <f>IF(F51=$S$16,$T$12,IF(ROUNDDOWN(F51,0)=$S$12,$U$12,$T$12))</f>
        <v>■レベル　3</v>
      </c>
      <c r="G54" s="988" t="s">
        <v>3273</v>
      </c>
      <c r="H54" s="989"/>
      <c r="I54" s="989"/>
      <c r="J54" s="989"/>
      <c r="K54" s="989"/>
      <c r="L54" s="1279"/>
      <c r="M54" s="989"/>
      <c r="N54" s="989"/>
      <c r="O54" s="990"/>
    </row>
    <row r="55" spans="2:15" ht="15.75">
      <c r="B55" s="1" t="s">
        <v>220</v>
      </c>
      <c r="C55" s="1">
        <v>4</v>
      </c>
      <c r="D55" s="953"/>
      <c r="E55" s="950"/>
      <c r="F55" s="984" t="str">
        <f>IF(F51=$S$16,$T$13,IF(ROUNDDOWN(F51,0)=$S$13,$U$13,$T$13))</f>
        <v>　レベル　4</v>
      </c>
      <c r="G55" s="988" t="s">
        <v>2168</v>
      </c>
      <c r="H55" s="989"/>
      <c r="I55" s="989"/>
      <c r="J55" s="989"/>
      <c r="K55" s="989"/>
      <c r="L55" s="1279"/>
      <c r="M55" s="989"/>
      <c r="N55" s="989"/>
      <c r="O55" s="990"/>
    </row>
    <row r="56" spans="2:15" ht="15.75">
      <c r="B56" s="1">
        <v>5</v>
      </c>
      <c r="C56" s="1">
        <v>5</v>
      </c>
      <c r="D56" s="953"/>
      <c r="E56" s="950"/>
      <c r="F56" s="995" t="str">
        <f>IF(F51=$S$16,$T$14,IF(ROUNDDOWN(F51,0)=$S$14,$U$14,$T$14))</f>
        <v>　レベル　5</v>
      </c>
      <c r="G56" s="999" t="s">
        <v>3274</v>
      </c>
      <c r="H56" s="1000"/>
      <c r="I56" s="1000"/>
      <c r="J56" s="1000"/>
      <c r="K56" s="1000"/>
      <c r="L56" s="1280"/>
      <c r="M56" s="1000"/>
      <c r="N56" s="1000"/>
      <c r="O56" s="1001"/>
    </row>
    <row r="57" spans="2:15" ht="13.5" customHeight="1">
      <c r="B57" s="1002">
        <v>0</v>
      </c>
      <c r="C57" s="1002">
        <v>0</v>
      </c>
      <c r="D57" s="949"/>
      <c r="E57" s="958"/>
      <c r="F57" s="959"/>
      <c r="G57" s="959"/>
      <c r="H57" s="959"/>
      <c r="I57" s="959"/>
      <c r="J57" s="959"/>
      <c r="K57" s="959"/>
      <c r="L57" s="1398"/>
      <c r="M57" s="959"/>
      <c r="N57" s="959"/>
      <c r="O57" s="959"/>
    </row>
    <row r="58" spans="2:15" ht="14.25" customHeight="1">
      <c r="D58" s="949">
        <v>2.2999999999999998</v>
      </c>
      <c r="E58" s="958" t="s">
        <v>1280</v>
      </c>
      <c r="F58" s="959"/>
      <c r="G58" s="962"/>
      <c r="H58" s="959"/>
      <c r="I58" s="959"/>
      <c r="J58" s="959"/>
      <c r="K58" s="959"/>
      <c r="L58" s="1405"/>
      <c r="M58" s="959"/>
      <c r="N58" s="959"/>
    </row>
    <row r="59" spans="2:15" ht="14.25" customHeight="1" thickBot="1">
      <c r="D59" s="953"/>
      <c r="E59" s="960"/>
      <c r="F59" s="1102"/>
      <c r="G59" s="966"/>
      <c r="H59" s="967"/>
      <c r="I59" s="968" t="s">
        <v>1358</v>
      </c>
      <c r="J59" s="969">
        <f>重み!M149</f>
        <v>0.2</v>
      </c>
      <c r="K59" s="1103"/>
      <c r="L59" s="1103"/>
      <c r="M59" s="1103"/>
      <c r="N59" s="1103"/>
      <c r="O59" s="978"/>
    </row>
    <row r="60" spans="2:15" ht="24" customHeight="1" thickBot="1">
      <c r="D60" s="953"/>
      <c r="E60" s="960"/>
      <c r="F60" s="972">
        <v>3</v>
      </c>
      <c r="G60" s="976" t="s">
        <v>501</v>
      </c>
      <c r="H60" s="977"/>
      <c r="I60" s="977"/>
      <c r="J60" s="977"/>
      <c r="K60" s="977"/>
      <c r="L60" s="1277"/>
      <c r="M60" s="977"/>
      <c r="N60" s="1084" t="s">
        <v>1316</v>
      </c>
      <c r="O60" s="978"/>
    </row>
    <row r="61" spans="2:15" ht="15.75">
      <c r="B61" s="1" t="s">
        <v>2845</v>
      </c>
      <c r="C61" s="1">
        <v>1</v>
      </c>
      <c r="D61" s="953"/>
      <c r="E61" s="960"/>
      <c r="F61" s="979" t="str">
        <f>IF(F60=$S$16,$T$10,IF(ROUNDDOWN(F60,0)=$S$10,$U$10,$T$10))</f>
        <v>　レベル　1</v>
      </c>
      <c r="G61" s="981" t="s">
        <v>2168</v>
      </c>
      <c r="H61" s="982"/>
      <c r="I61" s="982"/>
      <c r="J61" s="982"/>
      <c r="K61" s="982"/>
      <c r="L61" s="1278"/>
      <c r="M61" s="982"/>
      <c r="N61" s="2769" t="s">
        <v>574</v>
      </c>
      <c r="O61" s="2991"/>
    </row>
    <row r="62" spans="2:15" ht="15.75">
      <c r="B62" s="1" t="s">
        <v>220</v>
      </c>
      <c r="C62" s="1">
        <v>2</v>
      </c>
      <c r="D62" s="953"/>
      <c r="E62" s="960"/>
      <c r="F62" s="984" t="str">
        <f>IF(F60=$S$16,$T$11,IF(ROUNDDOWN(F60,0)=$S$11,$U$11,$T$11))</f>
        <v>　レベル　2</v>
      </c>
      <c r="G62" s="988" t="s">
        <v>2168</v>
      </c>
      <c r="H62" s="989"/>
      <c r="I62" s="989"/>
      <c r="J62" s="989"/>
      <c r="K62" s="989"/>
      <c r="L62" s="1279"/>
      <c r="M62" s="989"/>
      <c r="N62" s="2992"/>
      <c r="O62" s="2993"/>
    </row>
    <row r="63" spans="2:15" ht="15.75">
      <c r="B63" s="1">
        <v>3</v>
      </c>
      <c r="C63" s="1">
        <v>3</v>
      </c>
      <c r="D63" s="953"/>
      <c r="E63" s="960"/>
      <c r="F63" s="984" t="str">
        <f>IF(F60=$S$16,$T$12,IF(ROUNDDOWN(F60,0)=$S$12,$U$12,$T$12))</f>
        <v>■レベル　3</v>
      </c>
      <c r="G63" s="988" t="s">
        <v>60</v>
      </c>
      <c r="H63" s="989"/>
      <c r="I63" s="989"/>
      <c r="J63" s="989"/>
      <c r="K63" s="989"/>
      <c r="L63" s="1279"/>
      <c r="M63" s="989"/>
      <c r="N63" s="2992"/>
      <c r="O63" s="2993"/>
    </row>
    <row r="64" spans="2:15" ht="15.75">
      <c r="B64" s="1" t="s">
        <v>1148</v>
      </c>
      <c r="C64" s="1">
        <v>4</v>
      </c>
      <c r="D64" s="953"/>
      <c r="E64" s="960"/>
      <c r="F64" s="984" t="str">
        <f>IF(F60=$S$16,$T$13,IF(ROUNDDOWN(F60,0)=$S$13,$U$13,$T$13))</f>
        <v>　レベル　4</v>
      </c>
      <c r="G64" s="988" t="s">
        <v>2168</v>
      </c>
      <c r="H64" s="989"/>
      <c r="I64" s="989"/>
      <c r="J64" s="989"/>
      <c r="K64" s="989"/>
      <c r="L64" s="1279"/>
      <c r="M64" s="989"/>
      <c r="N64" s="2992"/>
      <c r="O64" s="2993"/>
    </row>
    <row r="65" spans="2:15" ht="15.75">
      <c r="B65" s="1">
        <v>5</v>
      </c>
      <c r="C65" s="1">
        <v>5</v>
      </c>
      <c r="D65" s="953"/>
      <c r="E65" s="960"/>
      <c r="F65" s="995" t="str">
        <f>IF(F60=$S$16,$T$14,IF(ROUNDDOWN(F60,0)=$S$14,$U$14,$T$14))</f>
        <v>　レベル　5</v>
      </c>
      <c r="G65" s="999" t="s">
        <v>61</v>
      </c>
      <c r="H65" s="1000"/>
      <c r="I65" s="1000"/>
      <c r="J65" s="1000"/>
      <c r="K65" s="1000"/>
      <c r="L65" s="1280"/>
      <c r="M65" s="1000"/>
      <c r="N65" s="2994"/>
      <c r="O65" s="2995"/>
    </row>
    <row r="66" spans="2:15" ht="15" customHeight="1">
      <c r="B66" s="1002">
        <v>0</v>
      </c>
      <c r="C66" s="1002">
        <v>0</v>
      </c>
      <c r="G66" s="184" t="s">
        <v>1756</v>
      </c>
      <c r="L66" s="2000"/>
    </row>
    <row r="67" spans="2:15" ht="21" customHeight="1">
      <c r="G67" s="1389" t="s">
        <v>575</v>
      </c>
      <c r="H67" s="2001"/>
      <c r="I67" s="2001"/>
      <c r="J67" s="2001"/>
      <c r="K67" s="3069"/>
      <c r="L67" s="3070"/>
      <c r="M67" s="3070"/>
      <c r="N67" s="3070"/>
      <c r="O67" s="3071"/>
    </row>
    <row r="68" spans="2:15" ht="8.25" customHeight="1">
      <c r="D68" s="953"/>
      <c r="E68" s="537"/>
      <c r="F68" s="537"/>
      <c r="G68" s="184"/>
      <c r="L68" s="2000"/>
    </row>
    <row r="69" spans="2:15" ht="15" customHeight="1">
      <c r="D69" s="953"/>
      <c r="E69" s="537"/>
      <c r="F69" s="537"/>
      <c r="G69" s="1388" t="s">
        <v>576</v>
      </c>
      <c r="H69" s="136"/>
      <c r="I69" s="136"/>
      <c r="J69" s="136"/>
      <c r="K69" s="136"/>
      <c r="L69" s="2182"/>
      <c r="M69" s="136"/>
    </row>
    <row r="70" spans="2:15" ht="13.5" customHeight="1" thickBot="1">
      <c r="D70" s="953"/>
      <c r="E70" s="537"/>
      <c r="F70" s="537"/>
      <c r="G70" s="1428" t="s">
        <v>577</v>
      </c>
      <c r="H70" s="1429"/>
      <c r="I70" s="1429"/>
      <c r="J70" s="1429"/>
      <c r="K70" s="1429"/>
      <c r="L70" s="1430"/>
      <c r="M70" s="1430"/>
    </row>
    <row r="71" spans="2:15" ht="13.5" customHeight="1" thickTop="1">
      <c r="D71" s="953"/>
      <c r="E71" s="537"/>
      <c r="F71" s="537"/>
      <c r="G71" s="1431" t="s">
        <v>578</v>
      </c>
      <c r="H71" s="1432"/>
      <c r="I71" s="1432"/>
      <c r="J71" s="1432"/>
      <c r="K71" s="1432"/>
      <c r="L71" s="1433"/>
      <c r="M71" s="1434"/>
    </row>
    <row r="72" spans="2:15" ht="13.5" customHeight="1">
      <c r="D72" s="953"/>
      <c r="E72" s="537"/>
      <c r="F72" s="537"/>
      <c r="G72" s="1435"/>
      <c r="H72" s="1226" t="s">
        <v>579</v>
      </c>
      <c r="I72" s="1226"/>
      <c r="J72" s="1226"/>
      <c r="K72" s="1226" t="s">
        <v>94</v>
      </c>
      <c r="L72" s="1226"/>
      <c r="M72" s="1285"/>
    </row>
    <row r="73" spans="2:15" ht="13.5" customHeight="1">
      <c r="D73" s="953"/>
      <c r="E73" s="537"/>
      <c r="F73" s="537"/>
      <c r="G73" s="1435"/>
      <c r="H73" s="1226" t="s">
        <v>380</v>
      </c>
      <c r="I73" s="1226"/>
      <c r="J73" s="1226"/>
      <c r="K73" s="1226" t="s">
        <v>95</v>
      </c>
      <c r="L73" s="1226"/>
      <c r="M73" s="1285"/>
    </row>
    <row r="74" spans="2:15" ht="13.5" customHeight="1">
      <c r="D74" s="953"/>
      <c r="E74" s="537"/>
      <c r="F74" s="537"/>
      <c r="G74" s="1435"/>
      <c r="H74" s="1226" t="s">
        <v>381</v>
      </c>
      <c r="I74" s="1226"/>
      <c r="J74" s="1226"/>
      <c r="K74" s="1226" t="s">
        <v>2020</v>
      </c>
      <c r="L74" s="1226"/>
      <c r="M74" s="1285"/>
    </row>
    <row r="75" spans="2:15" ht="13.5" customHeight="1">
      <c r="D75" s="953"/>
      <c r="E75" s="537"/>
      <c r="F75" s="537"/>
      <c r="G75" s="1435"/>
      <c r="H75" s="1226" t="s">
        <v>382</v>
      </c>
      <c r="I75" s="1226"/>
      <c r="J75" s="1226"/>
      <c r="K75" s="1226"/>
      <c r="L75" s="1436"/>
      <c r="M75" s="1437"/>
    </row>
    <row r="76" spans="2:15" ht="13.5" customHeight="1">
      <c r="D76" s="953"/>
      <c r="E76" s="537"/>
      <c r="F76" s="537"/>
      <c r="G76" s="1438"/>
      <c r="H76" s="1226" t="s">
        <v>96</v>
      </c>
      <c r="I76" s="1439"/>
      <c r="J76" s="1439"/>
      <c r="K76" s="1439"/>
      <c r="L76" s="1440"/>
      <c r="M76" s="1437"/>
    </row>
    <row r="77" spans="2:15" ht="13.5" customHeight="1">
      <c r="D77" s="953"/>
      <c r="E77" s="537"/>
      <c r="F77" s="537"/>
      <c r="G77" s="1441" t="s">
        <v>383</v>
      </c>
      <c r="H77" s="1226"/>
      <c r="I77" s="1439"/>
      <c r="J77" s="1439"/>
      <c r="K77" s="1439"/>
      <c r="L77" s="1440"/>
      <c r="M77" s="1437"/>
    </row>
    <row r="78" spans="2:15" ht="13.5" customHeight="1">
      <c r="D78" s="953"/>
      <c r="E78" s="537"/>
      <c r="F78" s="537"/>
      <c r="G78" s="1442" t="s">
        <v>384</v>
      </c>
      <c r="H78" s="1443"/>
      <c r="I78" s="1443"/>
      <c r="J78" s="1443"/>
      <c r="K78" s="1443"/>
      <c r="L78" s="1444"/>
      <c r="M78" s="1445"/>
    </row>
    <row r="79" spans="2:15" ht="13.5" customHeight="1">
      <c r="D79" s="953"/>
      <c r="E79" s="537"/>
      <c r="F79" s="537"/>
      <c r="G79" s="950" t="s">
        <v>6</v>
      </c>
      <c r="H79" s="136"/>
      <c r="I79" s="136"/>
      <c r="J79" s="136"/>
      <c r="K79" s="136"/>
      <c r="L79" s="136"/>
      <c r="M79" s="136"/>
      <c r="N79" s="1446"/>
      <c r="O79" s="1446"/>
    </row>
    <row r="80" spans="2:15" ht="9.75" customHeight="1">
      <c r="D80" s="953"/>
      <c r="E80" s="537"/>
      <c r="F80" s="537"/>
      <c r="G80" s="950" t="s">
        <v>97</v>
      </c>
      <c r="H80" s="136"/>
      <c r="I80" s="136"/>
      <c r="J80" s="136"/>
      <c r="K80" s="136"/>
      <c r="L80" s="136"/>
      <c r="M80" s="136"/>
      <c r="N80" s="956"/>
      <c r="O80" s="956"/>
    </row>
    <row r="81" spans="2:15" ht="9.75" customHeight="1">
      <c r="D81" s="953"/>
      <c r="E81" s="537"/>
      <c r="F81" s="537"/>
      <c r="G81" s="950" t="s">
        <v>98</v>
      </c>
      <c r="H81" s="136"/>
      <c r="I81" s="136"/>
      <c r="J81" s="136"/>
      <c r="K81" s="136"/>
      <c r="L81" s="136"/>
      <c r="M81" s="136"/>
      <c r="N81" s="1446"/>
      <c r="O81" s="1446"/>
    </row>
    <row r="82" spans="2:15" ht="15" customHeight="1">
      <c r="G82" s="372"/>
      <c r="L82" s="2000"/>
    </row>
    <row r="83" spans="2:15" ht="14.25" customHeight="1">
      <c r="D83" s="949">
        <v>2.4</v>
      </c>
      <c r="E83" s="958" t="s">
        <v>62</v>
      </c>
      <c r="F83" s="953"/>
      <c r="G83" s="953"/>
      <c r="H83" s="953"/>
      <c r="I83" s="953"/>
      <c r="J83" s="953"/>
      <c r="K83" s="953"/>
      <c r="L83" s="1447"/>
      <c r="M83" s="953"/>
      <c r="N83" s="953"/>
    </row>
    <row r="84" spans="2:15" ht="14.25" customHeight="1" thickBot="1">
      <c r="D84" s="953"/>
      <c r="E84" s="953"/>
      <c r="F84" s="1102"/>
      <c r="G84" s="966"/>
      <c r="H84" s="967"/>
      <c r="I84" s="968" t="s">
        <v>1358</v>
      </c>
      <c r="J84" s="969">
        <f>重み!M150</f>
        <v>0.2</v>
      </c>
      <c r="K84" s="1103"/>
      <c r="L84" s="1103"/>
      <c r="M84" s="1103"/>
      <c r="N84" s="1103"/>
      <c r="O84" s="978"/>
    </row>
    <row r="85" spans="2:15" ht="22.5" customHeight="1" thickBot="1">
      <c r="D85" s="953"/>
      <c r="E85" s="953"/>
      <c r="F85" s="972">
        <v>3</v>
      </c>
      <c r="G85" s="976" t="s">
        <v>501</v>
      </c>
      <c r="H85" s="977"/>
      <c r="I85" s="977"/>
      <c r="J85" s="977"/>
      <c r="K85" s="977"/>
      <c r="L85" s="1277"/>
      <c r="M85" s="977"/>
      <c r="N85" s="1084" t="s">
        <v>1316</v>
      </c>
      <c r="O85" s="978"/>
    </row>
    <row r="86" spans="2:15" ht="17.25" customHeight="1">
      <c r="B86" s="1">
        <v>1</v>
      </c>
      <c r="C86" s="1">
        <v>1</v>
      </c>
      <c r="D86" s="953"/>
      <c r="E86" s="953"/>
      <c r="F86" s="979" t="str">
        <f>IF(F85=$S$16,$T$10,IF(ROUNDDOWN(F85,0)=$S$10,$U$10,$T$10))</f>
        <v>　レベル　1</v>
      </c>
      <c r="G86" s="981" t="s">
        <v>7</v>
      </c>
      <c r="H86" s="982"/>
      <c r="I86" s="982"/>
      <c r="J86" s="982"/>
      <c r="K86" s="982"/>
      <c r="L86" s="1278"/>
      <c r="M86" s="982"/>
      <c r="N86" s="2769" t="s">
        <v>8</v>
      </c>
      <c r="O86" s="2991"/>
    </row>
    <row r="87" spans="2:15" ht="17.25" customHeight="1">
      <c r="B87" s="1" t="s">
        <v>1151</v>
      </c>
      <c r="C87" s="1">
        <v>2</v>
      </c>
      <c r="D87" s="953"/>
      <c r="E87" s="953"/>
      <c r="F87" s="984" t="str">
        <f>IF(F85=$S$16,$T$11,IF(ROUNDDOWN(F85,0)=$S$11,$U$11,$T$11))</f>
        <v>　レベル　2</v>
      </c>
      <c r="G87" s="988" t="s">
        <v>2168</v>
      </c>
      <c r="H87" s="989"/>
      <c r="I87" s="989"/>
      <c r="J87" s="989"/>
      <c r="K87" s="989"/>
      <c r="L87" s="1279"/>
      <c r="M87" s="989"/>
      <c r="N87" s="2992"/>
      <c r="O87" s="2993"/>
    </row>
    <row r="88" spans="2:15" ht="17.25" customHeight="1">
      <c r="B88" s="1">
        <v>3</v>
      </c>
      <c r="C88" s="1">
        <v>3</v>
      </c>
      <c r="D88" s="953"/>
      <c r="E88" s="953"/>
      <c r="F88" s="984" t="str">
        <f>IF(F85=$S$16,$T$12,IF(ROUNDDOWN(F85,0)=$S$12,$U$12,$T$12))</f>
        <v>■レベル　3</v>
      </c>
      <c r="G88" s="988" t="s">
        <v>9</v>
      </c>
      <c r="H88" s="989"/>
      <c r="I88" s="989"/>
      <c r="J88" s="989"/>
      <c r="K88" s="989"/>
      <c r="L88" s="1279"/>
      <c r="M88" s="989"/>
      <c r="N88" s="2992"/>
      <c r="O88" s="2993"/>
    </row>
    <row r="89" spans="2:15" ht="17.25" customHeight="1">
      <c r="B89" s="1">
        <v>4</v>
      </c>
      <c r="C89" s="1">
        <v>4</v>
      </c>
      <c r="D89" s="953"/>
      <c r="E89" s="953"/>
      <c r="F89" s="984" t="str">
        <f>IF(F85=$S$16,$T$13,IF(ROUNDDOWN(F85,0)=$S$13,$U$13,$T$13))</f>
        <v>　レベル　4</v>
      </c>
      <c r="G89" s="988" t="s">
        <v>10</v>
      </c>
      <c r="H89" s="989"/>
      <c r="I89" s="989"/>
      <c r="J89" s="989"/>
      <c r="K89" s="989"/>
      <c r="L89" s="1279"/>
      <c r="M89" s="989"/>
      <c r="N89" s="2992"/>
      <c r="O89" s="2993"/>
    </row>
    <row r="90" spans="2:15" ht="17.25" customHeight="1">
      <c r="B90" s="1">
        <v>5</v>
      </c>
      <c r="C90" s="1">
        <v>5</v>
      </c>
      <c r="D90" s="953"/>
      <c r="E90" s="953"/>
      <c r="F90" s="995" t="str">
        <f>IF(F85=$S$16,$T$14,IF(ROUNDDOWN(F85,0)=$S$14,$U$14,$T$14))</f>
        <v>　レベル　5</v>
      </c>
      <c r="G90" s="999" t="s">
        <v>11</v>
      </c>
      <c r="H90" s="1000"/>
      <c r="I90" s="1000"/>
      <c r="J90" s="1000"/>
      <c r="K90" s="1000"/>
      <c r="L90" s="1280"/>
      <c r="M90" s="1000"/>
      <c r="N90" s="2994"/>
      <c r="O90" s="2995"/>
    </row>
    <row r="91" spans="2:15" ht="14.25" customHeight="1">
      <c r="B91" s="1002">
        <v>0</v>
      </c>
      <c r="C91" s="1002">
        <v>0</v>
      </c>
      <c r="D91" s="953"/>
      <c r="E91" s="1097"/>
      <c r="G91" s="184" t="s">
        <v>1992</v>
      </c>
      <c r="L91" s="2000"/>
    </row>
    <row r="92" spans="2:15" ht="21" customHeight="1">
      <c r="G92" s="1389" t="s">
        <v>575</v>
      </c>
      <c r="H92" s="2001"/>
      <c r="I92" s="2001"/>
      <c r="J92" s="2001"/>
      <c r="K92" s="3069"/>
      <c r="L92" s="3070"/>
      <c r="M92" s="3070"/>
      <c r="N92" s="3070"/>
      <c r="O92" s="3071"/>
    </row>
    <row r="93" spans="2:15" ht="14.25" customHeight="1">
      <c r="D93" s="953"/>
      <c r="E93" s="1097"/>
      <c r="G93" s="184"/>
      <c r="L93" s="2000"/>
    </row>
    <row r="94" spans="2:15" ht="14.25" customHeight="1">
      <c r="D94" s="953"/>
      <c r="E94" s="537"/>
      <c r="F94" s="537"/>
      <c r="G94" s="1388" t="s">
        <v>576</v>
      </c>
      <c r="H94" s="136"/>
      <c r="I94" s="136"/>
      <c r="J94" s="136"/>
      <c r="K94" s="136"/>
      <c r="L94" s="2182"/>
      <c r="M94" s="136"/>
      <c r="N94" s="136"/>
      <c r="O94" s="136"/>
    </row>
    <row r="95" spans="2:15" ht="13.5" customHeight="1" thickBot="1">
      <c r="D95" s="953"/>
      <c r="E95" s="537"/>
      <c r="F95" s="537"/>
      <c r="G95" s="1448" t="s">
        <v>577</v>
      </c>
      <c r="H95" s="1449"/>
      <c r="I95" s="1449"/>
      <c r="J95" s="1449"/>
      <c r="K95" s="1449"/>
      <c r="L95" s="1449"/>
      <c r="M95" s="1449"/>
      <c r="N95" s="1449"/>
      <c r="O95" s="1450"/>
    </row>
    <row r="96" spans="2:15" ht="13.5" customHeight="1" thickTop="1">
      <c r="D96" s="953"/>
      <c r="E96" s="537"/>
      <c r="F96" s="537"/>
      <c r="G96" s="1092" t="s">
        <v>12</v>
      </c>
      <c r="H96" s="1093"/>
      <c r="I96" s="1093"/>
      <c r="J96" s="1093"/>
      <c r="K96" s="1093"/>
      <c r="L96" s="1093"/>
      <c r="M96" s="1093"/>
      <c r="N96" s="1093"/>
      <c r="O96" s="1451"/>
    </row>
    <row r="97" spans="4:15" ht="13.5" customHeight="1">
      <c r="D97" s="953"/>
      <c r="E97" s="537"/>
      <c r="F97" s="537"/>
      <c r="G97" s="988"/>
      <c r="H97" s="989" t="s">
        <v>13</v>
      </c>
      <c r="I97" s="989"/>
      <c r="J97" s="989"/>
      <c r="K97" s="989"/>
      <c r="L97" s="989" t="s">
        <v>325</v>
      </c>
      <c r="M97" s="989"/>
      <c r="N97" s="989"/>
      <c r="O97" s="990"/>
    </row>
    <row r="98" spans="4:15" ht="13.5" customHeight="1">
      <c r="D98" s="953"/>
      <c r="E98" s="537"/>
      <c r="F98" s="537"/>
      <c r="G98" s="988"/>
      <c r="H98" s="989" t="s">
        <v>14</v>
      </c>
      <c r="I98" s="989"/>
      <c r="J98" s="989"/>
      <c r="K98" s="989"/>
      <c r="L98" s="989" t="s">
        <v>2019</v>
      </c>
      <c r="M98" s="989"/>
      <c r="N98" s="989"/>
      <c r="O98" s="990"/>
    </row>
    <row r="99" spans="4:15" ht="13.5" customHeight="1">
      <c r="D99" s="953"/>
      <c r="E99" s="537"/>
      <c r="F99" s="537"/>
      <c r="G99" s="988"/>
      <c r="H99" s="989" t="s">
        <v>15</v>
      </c>
      <c r="I99" s="989"/>
      <c r="J99" s="989"/>
      <c r="K99" s="989"/>
      <c r="L99" s="989" t="s">
        <v>99</v>
      </c>
      <c r="M99" s="989"/>
      <c r="N99" s="989"/>
      <c r="O99" s="990"/>
    </row>
    <row r="100" spans="4:15" ht="13.5" customHeight="1">
      <c r="D100" s="953"/>
      <c r="E100" s="537"/>
      <c r="F100" s="537"/>
      <c r="G100" s="988"/>
      <c r="H100" s="989" t="s">
        <v>1775</v>
      </c>
      <c r="I100" s="989"/>
      <c r="J100" s="989"/>
      <c r="K100" s="989"/>
      <c r="L100" s="989" t="s">
        <v>2020</v>
      </c>
      <c r="M100" s="989"/>
      <c r="N100" s="989"/>
      <c r="O100" s="990"/>
    </row>
    <row r="101" spans="4:15" ht="13.5" customHeight="1">
      <c r="D101" s="953"/>
      <c r="E101" s="537"/>
      <c r="F101" s="537"/>
      <c r="G101" s="988"/>
      <c r="H101" s="989" t="s">
        <v>1776</v>
      </c>
      <c r="I101" s="989"/>
      <c r="J101" s="989"/>
      <c r="K101" s="989"/>
      <c r="L101" s="989" t="s">
        <v>1443</v>
      </c>
      <c r="M101" s="989"/>
      <c r="N101" s="989"/>
      <c r="O101" s="990"/>
    </row>
    <row r="102" spans="4:15" ht="13.5" customHeight="1">
      <c r="D102" s="953"/>
      <c r="E102" s="537"/>
      <c r="F102" s="537"/>
      <c r="G102" s="988"/>
      <c r="H102" s="989" t="s">
        <v>100</v>
      </c>
      <c r="I102" s="989"/>
      <c r="J102" s="989"/>
      <c r="K102" s="989"/>
      <c r="L102" s="989" t="s">
        <v>101</v>
      </c>
      <c r="M102" s="989"/>
      <c r="N102" s="989"/>
      <c r="O102" s="990"/>
    </row>
    <row r="103" spans="4:15" ht="13.5" customHeight="1">
      <c r="D103" s="953"/>
      <c r="E103" s="537"/>
      <c r="F103" s="537"/>
      <c r="G103" s="988"/>
      <c r="H103" s="989" t="s">
        <v>102</v>
      </c>
      <c r="I103" s="989"/>
      <c r="J103" s="989"/>
      <c r="K103" s="989"/>
      <c r="L103" s="989" t="s">
        <v>103</v>
      </c>
      <c r="M103" s="989"/>
      <c r="N103" s="989"/>
      <c r="O103" s="990"/>
    </row>
    <row r="104" spans="4:15" ht="13.5" customHeight="1">
      <c r="D104" s="953"/>
      <c r="E104" s="537"/>
      <c r="F104" s="537"/>
      <c r="G104" s="988"/>
      <c r="H104" s="989" t="s">
        <v>1444</v>
      </c>
      <c r="I104" s="989"/>
      <c r="J104" s="989"/>
      <c r="K104" s="989"/>
      <c r="L104" s="989" t="s">
        <v>104</v>
      </c>
      <c r="M104" s="989"/>
      <c r="N104" s="989"/>
      <c r="O104" s="990"/>
    </row>
    <row r="105" spans="4:15" ht="13.5" customHeight="1">
      <c r="D105" s="953"/>
      <c r="E105" s="537"/>
      <c r="F105" s="537"/>
      <c r="G105" s="988"/>
      <c r="H105" s="989" t="s">
        <v>106</v>
      </c>
      <c r="I105" s="989"/>
      <c r="J105" s="989"/>
      <c r="K105" s="989"/>
      <c r="L105" s="989" t="s">
        <v>105</v>
      </c>
      <c r="M105" s="989"/>
      <c r="N105" s="989"/>
      <c r="O105" s="990"/>
    </row>
    <row r="106" spans="4:15" ht="13.5" customHeight="1">
      <c r="D106" s="953"/>
      <c r="E106" s="537"/>
      <c r="F106" s="537"/>
      <c r="G106" s="988"/>
      <c r="H106" s="989" t="s">
        <v>107</v>
      </c>
      <c r="I106" s="989"/>
      <c r="J106" s="989"/>
      <c r="K106" s="989"/>
      <c r="L106" s="989" t="s">
        <v>1445</v>
      </c>
      <c r="M106" s="989"/>
      <c r="N106" s="989"/>
      <c r="O106" s="990"/>
    </row>
    <row r="107" spans="4:15" ht="13.5" hidden="1" customHeight="1">
      <c r="D107" s="953"/>
      <c r="E107" s="537"/>
      <c r="F107" s="537"/>
      <c r="G107" s="988"/>
      <c r="H107" s="989"/>
      <c r="I107" s="989"/>
      <c r="J107" s="989"/>
      <c r="K107" s="989"/>
      <c r="L107" s="989"/>
      <c r="M107" s="989"/>
      <c r="N107" s="989"/>
      <c r="O107" s="990"/>
    </row>
    <row r="108" spans="4:15" ht="13.5" customHeight="1">
      <c r="D108" s="953"/>
      <c r="E108" s="537"/>
      <c r="F108" s="537"/>
      <c r="G108" s="999"/>
      <c r="H108" s="1000"/>
      <c r="I108" s="1000"/>
      <c r="J108" s="1000"/>
      <c r="K108" s="1000"/>
      <c r="L108" s="1000" t="s">
        <v>108</v>
      </c>
      <c r="M108" s="1000"/>
      <c r="N108" s="1000"/>
      <c r="O108" s="1001"/>
    </row>
    <row r="109" spans="4:15" ht="13.5" customHeight="1">
      <c r="D109" s="953"/>
      <c r="E109" s="537"/>
      <c r="F109" s="537"/>
      <c r="G109" s="1092" t="s">
        <v>109</v>
      </c>
      <c r="H109" s="1093"/>
      <c r="I109" s="1093"/>
      <c r="J109" s="1093"/>
      <c r="K109" s="1093"/>
      <c r="L109" s="1093"/>
      <c r="M109" s="1093"/>
      <c r="N109" s="1093"/>
      <c r="O109" s="1451"/>
    </row>
    <row r="110" spans="4:15" ht="13.5" customHeight="1">
      <c r="D110" s="953"/>
      <c r="E110" s="537"/>
      <c r="F110" s="537"/>
      <c r="G110" s="988"/>
      <c r="H110" s="989" t="s">
        <v>1446</v>
      </c>
      <c r="I110" s="989"/>
      <c r="J110" s="989"/>
      <c r="K110" s="989"/>
      <c r="L110" s="989" t="s">
        <v>1447</v>
      </c>
      <c r="M110" s="989"/>
      <c r="N110" s="989"/>
      <c r="O110" s="990"/>
    </row>
    <row r="111" spans="4:15" ht="13.5" customHeight="1">
      <c r="D111" s="953"/>
      <c r="E111" s="537"/>
      <c r="F111" s="537"/>
      <c r="G111" s="999"/>
      <c r="H111" s="1000" t="s">
        <v>1448</v>
      </c>
      <c r="I111" s="1000"/>
      <c r="J111" s="1000"/>
      <c r="K111" s="1000"/>
      <c r="L111" s="1000"/>
      <c r="M111" s="1000"/>
      <c r="N111" s="1000"/>
      <c r="O111" s="1001"/>
    </row>
    <row r="112" spans="4:15" ht="13.5" customHeight="1">
      <c r="D112" s="953"/>
      <c r="E112" s="537"/>
      <c r="F112" s="537"/>
      <c r="G112" s="1092" t="s">
        <v>1449</v>
      </c>
      <c r="H112" s="1093"/>
      <c r="I112" s="1093"/>
      <c r="J112" s="1093"/>
      <c r="K112" s="1093"/>
      <c r="L112" s="1093"/>
      <c r="M112" s="1093"/>
      <c r="N112" s="1093"/>
      <c r="O112" s="1451"/>
    </row>
    <row r="113" spans="4:15" ht="13.5" customHeight="1">
      <c r="D113" s="953"/>
      <c r="E113" s="537"/>
      <c r="F113" s="537"/>
      <c r="G113" s="999"/>
      <c r="H113" s="1000" t="s">
        <v>110</v>
      </c>
      <c r="I113" s="1000"/>
      <c r="J113" s="1000"/>
      <c r="K113" s="1000"/>
      <c r="L113" s="1000"/>
      <c r="M113" s="1000"/>
      <c r="N113" s="1000"/>
      <c r="O113" s="1001"/>
    </row>
    <row r="114" spans="4:15" ht="13.5" customHeight="1">
      <c r="D114" s="953"/>
      <c r="E114" s="537"/>
      <c r="F114" s="537"/>
      <c r="G114" s="1092" t="s">
        <v>1450</v>
      </c>
      <c r="H114" s="1093"/>
      <c r="I114" s="1093"/>
      <c r="J114" s="1093"/>
      <c r="K114" s="1093"/>
      <c r="L114" s="1093"/>
      <c r="M114" s="1093"/>
      <c r="N114" s="1093"/>
      <c r="O114" s="1451"/>
    </row>
    <row r="115" spans="4:15" ht="13.5" customHeight="1">
      <c r="D115" s="953"/>
      <c r="E115" s="537"/>
      <c r="F115" s="537"/>
      <c r="G115" s="988"/>
      <c r="H115" s="989" t="s">
        <v>1451</v>
      </c>
      <c r="I115" s="989"/>
      <c r="J115" s="989"/>
      <c r="K115" s="989"/>
      <c r="L115" s="989" t="s">
        <v>1452</v>
      </c>
      <c r="M115" s="989"/>
      <c r="N115" s="989"/>
      <c r="O115" s="990"/>
    </row>
    <row r="116" spans="4:15" ht="13.5" customHeight="1">
      <c r="D116" s="953"/>
      <c r="E116" s="537"/>
      <c r="F116" s="537"/>
      <c r="G116" s="988"/>
      <c r="H116" s="989" t="s">
        <v>1453</v>
      </c>
      <c r="I116" s="989"/>
      <c r="J116" s="989"/>
      <c r="K116" s="989"/>
      <c r="L116" s="989"/>
      <c r="M116" s="989"/>
      <c r="N116" s="989"/>
      <c r="O116" s="990"/>
    </row>
    <row r="117" spans="4:15" ht="13.5" customHeight="1">
      <c r="D117" s="953"/>
      <c r="E117" s="537"/>
      <c r="F117" s="537"/>
      <c r="G117" s="988"/>
      <c r="H117" s="989" t="s">
        <v>1454</v>
      </c>
      <c r="I117" s="989"/>
      <c r="J117" s="989"/>
      <c r="K117" s="989"/>
      <c r="L117" s="989"/>
      <c r="M117" s="989"/>
      <c r="N117" s="989"/>
      <c r="O117" s="990"/>
    </row>
    <row r="118" spans="4:15" ht="13.5" customHeight="1">
      <c r="D118" s="953"/>
      <c r="E118" s="537"/>
      <c r="F118" s="537"/>
      <c r="G118" s="988"/>
      <c r="H118" s="989" t="s">
        <v>1455</v>
      </c>
      <c r="I118" s="989"/>
      <c r="J118" s="989"/>
      <c r="K118" s="989"/>
      <c r="L118" s="989"/>
      <c r="M118" s="989"/>
      <c r="N118" s="989"/>
      <c r="O118" s="990"/>
    </row>
    <row r="119" spans="4:15" ht="13.5" customHeight="1">
      <c r="D119" s="953"/>
      <c r="E119" s="537"/>
      <c r="F119" s="537"/>
      <c r="G119" s="988"/>
      <c r="H119" s="989" t="s">
        <v>1456</v>
      </c>
      <c r="I119" s="989"/>
      <c r="J119" s="989"/>
      <c r="K119" s="989"/>
      <c r="L119" s="989" t="s">
        <v>1457</v>
      </c>
      <c r="M119" s="989"/>
      <c r="N119" s="989"/>
      <c r="O119" s="990"/>
    </row>
    <row r="120" spans="4:15" ht="13.5" customHeight="1">
      <c r="D120" s="953"/>
      <c r="E120" s="537"/>
      <c r="F120" s="537"/>
      <c r="G120" s="988"/>
      <c r="H120" s="989" t="s">
        <v>111</v>
      </c>
      <c r="I120" s="989"/>
      <c r="J120" s="989"/>
      <c r="K120" s="989"/>
      <c r="L120" s="989" t="s">
        <v>2921</v>
      </c>
      <c r="M120" s="989"/>
      <c r="N120" s="989"/>
      <c r="O120" s="990"/>
    </row>
    <row r="121" spans="4:15" ht="13.5" customHeight="1">
      <c r="D121" s="953"/>
      <c r="E121" s="537"/>
      <c r="F121" s="537"/>
      <c r="G121" s="999"/>
      <c r="H121" s="1000" t="s">
        <v>1458</v>
      </c>
      <c r="I121" s="1000"/>
      <c r="J121" s="1000"/>
      <c r="K121" s="1000"/>
      <c r="L121" s="1000"/>
      <c r="M121" s="1000"/>
      <c r="N121" s="1000"/>
      <c r="O121" s="1001"/>
    </row>
    <row r="122" spans="4:15" ht="13.5" customHeight="1">
      <c r="D122" s="953"/>
      <c r="E122" s="537"/>
      <c r="F122" s="537"/>
      <c r="G122" s="1092" t="s">
        <v>1459</v>
      </c>
      <c r="H122" s="1093"/>
      <c r="I122" s="1093"/>
      <c r="J122" s="1093"/>
      <c r="K122" s="1093"/>
      <c r="L122" s="1093"/>
      <c r="M122" s="1093"/>
      <c r="N122" s="1093"/>
      <c r="O122" s="1451"/>
    </row>
    <row r="123" spans="4:15" ht="13.5" customHeight="1">
      <c r="D123" s="953"/>
      <c r="E123" s="537"/>
      <c r="F123" s="537"/>
      <c r="G123" s="988"/>
      <c r="H123" s="989" t="s">
        <v>1460</v>
      </c>
      <c r="I123" s="989"/>
      <c r="J123" s="989"/>
      <c r="K123" s="989"/>
      <c r="L123" s="989" t="s">
        <v>1461</v>
      </c>
      <c r="M123" s="989"/>
      <c r="N123" s="989"/>
      <c r="O123" s="990"/>
    </row>
    <row r="124" spans="4:15" ht="13.5" customHeight="1">
      <c r="D124" s="953"/>
      <c r="E124" s="537"/>
      <c r="F124" s="537"/>
      <c r="G124" s="988"/>
      <c r="H124" s="989" t="s">
        <v>1462</v>
      </c>
      <c r="I124" s="989"/>
      <c r="J124" s="989"/>
      <c r="K124" s="989"/>
      <c r="L124" s="989" t="s">
        <v>1463</v>
      </c>
      <c r="M124" s="989"/>
      <c r="N124" s="989"/>
      <c r="O124" s="990"/>
    </row>
    <row r="125" spans="4:15" ht="13.5" customHeight="1">
      <c r="D125" s="953"/>
      <c r="E125" s="537"/>
      <c r="F125" s="537"/>
      <c r="G125" s="988"/>
      <c r="H125" s="989" t="s">
        <v>1464</v>
      </c>
      <c r="I125" s="989"/>
      <c r="J125" s="989"/>
      <c r="K125" s="989"/>
      <c r="L125" s="989" t="s">
        <v>1465</v>
      </c>
      <c r="M125" s="989"/>
      <c r="N125" s="989"/>
      <c r="O125" s="990"/>
    </row>
    <row r="126" spans="4:15" ht="13.5" customHeight="1">
      <c r="D126" s="953"/>
      <c r="E126" s="537"/>
      <c r="F126" s="537"/>
      <c r="G126" s="988"/>
      <c r="H126" s="989" t="s">
        <v>1466</v>
      </c>
      <c r="I126" s="989"/>
      <c r="J126" s="989"/>
      <c r="K126" s="989"/>
      <c r="L126" s="989" t="s">
        <v>1467</v>
      </c>
      <c r="M126" s="989"/>
      <c r="N126" s="989"/>
      <c r="O126" s="990"/>
    </row>
    <row r="127" spans="4:15" ht="13.5" customHeight="1">
      <c r="D127" s="953"/>
      <c r="E127" s="537"/>
      <c r="F127" s="537"/>
      <c r="G127" s="988"/>
      <c r="H127" s="989" t="s">
        <v>1468</v>
      </c>
      <c r="I127" s="989"/>
      <c r="J127" s="989"/>
      <c r="K127" s="989"/>
      <c r="L127" s="989" t="s">
        <v>1469</v>
      </c>
      <c r="M127" s="989"/>
      <c r="N127" s="989"/>
      <c r="O127" s="990"/>
    </row>
    <row r="128" spans="4:15" ht="13.5" customHeight="1">
      <c r="D128" s="953"/>
      <c r="E128" s="537"/>
      <c r="F128" s="537"/>
      <c r="G128" s="1133"/>
      <c r="H128" s="1134" t="s">
        <v>112</v>
      </c>
      <c r="I128" s="1134"/>
      <c r="J128" s="1134"/>
      <c r="K128" s="1134"/>
      <c r="L128" s="989" t="s">
        <v>113</v>
      </c>
      <c r="M128" s="1134"/>
      <c r="N128" s="1134"/>
      <c r="O128" s="1135"/>
    </row>
    <row r="129" spans="2:15" ht="13.5" customHeight="1">
      <c r="D129" s="953"/>
      <c r="E129" s="537"/>
      <c r="F129" s="537"/>
      <c r="G129" s="999"/>
      <c r="H129" s="1000"/>
      <c r="I129" s="1000"/>
      <c r="J129" s="1000"/>
      <c r="K129" s="1000"/>
      <c r="L129" s="1000" t="s">
        <v>1470</v>
      </c>
      <c r="M129" s="1000"/>
      <c r="N129" s="1000"/>
      <c r="O129" s="1001"/>
    </row>
    <row r="130" spans="2:15" ht="13.5" customHeight="1">
      <c r="D130" s="953"/>
      <c r="E130" s="537"/>
      <c r="F130" s="537"/>
      <c r="G130" s="1092" t="s">
        <v>1471</v>
      </c>
      <c r="H130" s="1093"/>
      <c r="I130" s="1093"/>
      <c r="J130" s="1093"/>
      <c r="K130" s="1093"/>
      <c r="L130" s="1093"/>
      <c r="M130" s="1093"/>
      <c r="N130" s="1093"/>
      <c r="O130" s="1451"/>
    </row>
    <row r="131" spans="2:15" ht="13.5" customHeight="1">
      <c r="D131" s="953"/>
      <c r="E131" s="537"/>
      <c r="F131" s="537"/>
      <c r="G131" s="988"/>
      <c r="H131" s="989" t="s">
        <v>1472</v>
      </c>
      <c r="I131" s="989"/>
      <c r="J131" s="989"/>
      <c r="K131" s="989"/>
      <c r="L131" s="989" t="s">
        <v>1473</v>
      </c>
      <c r="M131" s="989"/>
      <c r="N131" s="989"/>
      <c r="O131" s="990"/>
    </row>
    <row r="132" spans="2:15" ht="13.5" customHeight="1">
      <c r="D132" s="953"/>
      <c r="E132" s="537"/>
      <c r="F132" s="537"/>
      <c r="G132" s="988"/>
      <c r="H132" s="989" t="s">
        <v>1474</v>
      </c>
      <c r="I132" s="989"/>
      <c r="J132" s="989"/>
      <c r="K132" s="989"/>
      <c r="L132" s="989" t="s">
        <v>1475</v>
      </c>
      <c r="M132" s="989"/>
      <c r="N132" s="989"/>
      <c r="O132" s="990"/>
    </row>
    <row r="133" spans="2:15" ht="13.5" customHeight="1">
      <c r="D133" s="953"/>
      <c r="E133" s="537"/>
      <c r="F133" s="537"/>
      <c r="G133" s="999"/>
      <c r="H133" s="1000" t="s">
        <v>1476</v>
      </c>
      <c r="I133" s="1000"/>
      <c r="J133" s="1000"/>
      <c r="K133" s="1000"/>
      <c r="L133" s="1000"/>
      <c r="M133" s="1000"/>
      <c r="N133" s="1000"/>
      <c r="O133" s="1001"/>
    </row>
    <row r="134" spans="2:15" ht="13.5" customHeight="1">
      <c r="D134" s="953"/>
      <c r="E134" s="537"/>
      <c r="F134" s="537"/>
      <c r="G134" s="1092" t="s">
        <v>1477</v>
      </c>
      <c r="H134" s="1093"/>
      <c r="I134" s="1093"/>
      <c r="J134" s="1093"/>
      <c r="K134" s="1093"/>
      <c r="L134" s="1093"/>
      <c r="M134" s="1093"/>
      <c r="N134" s="1093"/>
      <c r="O134" s="1451"/>
    </row>
    <row r="135" spans="2:15" ht="13.5" customHeight="1">
      <c r="D135" s="953"/>
      <c r="E135" s="537"/>
      <c r="F135" s="537"/>
      <c r="G135" s="988"/>
      <c r="H135" s="989" t="s">
        <v>1478</v>
      </c>
      <c r="I135" s="989"/>
      <c r="J135" s="989"/>
      <c r="K135" s="989"/>
      <c r="L135" s="989" t="s">
        <v>1479</v>
      </c>
      <c r="M135" s="989"/>
      <c r="N135" s="989"/>
      <c r="O135" s="990"/>
    </row>
    <row r="136" spans="2:15" ht="13.5" customHeight="1">
      <c r="D136" s="953"/>
      <c r="E136" s="537"/>
      <c r="F136" s="537"/>
      <c r="G136" s="999"/>
      <c r="H136" s="1000" t="s">
        <v>1480</v>
      </c>
      <c r="I136" s="1000"/>
      <c r="J136" s="1000"/>
      <c r="K136" s="1000"/>
      <c r="L136" s="1000"/>
      <c r="M136" s="1000"/>
      <c r="N136" s="1000"/>
      <c r="O136" s="1001"/>
    </row>
    <row r="137" spans="2:15" ht="13.5" customHeight="1">
      <c r="D137" s="953"/>
      <c r="E137" s="537"/>
      <c r="F137" s="537"/>
      <c r="G137" s="950" t="s">
        <v>6</v>
      </c>
      <c r="H137" s="136"/>
      <c r="I137" s="136"/>
      <c r="J137" s="136"/>
      <c r="K137" s="136"/>
      <c r="L137" s="136"/>
      <c r="M137" s="136"/>
      <c r="N137" s="136"/>
      <c r="O137" s="136"/>
    </row>
    <row r="138" spans="2:15" ht="13.5" customHeight="1">
      <c r="D138" s="953"/>
      <c r="E138" s="537"/>
      <c r="F138" s="537"/>
      <c r="G138" s="950" t="s">
        <v>114</v>
      </c>
      <c r="H138" s="136"/>
      <c r="I138" s="136"/>
      <c r="J138" s="136"/>
      <c r="K138" s="136"/>
      <c r="L138" s="136"/>
      <c r="M138" s="136"/>
      <c r="N138" s="136"/>
      <c r="O138" s="136"/>
    </row>
    <row r="139" spans="2:15" ht="13.5" customHeight="1">
      <c r="D139" s="953"/>
      <c r="E139" s="537"/>
      <c r="F139" s="537"/>
      <c r="G139" s="950" t="s">
        <v>98</v>
      </c>
      <c r="H139" s="136"/>
      <c r="I139" s="136"/>
      <c r="J139" s="136"/>
      <c r="K139" s="136"/>
      <c r="L139" s="136"/>
      <c r="M139" s="136"/>
      <c r="N139" s="136"/>
      <c r="O139" s="136"/>
    </row>
    <row r="140" spans="2:15" ht="14.25" customHeight="1">
      <c r="D140" s="953"/>
      <c r="E140" s="1097"/>
      <c r="L140" s="2000"/>
    </row>
    <row r="141" spans="2:15" ht="23.25" customHeight="1">
      <c r="D141" s="949">
        <v>2.5</v>
      </c>
      <c r="E141" s="958" t="s">
        <v>1481</v>
      </c>
      <c r="F141" s="958"/>
      <c r="G141" s="1452"/>
      <c r="H141" s="1245"/>
      <c r="I141" s="1245"/>
      <c r="J141" s="1245"/>
      <c r="K141" s="1245"/>
      <c r="L141" s="1453"/>
      <c r="M141" s="1453"/>
      <c r="N141" s="1453"/>
      <c r="O141" s="1453"/>
    </row>
    <row r="142" spans="2:15" ht="14.25" customHeight="1" thickBot="1">
      <c r="D142" s="1152"/>
      <c r="E142" s="1152"/>
      <c r="F142" s="1102"/>
      <c r="G142" s="966"/>
      <c r="H142" s="967"/>
      <c r="I142" s="968" t="s">
        <v>1358</v>
      </c>
      <c r="J142" s="969">
        <f>重み!M151</f>
        <v>0.1</v>
      </c>
      <c r="K142" s="1103"/>
      <c r="L142" s="1103"/>
      <c r="M142" s="1103"/>
      <c r="N142" s="1103"/>
      <c r="O142" s="978"/>
    </row>
    <row r="143" spans="2:15" ht="16.5" thickBot="1">
      <c r="B143" s="1228" t="s">
        <v>563</v>
      </c>
      <c r="D143" s="953"/>
      <c r="E143" s="950"/>
      <c r="F143" s="972">
        <v>3</v>
      </c>
      <c r="G143" s="1084" t="s">
        <v>501</v>
      </c>
      <c r="H143" s="977"/>
      <c r="I143" s="977"/>
      <c r="J143" s="977"/>
      <c r="K143" s="977"/>
      <c r="L143" s="1277"/>
      <c r="M143" s="977"/>
      <c r="N143" s="1084" t="s">
        <v>1316</v>
      </c>
      <c r="O143" s="978"/>
    </row>
    <row r="144" spans="2:15" ht="18" customHeight="1">
      <c r="B144" s="1" t="s">
        <v>2845</v>
      </c>
      <c r="C144" s="1">
        <v>1</v>
      </c>
      <c r="D144" s="953"/>
      <c r="E144" s="950"/>
      <c r="F144" s="979" t="str">
        <f>IF(F143=$S$16,$T$10,IF(ROUNDDOWN(F143,0)=$S$10,$U$10,$T$10))</f>
        <v>　レベル　1</v>
      </c>
      <c r="G144" s="981" t="s">
        <v>2168</v>
      </c>
      <c r="H144" s="982"/>
      <c r="I144" s="982"/>
      <c r="J144" s="982"/>
      <c r="K144" s="982"/>
      <c r="L144" s="1278"/>
      <c r="M144" s="982"/>
      <c r="N144" s="2769" t="s">
        <v>1993</v>
      </c>
      <c r="O144" s="2991"/>
    </row>
    <row r="145" spans="2:15" ht="18" customHeight="1">
      <c r="B145" s="1">
        <v>2</v>
      </c>
      <c r="C145" s="1">
        <v>2</v>
      </c>
      <c r="D145" s="953"/>
      <c r="E145" s="950"/>
      <c r="F145" s="984" t="str">
        <f>IF(F143=$S$16,$T$11,IF(ROUNDDOWN(F143,0)=$S$11,$U$11,$T$11))</f>
        <v>　レベル　2</v>
      </c>
      <c r="G145" s="988" t="s">
        <v>1994</v>
      </c>
      <c r="H145" s="989"/>
      <c r="I145" s="989"/>
      <c r="J145" s="989"/>
      <c r="K145" s="989"/>
      <c r="L145" s="1279"/>
      <c r="M145" s="989"/>
      <c r="N145" s="2992"/>
      <c r="O145" s="2993"/>
    </row>
    <row r="146" spans="2:15" ht="29.25" customHeight="1">
      <c r="B146" s="1">
        <v>3</v>
      </c>
      <c r="C146" s="1">
        <v>3</v>
      </c>
      <c r="D146" s="953"/>
      <c r="E146" s="950"/>
      <c r="F146" s="984" t="str">
        <f>IF(F143=$S$16,$T$12,IF(ROUNDDOWN(F143,0)=$S$12,$U$12,$T$12))</f>
        <v>■レベル　3</v>
      </c>
      <c r="G146" s="2727" t="s">
        <v>3275</v>
      </c>
      <c r="H146" s="2728"/>
      <c r="I146" s="2728"/>
      <c r="J146" s="2728"/>
      <c r="K146" s="2728"/>
      <c r="L146" s="2728"/>
      <c r="M146" s="2729"/>
      <c r="N146" s="2992"/>
      <c r="O146" s="2993"/>
    </row>
    <row r="147" spans="2:15" ht="18" customHeight="1">
      <c r="B147" s="1">
        <v>4</v>
      </c>
      <c r="C147" s="1">
        <v>4</v>
      </c>
      <c r="D147" s="953"/>
      <c r="E147" s="950"/>
      <c r="F147" s="984" t="str">
        <f>IF(F143=$S$16,$T$13,IF(ROUNDDOWN(F143,0)=$S$13,$U$13,$T$13))</f>
        <v>　レベル　4</v>
      </c>
      <c r="G147" s="988" t="s">
        <v>3276</v>
      </c>
      <c r="H147" s="989"/>
      <c r="I147" s="989"/>
      <c r="J147" s="989"/>
      <c r="K147" s="989"/>
      <c r="L147" s="1279"/>
      <c r="M147" s="989"/>
      <c r="N147" s="2992"/>
      <c r="O147" s="2993"/>
    </row>
    <row r="148" spans="2:15" ht="18" customHeight="1">
      <c r="B148" s="1">
        <v>5</v>
      </c>
      <c r="C148" s="1">
        <v>5</v>
      </c>
      <c r="D148" s="953"/>
      <c r="E148" s="950"/>
      <c r="F148" s="995" t="str">
        <f>IF(F143=$S$16,$T$14,IF(ROUNDDOWN(F143,0)=$S$14,$U$14,$T$14))</f>
        <v>　レベル　5</v>
      </c>
      <c r="G148" s="999" t="s">
        <v>3277</v>
      </c>
      <c r="H148" s="1000"/>
      <c r="I148" s="1000"/>
      <c r="J148" s="1000"/>
      <c r="K148" s="1000"/>
      <c r="L148" s="1280"/>
      <c r="M148" s="1000"/>
      <c r="N148" s="2994"/>
      <c r="O148" s="2995"/>
    </row>
    <row r="149" spans="2:15" ht="14.25" customHeight="1">
      <c r="B149" s="1002">
        <v>0</v>
      </c>
      <c r="C149" s="1002">
        <v>0</v>
      </c>
      <c r="D149" s="953"/>
      <c r="E149" s="1097"/>
      <c r="F149" s="1245"/>
      <c r="G149" s="1245"/>
      <c r="H149" s="1245"/>
      <c r="I149" s="1245"/>
      <c r="J149" s="1245"/>
      <c r="K149" s="1245"/>
      <c r="L149" s="1453"/>
      <c r="M149" s="1453"/>
      <c r="N149" s="1453"/>
      <c r="O149" s="1453"/>
    </row>
    <row r="150" spans="2:15" ht="14.25" customHeight="1">
      <c r="D150" s="949">
        <v>2.6</v>
      </c>
      <c r="E150" s="958" t="s">
        <v>1482</v>
      </c>
      <c r="F150" s="958"/>
      <c r="G150" s="1245"/>
      <c r="H150" s="1245"/>
      <c r="I150" s="1245"/>
      <c r="J150" s="1245"/>
      <c r="K150" s="1245"/>
      <c r="L150" s="1453"/>
      <c r="M150" s="1453"/>
      <c r="N150" s="1453"/>
      <c r="O150" s="1453"/>
    </row>
    <row r="151" spans="2:15" ht="15" thickBot="1">
      <c r="D151" s="1152"/>
      <c r="E151" s="1152"/>
      <c r="F151" s="1102"/>
      <c r="G151" s="966"/>
      <c r="H151" s="967"/>
      <c r="I151" s="968" t="s">
        <v>1358</v>
      </c>
      <c r="J151" s="969">
        <f>重み!M152</f>
        <v>0.2</v>
      </c>
      <c r="K151" s="1103"/>
      <c r="L151" s="1103"/>
      <c r="M151" s="1103"/>
      <c r="N151" s="1103"/>
      <c r="O151" s="978"/>
    </row>
    <row r="152" spans="2:15" ht="16.5" thickBot="1">
      <c r="D152" s="953"/>
      <c r="E152" s="950"/>
      <c r="F152" s="1042">
        <f>IF(J151=0,0,G160)</f>
        <v>3</v>
      </c>
      <c r="G152" s="976" t="s">
        <v>501</v>
      </c>
      <c r="H152" s="977"/>
      <c r="I152" s="977"/>
      <c r="J152" s="977"/>
      <c r="K152" s="977"/>
      <c r="L152" s="1277"/>
      <c r="M152" s="977"/>
      <c r="N152" s="977"/>
      <c r="O152" s="978"/>
    </row>
    <row r="153" spans="2:15" ht="19.5" customHeight="1">
      <c r="D153" s="953"/>
      <c r="E153" s="950"/>
      <c r="F153" s="979" t="str">
        <f>IF(F152=$S$16,$T$10,IF(ROUNDDOWN(F152,0)=$S$10,$U$10,$T$10))</f>
        <v>　レベル　1</v>
      </c>
      <c r="G153" s="981" t="s">
        <v>2168</v>
      </c>
      <c r="H153" s="982"/>
      <c r="I153" s="982"/>
      <c r="J153" s="982"/>
      <c r="K153" s="982"/>
      <c r="L153" s="1278"/>
      <c r="M153" s="982"/>
      <c r="N153" s="982"/>
      <c r="O153" s="983"/>
    </row>
    <row r="154" spans="2:15" ht="19.5" customHeight="1">
      <c r="D154" s="953"/>
      <c r="E154" s="950"/>
      <c r="F154" s="984" t="str">
        <f>IF(F152=$S$16,$T$11,IF(ROUNDDOWN(F152,0)=$S$11,$U$11,$T$11))</f>
        <v>　レベル　2</v>
      </c>
      <c r="G154" s="988" t="s">
        <v>2168</v>
      </c>
      <c r="H154" s="989"/>
      <c r="I154" s="989"/>
      <c r="J154" s="989"/>
      <c r="K154" s="989"/>
      <c r="L154" s="1279"/>
      <c r="M154" s="989"/>
      <c r="N154" s="989"/>
      <c r="O154" s="990"/>
    </row>
    <row r="155" spans="2:15" ht="19.5" customHeight="1">
      <c r="D155" s="953"/>
      <c r="E155" s="950"/>
      <c r="F155" s="984" t="str">
        <f>IF(F152=$S$16,$T$12,IF(ROUNDDOWN(F152,0)=$S$12,$U$12,$T$12))</f>
        <v>■レベル　3</v>
      </c>
      <c r="G155" s="988" t="s">
        <v>1483</v>
      </c>
      <c r="H155" s="989"/>
      <c r="I155" s="989"/>
      <c r="J155" s="989"/>
      <c r="K155" s="989"/>
      <c r="L155" s="1279"/>
      <c r="M155" s="989"/>
      <c r="N155" s="989"/>
      <c r="O155" s="990"/>
    </row>
    <row r="156" spans="2:15" ht="19.5" customHeight="1">
      <c r="D156" s="953"/>
      <c r="E156" s="950"/>
      <c r="F156" s="984" t="str">
        <f>IF(F152=$S$16,$T$13,IF(ROUNDDOWN(F152,0)=$S$13,$U$13,$T$13))</f>
        <v>　レベル　4</v>
      </c>
      <c r="G156" s="988" t="s">
        <v>1484</v>
      </c>
      <c r="H156" s="989"/>
      <c r="I156" s="989"/>
      <c r="J156" s="989"/>
      <c r="K156" s="989"/>
      <c r="L156" s="1279"/>
      <c r="M156" s="989"/>
      <c r="N156" s="989"/>
      <c r="O156" s="990"/>
    </row>
    <row r="157" spans="2:15" ht="19.5" customHeight="1">
      <c r="D157" s="953"/>
      <c r="E157" s="950"/>
      <c r="F157" s="995" t="str">
        <f>IF(F152=$S$16,$T$14,IF(ROUNDDOWN(F152,0)=$S$14,$U$14,$T$14))</f>
        <v>　レベル　5</v>
      </c>
      <c r="G157" s="999" t="s">
        <v>1485</v>
      </c>
      <c r="H157" s="1000"/>
      <c r="I157" s="1000"/>
      <c r="J157" s="1000"/>
      <c r="K157" s="1000"/>
      <c r="L157" s="1280"/>
      <c r="M157" s="1000"/>
      <c r="N157" s="1000"/>
      <c r="O157" s="1001"/>
    </row>
    <row r="158" spans="2:15" ht="17.25" customHeight="1" thickBot="1">
      <c r="D158" s="953"/>
      <c r="E158" s="1097"/>
      <c r="F158" s="1245"/>
      <c r="G158" s="1303" t="s">
        <v>418</v>
      </c>
      <c r="H158" s="155"/>
      <c r="I158" s="155"/>
      <c r="M158" s="155"/>
      <c r="N158" s="959"/>
      <c r="O158" s="959"/>
    </row>
    <row r="159" spans="2:15" ht="17.25" customHeight="1" thickBot="1">
      <c r="D159" s="953"/>
      <c r="E159" s="1097"/>
      <c r="F159" s="1245"/>
      <c r="G159" s="972">
        <v>3</v>
      </c>
      <c r="H159" s="1176" t="s">
        <v>2670</v>
      </c>
      <c r="I159" s="1177"/>
      <c r="J159" s="1454" t="s">
        <v>479</v>
      </c>
      <c r="K159" s="1455">
        <f>COUNTIF(G161:G164,"○")</f>
        <v>0</v>
      </c>
      <c r="L159" s="1296" t="s">
        <v>2151</v>
      </c>
      <c r="M159" s="155"/>
      <c r="N159" s="959"/>
      <c r="O159" s="959"/>
    </row>
    <row r="160" spans="2:15" ht="15" customHeight="1" thickBot="1">
      <c r="B160" s="1" t="s">
        <v>3377</v>
      </c>
      <c r="C160" s="1">
        <v>1</v>
      </c>
      <c r="D160" s="953"/>
      <c r="E160" s="1097"/>
      <c r="F160" s="1245"/>
      <c r="G160" s="1301">
        <f>IF(I159=S4,G159,IF(COUNTIF(G161:G164,"○")&lt;1,3,IF(COUNTIF(G161:G164,"○")=1,4,IF(COUNTIF(G161:G164,"○")&gt;=2,5))))</f>
        <v>3</v>
      </c>
      <c r="H160" s="1351" t="s">
        <v>1729</v>
      </c>
      <c r="I160" s="2516"/>
      <c r="J160" s="2002"/>
      <c r="K160" s="2003"/>
      <c r="L160" s="2004"/>
      <c r="M160" s="2002"/>
      <c r="N160" s="2002"/>
      <c r="O160" s="1456"/>
    </row>
    <row r="161" spans="2:16384" ht="15.75">
      <c r="B161" s="1" t="s">
        <v>3377</v>
      </c>
      <c r="C161" s="1">
        <v>2</v>
      </c>
      <c r="D161" s="953"/>
      <c r="E161" s="1097"/>
      <c r="F161" s="1245"/>
      <c r="G161" s="1260" t="s">
        <v>2672</v>
      </c>
      <c r="H161" s="1275" t="s">
        <v>1486</v>
      </c>
      <c r="I161" s="2002"/>
      <c r="J161" s="2002"/>
      <c r="K161" s="2002"/>
      <c r="L161" s="2004"/>
      <c r="M161" s="2002"/>
      <c r="N161" s="2002"/>
      <c r="O161" s="2005"/>
    </row>
    <row r="162" spans="2:16384" ht="15.75">
      <c r="B162" s="1">
        <v>3</v>
      </c>
      <c r="C162" s="1">
        <v>3</v>
      </c>
      <c r="D162" s="953"/>
      <c r="E162" s="1097"/>
      <c r="F162" s="1245"/>
      <c r="G162" s="1263" t="s">
        <v>2672</v>
      </c>
      <c r="H162" s="1225" t="s">
        <v>205</v>
      </c>
      <c r="I162" s="2006"/>
      <c r="J162" s="2006"/>
      <c r="K162" s="2006"/>
      <c r="L162" s="2007"/>
      <c r="M162" s="2006"/>
      <c r="N162" s="2006"/>
      <c r="O162" s="2008"/>
    </row>
    <row r="163" spans="2:16384" ht="15.75">
      <c r="B163" s="1">
        <v>4</v>
      </c>
      <c r="C163" s="1">
        <v>4</v>
      </c>
      <c r="D163" s="953"/>
      <c r="E163" s="1097"/>
      <c r="F163" s="1245"/>
      <c r="G163" s="2070"/>
      <c r="H163" s="2077" t="s">
        <v>63</v>
      </c>
      <c r="I163" s="2078"/>
      <c r="J163" s="2078"/>
      <c r="K163" s="2078"/>
      <c r="L163" s="2079"/>
      <c r="M163" s="2078"/>
      <c r="N163" s="2078"/>
      <c r="O163" s="2080"/>
    </row>
    <row r="164" spans="2:16384" ht="16.5" thickBot="1">
      <c r="B164" s="1">
        <v>5</v>
      </c>
      <c r="C164" s="1">
        <v>5</v>
      </c>
      <c r="D164" s="953"/>
      <c r="E164" s="1097"/>
      <c r="F164" s="1245"/>
      <c r="G164" s="1363" t="s">
        <v>2672</v>
      </c>
      <c r="H164" s="1194" t="s">
        <v>64</v>
      </c>
      <c r="I164" s="2009"/>
      <c r="J164" s="2009"/>
      <c r="K164" s="2009"/>
      <c r="L164" s="2010"/>
      <c r="M164" s="2009"/>
      <c r="N164" s="2009"/>
      <c r="O164" s="2011"/>
    </row>
    <row r="165" spans="2:16384" ht="15.75">
      <c r="B165" s="1002">
        <v>0</v>
      </c>
      <c r="C165" s="1002">
        <v>0</v>
      </c>
      <c r="D165" s="953"/>
      <c r="E165" s="953"/>
      <c r="F165" s="953"/>
      <c r="G165" s="953"/>
      <c r="H165" s="953"/>
      <c r="I165" s="953"/>
      <c r="J165" s="953"/>
      <c r="K165" s="953"/>
      <c r="L165" s="1447"/>
      <c r="M165" s="953"/>
      <c r="N165" s="953"/>
      <c r="O165" s="953"/>
    </row>
    <row r="166" spans="2:16384" ht="15.75">
      <c r="D166" s="953">
        <v>3</v>
      </c>
      <c r="E166" s="960" t="s">
        <v>1283</v>
      </c>
      <c r="F166" s="953"/>
      <c r="G166" s="953"/>
      <c r="H166" s="953"/>
      <c r="I166" s="953"/>
      <c r="J166" s="953"/>
      <c r="K166" s="953"/>
      <c r="L166" s="1447"/>
      <c r="M166" s="953"/>
      <c r="N166" s="953"/>
      <c r="O166" s="953"/>
    </row>
    <row r="167" spans="2:16384" ht="15.75">
      <c r="D167" s="949">
        <v>3.1</v>
      </c>
      <c r="E167" s="958" t="s">
        <v>1284</v>
      </c>
      <c r="F167" s="958"/>
      <c r="G167" s="953"/>
      <c r="H167" s="953"/>
      <c r="I167" s="953"/>
      <c r="J167" s="953"/>
      <c r="K167" s="953"/>
      <c r="L167" s="1447"/>
      <c r="M167" s="953"/>
      <c r="N167" s="953"/>
      <c r="O167" s="953"/>
    </row>
    <row r="168" spans="2:16384" ht="13.5" customHeight="1" thickBot="1">
      <c r="D168" s="1152"/>
      <c r="E168" s="1152"/>
      <c r="F168" s="1102"/>
      <c r="G168" s="966"/>
      <c r="H168" s="967"/>
      <c r="I168" s="968" t="s">
        <v>1358</v>
      </c>
      <c r="J168" s="969">
        <f>重み!M154</f>
        <v>0.3</v>
      </c>
      <c r="K168" s="1103"/>
      <c r="L168" s="1103"/>
      <c r="M168" s="1103"/>
      <c r="N168" s="1103"/>
      <c r="O168" s="978"/>
    </row>
    <row r="169" spans="2:16384" ht="27.75" customHeight="1" thickBot="1">
      <c r="D169" s="953"/>
      <c r="E169" s="950"/>
      <c r="F169" s="1301">
        <f>IF(I175=S4,G175,IF(K176=0,3,IF(K176=1,4,IF(K176=2,4,IF(K176=3,4,IF(K176&gt;=4,5))))))</f>
        <v>3</v>
      </c>
      <c r="G169" s="976" t="s">
        <v>501</v>
      </c>
      <c r="H169" s="977"/>
      <c r="I169" s="977"/>
      <c r="J169" s="977"/>
      <c r="K169" s="977"/>
      <c r="L169" s="1277"/>
      <c r="M169" s="977"/>
      <c r="N169" s="977"/>
      <c r="O169" s="978"/>
    </row>
    <row r="170" spans="2:16384" ht="19.5" customHeight="1">
      <c r="D170" s="953"/>
      <c r="E170" s="950"/>
      <c r="F170" s="979" t="str">
        <f>IF(F169=$S$16,$T$10,IF(ROUNDDOWN(F169,0)=$S$10,$U$10,$T$10))</f>
        <v>　レベル　1</v>
      </c>
      <c r="G170" s="981" t="s">
        <v>2168</v>
      </c>
      <c r="H170" s="982"/>
      <c r="I170" s="982"/>
      <c r="J170" s="982"/>
      <c r="K170" s="982"/>
      <c r="L170" s="1278"/>
      <c r="M170" s="982"/>
      <c r="N170" s="982"/>
      <c r="O170" s="983"/>
    </row>
    <row r="171" spans="2:16384" ht="19.5" customHeight="1">
      <c r="D171" s="953"/>
      <c r="E171" s="950"/>
      <c r="F171" s="984" t="str">
        <f>IF(F169=$S$16,$T$11,IF(ROUNDDOWN(F169,0)=$S$11,$U$11,$T$11))</f>
        <v>　レベル　2</v>
      </c>
      <c r="G171" s="988" t="s">
        <v>2168</v>
      </c>
      <c r="H171" s="989"/>
      <c r="I171" s="989"/>
      <c r="J171" s="989"/>
      <c r="K171" s="989"/>
      <c r="L171" s="1279"/>
      <c r="M171" s="989"/>
      <c r="N171" s="989"/>
      <c r="O171" s="990"/>
    </row>
    <row r="172" spans="2:16384" ht="19.5" customHeight="1">
      <c r="D172" s="953"/>
      <c r="E172" s="950"/>
      <c r="F172" s="984" t="str">
        <f>IF(F169=$S$16,$T$12,IF(ROUNDDOWN(F169,0)=$S$12,$U$12,$T$12))</f>
        <v>■レベル　3</v>
      </c>
      <c r="G172" s="988" t="s">
        <v>206</v>
      </c>
      <c r="H172" s="989"/>
      <c r="I172" s="989"/>
      <c r="J172" s="989"/>
      <c r="K172" s="989"/>
      <c r="L172" s="1279"/>
      <c r="M172" s="989"/>
      <c r="N172" s="989"/>
      <c r="O172" s="990"/>
    </row>
    <row r="173" spans="2:16384" ht="19.5" customHeight="1">
      <c r="D173" s="953"/>
      <c r="E173" s="950"/>
      <c r="F173" s="984" t="str">
        <f>IF(F169=$S$16,$T$13,IF(ROUNDDOWN(F169,0)=$S$13,$U$13,$T$13))</f>
        <v>　レベル　4</v>
      </c>
      <c r="G173" s="988" t="s">
        <v>207</v>
      </c>
      <c r="H173" s="989"/>
      <c r="I173" s="989"/>
      <c r="J173" s="989"/>
      <c r="K173" s="989"/>
      <c r="L173" s="1279"/>
      <c r="M173" s="989"/>
      <c r="N173" s="989"/>
      <c r="O173" s="990"/>
    </row>
    <row r="174" spans="2:16384" ht="19.5" customHeight="1" thickBot="1">
      <c r="D174" s="953"/>
      <c r="E174" s="950"/>
      <c r="F174" s="995" t="str">
        <f>IF(F169=$S$16,$T$14,IF(ROUNDDOWN(F169,0)=$S$14,$U$14,$T$14))</f>
        <v>　レベル　5</v>
      </c>
      <c r="G174" s="999" t="s">
        <v>208</v>
      </c>
      <c r="H174" s="1000"/>
      <c r="I174" s="1000"/>
      <c r="J174" s="1000"/>
      <c r="K174" s="1000"/>
      <c r="L174" s="1280"/>
      <c r="M174" s="1000"/>
      <c r="N174" s="1000"/>
      <c r="O174" s="1001"/>
    </row>
    <row r="175" spans="2:16384" ht="19.5" customHeight="1" thickBot="1">
      <c r="D175" s="953"/>
      <c r="E175" s="953"/>
      <c r="F175" s="953"/>
      <c r="G175" s="972">
        <v>3</v>
      </c>
      <c r="H175" s="1176" t="s">
        <v>2670</v>
      </c>
      <c r="I175" s="1177"/>
      <c r="J175" s="953"/>
      <c r="K175" s="953"/>
      <c r="L175" s="953"/>
      <c r="M175" s="953"/>
      <c r="N175" s="953"/>
      <c r="O175" s="953"/>
      <c r="P175" s="953"/>
      <c r="Q175" s="953"/>
      <c r="R175" s="953"/>
      <c r="S175" s="953"/>
      <c r="T175" s="953"/>
      <c r="U175" s="953"/>
      <c r="V175" s="953"/>
      <c r="W175" s="953"/>
      <c r="X175" s="953"/>
      <c r="Y175" s="953"/>
      <c r="Z175" s="953"/>
      <c r="AA175" s="953"/>
      <c r="AB175" s="953"/>
      <c r="AC175" s="953"/>
      <c r="AD175" s="953"/>
      <c r="AE175" s="953"/>
      <c r="AF175" s="953"/>
      <c r="AG175" s="953"/>
      <c r="AH175" s="953"/>
      <c r="AI175" s="953"/>
      <c r="AJ175" s="953"/>
      <c r="AK175" s="953"/>
      <c r="AL175" s="953"/>
      <c r="AM175" s="953"/>
      <c r="AN175" s="953"/>
      <c r="AO175" s="953"/>
      <c r="AP175" s="953"/>
      <c r="AQ175" s="953"/>
      <c r="AR175" s="953"/>
      <c r="AS175" s="953"/>
      <c r="AT175" s="953"/>
      <c r="AU175" s="953"/>
      <c r="AV175" s="953"/>
      <c r="AW175" s="953"/>
      <c r="AX175" s="953"/>
      <c r="AY175" s="953"/>
      <c r="AZ175" s="953"/>
      <c r="BA175" s="953"/>
      <c r="BB175" s="953"/>
      <c r="BC175" s="953"/>
      <c r="BD175" s="953"/>
      <c r="BE175" s="953"/>
      <c r="BF175" s="953"/>
      <c r="BG175" s="953"/>
      <c r="BH175" s="953"/>
      <c r="BI175" s="953"/>
      <c r="BJ175" s="953"/>
      <c r="BK175" s="953"/>
      <c r="BL175" s="953"/>
      <c r="BM175" s="953"/>
      <c r="BN175" s="953"/>
      <c r="BO175" s="953"/>
      <c r="BP175" s="953"/>
      <c r="BQ175" s="953"/>
      <c r="BR175" s="953"/>
      <c r="BS175" s="953"/>
      <c r="BT175" s="953"/>
      <c r="BU175" s="953"/>
      <c r="BV175" s="953"/>
      <c r="BW175" s="953"/>
      <c r="BX175" s="953"/>
      <c r="BY175" s="953"/>
      <c r="BZ175" s="953"/>
      <c r="CA175" s="953"/>
      <c r="CB175" s="953"/>
      <c r="CC175" s="953"/>
      <c r="CD175" s="953"/>
      <c r="CE175" s="953"/>
      <c r="CF175" s="953"/>
      <c r="CG175" s="953"/>
      <c r="CH175" s="953"/>
      <c r="CI175" s="953"/>
      <c r="CJ175" s="953"/>
      <c r="CK175" s="953"/>
      <c r="CL175" s="953"/>
      <c r="CM175" s="953"/>
      <c r="CN175" s="953"/>
      <c r="CO175" s="953"/>
      <c r="CP175" s="953"/>
      <c r="CQ175" s="953"/>
      <c r="CR175" s="953"/>
      <c r="CS175" s="953"/>
      <c r="CT175" s="953"/>
      <c r="CU175" s="953"/>
      <c r="CV175" s="953"/>
      <c r="CW175" s="953"/>
      <c r="CX175" s="953"/>
      <c r="CY175" s="953"/>
      <c r="CZ175" s="953"/>
      <c r="DA175" s="953"/>
      <c r="DB175" s="953"/>
      <c r="DC175" s="953"/>
      <c r="DD175" s="953"/>
      <c r="DE175" s="953"/>
      <c r="DF175" s="953"/>
      <c r="DG175" s="953"/>
      <c r="DH175" s="953"/>
      <c r="DI175" s="953"/>
      <c r="DJ175" s="953"/>
      <c r="DK175" s="953"/>
      <c r="DL175" s="953"/>
      <c r="DM175" s="953"/>
      <c r="DN175" s="953"/>
      <c r="DO175" s="953"/>
      <c r="DP175" s="953"/>
      <c r="DQ175" s="953"/>
      <c r="DR175" s="953"/>
      <c r="DS175" s="953"/>
      <c r="DT175" s="953"/>
      <c r="DU175" s="953"/>
      <c r="DV175" s="953"/>
      <c r="DW175" s="953"/>
      <c r="DX175" s="953"/>
      <c r="DY175" s="953"/>
      <c r="DZ175" s="953"/>
      <c r="EA175" s="953"/>
      <c r="EB175" s="953"/>
      <c r="EC175" s="953"/>
      <c r="ED175" s="953"/>
      <c r="EE175" s="953"/>
      <c r="EF175" s="953"/>
      <c r="EG175" s="953"/>
      <c r="EH175" s="953"/>
      <c r="EI175" s="953"/>
      <c r="EJ175" s="953"/>
      <c r="EK175" s="953"/>
      <c r="EL175" s="953"/>
      <c r="EM175" s="953"/>
      <c r="EN175" s="953"/>
      <c r="EO175" s="953"/>
      <c r="EP175" s="953"/>
      <c r="EQ175" s="953"/>
      <c r="ER175" s="953"/>
      <c r="ES175" s="953"/>
      <c r="ET175" s="953"/>
      <c r="EU175" s="953"/>
      <c r="EV175" s="953"/>
      <c r="EW175" s="953"/>
      <c r="EX175" s="953"/>
      <c r="EY175" s="953"/>
      <c r="EZ175" s="953"/>
      <c r="FA175" s="953"/>
      <c r="FB175" s="953"/>
      <c r="FC175" s="953"/>
      <c r="FD175" s="953"/>
      <c r="FE175" s="953"/>
      <c r="FF175" s="953"/>
      <c r="FG175" s="953"/>
      <c r="FH175" s="953"/>
      <c r="FI175" s="953"/>
      <c r="FJ175" s="953"/>
      <c r="FK175" s="953"/>
      <c r="FL175" s="953"/>
      <c r="FM175" s="953"/>
      <c r="FN175" s="953"/>
      <c r="FO175" s="953"/>
      <c r="FP175" s="953"/>
      <c r="FQ175" s="953"/>
      <c r="FR175" s="953"/>
      <c r="FS175" s="953"/>
      <c r="FT175" s="953"/>
      <c r="FU175" s="953"/>
      <c r="FV175" s="953"/>
      <c r="FW175" s="953"/>
      <c r="FX175" s="953"/>
      <c r="FY175" s="953"/>
      <c r="FZ175" s="953"/>
      <c r="GA175" s="953"/>
      <c r="GB175" s="953"/>
      <c r="GC175" s="953"/>
      <c r="GD175" s="953"/>
      <c r="GE175" s="953"/>
      <c r="GF175" s="953"/>
      <c r="GG175" s="953"/>
      <c r="GH175" s="953"/>
      <c r="GI175" s="953"/>
      <c r="GJ175" s="953"/>
      <c r="GK175" s="953"/>
      <c r="GL175" s="953"/>
      <c r="GM175" s="953"/>
      <c r="GN175" s="953"/>
      <c r="GO175" s="953"/>
      <c r="GP175" s="953"/>
      <c r="GQ175" s="953"/>
      <c r="GR175" s="953"/>
      <c r="GS175" s="953"/>
      <c r="GT175" s="953"/>
      <c r="GU175" s="953"/>
      <c r="GV175" s="953"/>
      <c r="GW175" s="953"/>
      <c r="GX175" s="953"/>
      <c r="GY175" s="953"/>
      <c r="GZ175" s="953"/>
      <c r="HA175" s="953"/>
      <c r="HB175" s="953"/>
      <c r="HC175" s="953"/>
      <c r="HD175" s="953"/>
      <c r="HE175" s="953"/>
      <c r="HF175" s="953"/>
      <c r="HG175" s="953"/>
      <c r="HH175" s="953"/>
      <c r="HI175" s="953"/>
      <c r="HJ175" s="953"/>
      <c r="HK175" s="953"/>
      <c r="HL175" s="953"/>
      <c r="HM175" s="953"/>
      <c r="HN175" s="953"/>
      <c r="HO175" s="953"/>
      <c r="HP175" s="953"/>
      <c r="HQ175" s="953"/>
      <c r="HR175" s="953"/>
      <c r="HS175" s="953"/>
      <c r="HT175" s="953"/>
      <c r="HU175" s="953"/>
      <c r="HV175" s="953"/>
      <c r="HW175" s="953"/>
      <c r="HX175" s="953"/>
      <c r="HY175" s="953"/>
      <c r="HZ175" s="953"/>
      <c r="IA175" s="953"/>
      <c r="IB175" s="953"/>
      <c r="IC175" s="953"/>
      <c r="ID175" s="953"/>
      <c r="IE175" s="953"/>
      <c r="IF175" s="953"/>
      <c r="IG175" s="953"/>
      <c r="IH175" s="953"/>
      <c r="II175" s="953"/>
      <c r="IJ175" s="953"/>
      <c r="IK175" s="953"/>
      <c r="IL175" s="953"/>
      <c r="IM175" s="953"/>
      <c r="IN175" s="953"/>
      <c r="IO175" s="953"/>
      <c r="IP175" s="953"/>
      <c r="IQ175" s="953"/>
      <c r="IR175" s="953"/>
      <c r="IS175" s="953"/>
      <c r="IT175" s="953"/>
      <c r="IU175" s="953"/>
      <c r="IV175" s="953"/>
      <c r="IW175" s="953"/>
      <c r="IX175" s="953"/>
      <c r="IY175" s="953"/>
      <c r="IZ175" s="953"/>
      <c r="JA175" s="953"/>
      <c r="JB175" s="953"/>
      <c r="JC175" s="953"/>
      <c r="JD175" s="953"/>
      <c r="JE175" s="953"/>
      <c r="JF175" s="953"/>
      <c r="JG175" s="953"/>
      <c r="JH175" s="953"/>
      <c r="JI175" s="953"/>
      <c r="JJ175" s="953"/>
      <c r="JK175" s="953"/>
      <c r="JL175" s="953"/>
      <c r="JM175" s="953"/>
      <c r="JN175" s="953"/>
      <c r="JO175" s="953"/>
      <c r="JP175" s="953"/>
      <c r="JQ175" s="953"/>
      <c r="JR175" s="953"/>
      <c r="JS175" s="953"/>
      <c r="JT175" s="953"/>
      <c r="JU175" s="953"/>
      <c r="JV175" s="953"/>
      <c r="JW175" s="953"/>
      <c r="JX175" s="953"/>
      <c r="JY175" s="953"/>
      <c r="JZ175" s="953"/>
      <c r="KA175" s="953"/>
      <c r="KB175" s="953"/>
      <c r="KC175" s="953"/>
      <c r="KD175" s="953"/>
      <c r="KE175" s="953"/>
      <c r="KF175" s="953"/>
      <c r="KG175" s="953"/>
      <c r="KH175" s="953"/>
      <c r="KI175" s="953"/>
      <c r="KJ175" s="953"/>
      <c r="KK175" s="953"/>
      <c r="KL175" s="953"/>
      <c r="KM175" s="953"/>
      <c r="KN175" s="953"/>
      <c r="KO175" s="953"/>
      <c r="KP175" s="953"/>
      <c r="KQ175" s="953"/>
      <c r="KR175" s="953"/>
      <c r="KS175" s="953"/>
      <c r="KT175" s="953"/>
      <c r="KU175" s="953"/>
      <c r="KV175" s="953"/>
      <c r="KW175" s="953"/>
      <c r="KX175" s="953"/>
      <c r="KY175" s="953"/>
      <c r="KZ175" s="953"/>
      <c r="LA175" s="953"/>
      <c r="LB175" s="953"/>
      <c r="LC175" s="953"/>
      <c r="LD175" s="953"/>
      <c r="LE175" s="953"/>
      <c r="LF175" s="953"/>
      <c r="LG175" s="953"/>
      <c r="LH175" s="953"/>
      <c r="LI175" s="953"/>
      <c r="LJ175" s="953"/>
      <c r="LK175" s="953"/>
      <c r="LL175" s="953"/>
      <c r="LM175" s="953"/>
      <c r="LN175" s="953"/>
      <c r="LO175" s="953"/>
      <c r="LP175" s="953"/>
      <c r="LQ175" s="953"/>
      <c r="LR175" s="953"/>
      <c r="LS175" s="953"/>
      <c r="LT175" s="953"/>
      <c r="LU175" s="953"/>
      <c r="LV175" s="953"/>
      <c r="LW175" s="953"/>
      <c r="LX175" s="953"/>
      <c r="LY175" s="953"/>
      <c r="LZ175" s="953"/>
      <c r="MA175" s="953"/>
      <c r="MB175" s="953"/>
      <c r="MC175" s="953"/>
      <c r="MD175" s="953"/>
      <c r="ME175" s="953"/>
      <c r="MF175" s="953"/>
      <c r="MG175" s="953"/>
      <c r="MH175" s="953"/>
      <c r="MI175" s="953"/>
      <c r="MJ175" s="953"/>
      <c r="MK175" s="953"/>
      <c r="ML175" s="953"/>
      <c r="MM175" s="953"/>
      <c r="MN175" s="953"/>
      <c r="MO175" s="953"/>
      <c r="MP175" s="953"/>
      <c r="MQ175" s="953"/>
      <c r="MR175" s="953"/>
      <c r="MS175" s="953"/>
      <c r="MT175" s="953"/>
      <c r="MU175" s="953"/>
      <c r="MV175" s="953"/>
      <c r="MW175" s="953"/>
      <c r="MX175" s="953"/>
      <c r="MY175" s="953"/>
      <c r="MZ175" s="953"/>
      <c r="NA175" s="953"/>
      <c r="NB175" s="953"/>
      <c r="NC175" s="953"/>
      <c r="ND175" s="953"/>
      <c r="NE175" s="953"/>
      <c r="NF175" s="953"/>
      <c r="NG175" s="953"/>
      <c r="NH175" s="953"/>
      <c r="NI175" s="953"/>
      <c r="NJ175" s="953"/>
      <c r="NK175" s="953"/>
      <c r="NL175" s="953"/>
      <c r="NM175" s="953"/>
      <c r="NN175" s="953"/>
      <c r="NO175" s="953"/>
      <c r="NP175" s="953"/>
      <c r="NQ175" s="953"/>
      <c r="NR175" s="953"/>
      <c r="NS175" s="953"/>
      <c r="NT175" s="953"/>
      <c r="NU175" s="953"/>
      <c r="NV175" s="953"/>
      <c r="NW175" s="953"/>
      <c r="NX175" s="953"/>
      <c r="NY175" s="953"/>
      <c r="NZ175" s="953"/>
      <c r="OA175" s="953"/>
      <c r="OB175" s="953"/>
      <c r="OC175" s="953"/>
      <c r="OD175" s="953"/>
      <c r="OE175" s="953"/>
      <c r="OF175" s="953"/>
      <c r="OG175" s="953"/>
      <c r="OH175" s="953"/>
      <c r="OI175" s="953"/>
      <c r="OJ175" s="953"/>
      <c r="OK175" s="953"/>
      <c r="OL175" s="953"/>
      <c r="OM175" s="953"/>
      <c r="ON175" s="953"/>
      <c r="OO175" s="953"/>
      <c r="OP175" s="953"/>
      <c r="OQ175" s="953"/>
      <c r="OR175" s="953"/>
      <c r="OS175" s="953"/>
      <c r="OT175" s="953"/>
      <c r="OU175" s="953"/>
      <c r="OV175" s="953"/>
      <c r="OW175" s="953"/>
      <c r="OX175" s="953"/>
      <c r="OY175" s="953"/>
      <c r="OZ175" s="953"/>
      <c r="PA175" s="953"/>
      <c r="PB175" s="953"/>
      <c r="PC175" s="953"/>
      <c r="PD175" s="953"/>
      <c r="PE175" s="953"/>
      <c r="PF175" s="953"/>
      <c r="PG175" s="953"/>
      <c r="PH175" s="953"/>
      <c r="PI175" s="953"/>
      <c r="PJ175" s="953"/>
      <c r="PK175" s="953"/>
      <c r="PL175" s="953"/>
      <c r="PM175" s="953"/>
      <c r="PN175" s="953"/>
      <c r="PO175" s="953"/>
      <c r="PP175" s="953"/>
      <c r="PQ175" s="953"/>
      <c r="PR175" s="953"/>
      <c r="PS175" s="953"/>
      <c r="PT175" s="953"/>
      <c r="PU175" s="953"/>
      <c r="PV175" s="953"/>
      <c r="PW175" s="953"/>
      <c r="PX175" s="953"/>
      <c r="PY175" s="953"/>
      <c r="PZ175" s="953"/>
      <c r="QA175" s="953"/>
      <c r="QB175" s="953"/>
      <c r="QC175" s="953"/>
      <c r="QD175" s="953"/>
      <c r="QE175" s="953"/>
      <c r="QF175" s="953"/>
      <c r="QG175" s="953"/>
      <c r="QH175" s="953"/>
      <c r="QI175" s="953"/>
      <c r="QJ175" s="953"/>
      <c r="QK175" s="953"/>
      <c r="QL175" s="953"/>
      <c r="QM175" s="953"/>
      <c r="QN175" s="953"/>
      <c r="QO175" s="953"/>
      <c r="QP175" s="953"/>
      <c r="QQ175" s="953"/>
      <c r="QR175" s="953"/>
      <c r="QS175" s="953"/>
      <c r="QT175" s="953"/>
      <c r="QU175" s="953"/>
      <c r="QV175" s="953"/>
      <c r="QW175" s="953"/>
      <c r="QX175" s="953"/>
      <c r="QY175" s="953"/>
      <c r="QZ175" s="953"/>
      <c r="RA175" s="953"/>
      <c r="RB175" s="953"/>
      <c r="RC175" s="953"/>
      <c r="RD175" s="953"/>
      <c r="RE175" s="953"/>
      <c r="RF175" s="953"/>
      <c r="RG175" s="953"/>
      <c r="RH175" s="953"/>
      <c r="RI175" s="953"/>
      <c r="RJ175" s="953"/>
      <c r="RK175" s="953"/>
      <c r="RL175" s="953"/>
      <c r="RM175" s="953"/>
      <c r="RN175" s="953"/>
      <c r="RO175" s="953"/>
      <c r="RP175" s="953"/>
      <c r="RQ175" s="953"/>
      <c r="RR175" s="953"/>
      <c r="RS175" s="953"/>
      <c r="RT175" s="953"/>
      <c r="RU175" s="953"/>
      <c r="RV175" s="953"/>
      <c r="RW175" s="953"/>
      <c r="RX175" s="953"/>
      <c r="RY175" s="953"/>
      <c r="RZ175" s="953"/>
      <c r="SA175" s="953"/>
      <c r="SB175" s="953"/>
      <c r="SC175" s="953"/>
      <c r="SD175" s="953"/>
      <c r="SE175" s="953"/>
      <c r="SF175" s="953"/>
      <c r="SG175" s="953"/>
      <c r="SH175" s="953"/>
      <c r="SI175" s="953"/>
      <c r="SJ175" s="953"/>
      <c r="SK175" s="953"/>
      <c r="SL175" s="953"/>
      <c r="SM175" s="953"/>
      <c r="SN175" s="953"/>
      <c r="SO175" s="953"/>
      <c r="SP175" s="953"/>
      <c r="SQ175" s="953"/>
      <c r="SR175" s="953"/>
      <c r="SS175" s="953"/>
      <c r="ST175" s="953"/>
      <c r="SU175" s="953"/>
      <c r="SV175" s="953"/>
      <c r="SW175" s="953"/>
      <c r="SX175" s="953"/>
      <c r="SY175" s="953"/>
      <c r="SZ175" s="953"/>
      <c r="TA175" s="953"/>
      <c r="TB175" s="953"/>
      <c r="TC175" s="953"/>
      <c r="TD175" s="953"/>
      <c r="TE175" s="953"/>
      <c r="TF175" s="953"/>
      <c r="TG175" s="953"/>
      <c r="TH175" s="953"/>
      <c r="TI175" s="953"/>
      <c r="TJ175" s="953"/>
      <c r="TK175" s="953"/>
      <c r="TL175" s="953"/>
      <c r="TM175" s="953"/>
      <c r="TN175" s="953"/>
      <c r="TO175" s="953"/>
      <c r="TP175" s="953"/>
      <c r="TQ175" s="953"/>
      <c r="TR175" s="953"/>
      <c r="TS175" s="953"/>
      <c r="TT175" s="953"/>
      <c r="TU175" s="953"/>
      <c r="TV175" s="953"/>
      <c r="TW175" s="953"/>
      <c r="TX175" s="953"/>
      <c r="TY175" s="953"/>
      <c r="TZ175" s="953"/>
      <c r="UA175" s="953"/>
      <c r="UB175" s="953"/>
      <c r="UC175" s="953"/>
      <c r="UD175" s="953"/>
      <c r="UE175" s="953"/>
      <c r="UF175" s="953"/>
      <c r="UG175" s="953"/>
      <c r="UH175" s="953"/>
      <c r="UI175" s="953"/>
      <c r="UJ175" s="953"/>
      <c r="UK175" s="953"/>
      <c r="UL175" s="953"/>
      <c r="UM175" s="953"/>
      <c r="UN175" s="953"/>
      <c r="UO175" s="953"/>
      <c r="UP175" s="953"/>
      <c r="UQ175" s="953"/>
      <c r="UR175" s="953"/>
      <c r="US175" s="953"/>
      <c r="UT175" s="953"/>
      <c r="UU175" s="953"/>
      <c r="UV175" s="953"/>
      <c r="UW175" s="953"/>
      <c r="UX175" s="953"/>
      <c r="UY175" s="953"/>
      <c r="UZ175" s="953"/>
      <c r="VA175" s="953"/>
      <c r="VB175" s="953"/>
      <c r="VC175" s="953"/>
      <c r="VD175" s="953"/>
      <c r="VE175" s="953"/>
      <c r="VF175" s="953"/>
      <c r="VG175" s="953"/>
      <c r="VH175" s="953"/>
      <c r="VI175" s="953"/>
      <c r="VJ175" s="953"/>
      <c r="VK175" s="953"/>
      <c r="VL175" s="953"/>
      <c r="VM175" s="953"/>
      <c r="VN175" s="953"/>
      <c r="VO175" s="953"/>
      <c r="VP175" s="953"/>
      <c r="VQ175" s="953"/>
      <c r="VR175" s="953"/>
      <c r="VS175" s="953"/>
      <c r="VT175" s="953"/>
      <c r="VU175" s="953"/>
      <c r="VV175" s="953"/>
      <c r="VW175" s="953"/>
      <c r="VX175" s="953"/>
      <c r="VY175" s="953"/>
      <c r="VZ175" s="953"/>
      <c r="WA175" s="953"/>
      <c r="WB175" s="953"/>
      <c r="WC175" s="953"/>
      <c r="WD175" s="953"/>
      <c r="WE175" s="953"/>
      <c r="WF175" s="953"/>
      <c r="WG175" s="953"/>
      <c r="WH175" s="953"/>
      <c r="WI175" s="953"/>
      <c r="WJ175" s="953"/>
      <c r="WK175" s="953"/>
      <c r="WL175" s="953"/>
      <c r="WM175" s="953"/>
      <c r="WN175" s="953"/>
      <c r="WO175" s="953"/>
      <c r="WP175" s="953"/>
      <c r="WQ175" s="953"/>
      <c r="WR175" s="953"/>
      <c r="WS175" s="953"/>
      <c r="WT175" s="953"/>
      <c r="WU175" s="953"/>
      <c r="WV175" s="953"/>
      <c r="WW175" s="953"/>
      <c r="WX175" s="953"/>
      <c r="WY175" s="953"/>
      <c r="WZ175" s="953"/>
      <c r="XA175" s="953"/>
      <c r="XB175" s="953"/>
      <c r="XC175" s="953"/>
      <c r="XD175" s="953"/>
      <c r="XE175" s="953"/>
      <c r="XF175" s="953"/>
      <c r="XG175" s="953"/>
      <c r="XH175" s="953"/>
      <c r="XI175" s="953"/>
      <c r="XJ175" s="953"/>
      <c r="XK175" s="953"/>
      <c r="XL175" s="953"/>
      <c r="XM175" s="953"/>
      <c r="XN175" s="953"/>
      <c r="XO175" s="953"/>
      <c r="XP175" s="953"/>
      <c r="XQ175" s="953"/>
      <c r="XR175" s="953"/>
      <c r="XS175" s="953"/>
      <c r="XT175" s="953"/>
      <c r="XU175" s="953"/>
      <c r="XV175" s="953"/>
      <c r="XW175" s="953"/>
      <c r="XX175" s="953"/>
      <c r="XY175" s="953"/>
      <c r="XZ175" s="953"/>
      <c r="YA175" s="953"/>
      <c r="YB175" s="953"/>
      <c r="YC175" s="953"/>
      <c r="YD175" s="953"/>
      <c r="YE175" s="953"/>
      <c r="YF175" s="953"/>
      <c r="YG175" s="953"/>
      <c r="YH175" s="953"/>
      <c r="YI175" s="953"/>
      <c r="YJ175" s="953"/>
      <c r="YK175" s="953"/>
      <c r="YL175" s="953"/>
      <c r="YM175" s="953"/>
      <c r="YN175" s="953"/>
      <c r="YO175" s="953"/>
      <c r="YP175" s="953"/>
      <c r="YQ175" s="953"/>
      <c r="YR175" s="953"/>
      <c r="YS175" s="953"/>
      <c r="YT175" s="953"/>
      <c r="YU175" s="953"/>
      <c r="YV175" s="953"/>
      <c r="YW175" s="953"/>
      <c r="YX175" s="953"/>
      <c r="YY175" s="953"/>
      <c r="YZ175" s="953"/>
      <c r="ZA175" s="953"/>
      <c r="ZB175" s="953"/>
      <c r="ZC175" s="953"/>
      <c r="ZD175" s="953"/>
      <c r="ZE175" s="953"/>
      <c r="ZF175" s="953"/>
      <c r="ZG175" s="953"/>
      <c r="ZH175" s="953"/>
      <c r="ZI175" s="953"/>
      <c r="ZJ175" s="953"/>
      <c r="ZK175" s="953"/>
      <c r="ZL175" s="953"/>
      <c r="ZM175" s="953"/>
      <c r="ZN175" s="953"/>
      <c r="ZO175" s="953"/>
      <c r="ZP175" s="953"/>
      <c r="ZQ175" s="953"/>
      <c r="ZR175" s="953"/>
      <c r="ZS175" s="953"/>
      <c r="ZT175" s="953"/>
      <c r="ZU175" s="953"/>
      <c r="ZV175" s="953"/>
      <c r="ZW175" s="953"/>
      <c r="ZX175" s="953"/>
      <c r="ZY175" s="953"/>
      <c r="ZZ175" s="953"/>
      <c r="AAA175" s="953"/>
      <c r="AAB175" s="953"/>
      <c r="AAC175" s="953"/>
      <c r="AAD175" s="953"/>
      <c r="AAE175" s="953"/>
      <c r="AAF175" s="953"/>
      <c r="AAG175" s="953"/>
      <c r="AAH175" s="953"/>
      <c r="AAI175" s="953"/>
      <c r="AAJ175" s="953"/>
      <c r="AAK175" s="953"/>
      <c r="AAL175" s="953"/>
      <c r="AAM175" s="953"/>
      <c r="AAN175" s="953"/>
      <c r="AAO175" s="953"/>
      <c r="AAP175" s="953"/>
      <c r="AAQ175" s="953"/>
      <c r="AAR175" s="953"/>
      <c r="AAS175" s="953"/>
      <c r="AAT175" s="953"/>
      <c r="AAU175" s="953"/>
      <c r="AAV175" s="953"/>
      <c r="AAW175" s="953"/>
      <c r="AAX175" s="953"/>
      <c r="AAY175" s="953"/>
      <c r="AAZ175" s="953"/>
      <c r="ABA175" s="953"/>
      <c r="ABB175" s="953"/>
      <c r="ABC175" s="953"/>
      <c r="ABD175" s="953"/>
      <c r="ABE175" s="953"/>
      <c r="ABF175" s="953"/>
      <c r="ABG175" s="953"/>
      <c r="ABH175" s="953"/>
      <c r="ABI175" s="953"/>
      <c r="ABJ175" s="953"/>
      <c r="ABK175" s="953"/>
      <c r="ABL175" s="953"/>
      <c r="ABM175" s="953"/>
      <c r="ABN175" s="953"/>
      <c r="ABO175" s="953"/>
      <c r="ABP175" s="953"/>
      <c r="ABQ175" s="953"/>
      <c r="ABR175" s="953"/>
      <c r="ABS175" s="953"/>
      <c r="ABT175" s="953"/>
      <c r="ABU175" s="953"/>
      <c r="ABV175" s="953"/>
      <c r="ABW175" s="953"/>
      <c r="ABX175" s="953"/>
      <c r="ABY175" s="953"/>
      <c r="ABZ175" s="953"/>
      <c r="ACA175" s="953"/>
      <c r="ACB175" s="953"/>
      <c r="ACC175" s="953"/>
      <c r="ACD175" s="953"/>
      <c r="ACE175" s="953"/>
      <c r="ACF175" s="953"/>
      <c r="ACG175" s="953"/>
      <c r="ACH175" s="953"/>
      <c r="ACI175" s="953"/>
      <c r="ACJ175" s="953"/>
      <c r="ACK175" s="953"/>
      <c r="ACL175" s="953"/>
      <c r="ACM175" s="953"/>
      <c r="ACN175" s="953"/>
      <c r="ACO175" s="953"/>
      <c r="ACP175" s="953"/>
      <c r="ACQ175" s="953"/>
      <c r="ACR175" s="953"/>
      <c r="ACS175" s="953"/>
      <c r="ACT175" s="953"/>
      <c r="ACU175" s="953"/>
      <c r="ACV175" s="953"/>
      <c r="ACW175" s="953"/>
      <c r="ACX175" s="953"/>
      <c r="ACY175" s="953"/>
      <c r="ACZ175" s="953"/>
      <c r="ADA175" s="953"/>
      <c r="ADB175" s="953"/>
      <c r="ADC175" s="953"/>
      <c r="ADD175" s="953"/>
      <c r="ADE175" s="953"/>
      <c r="ADF175" s="953"/>
      <c r="ADG175" s="953"/>
      <c r="ADH175" s="953"/>
      <c r="ADI175" s="953"/>
      <c r="ADJ175" s="953"/>
      <c r="ADK175" s="953"/>
      <c r="ADL175" s="953"/>
      <c r="ADM175" s="953"/>
      <c r="ADN175" s="953"/>
      <c r="ADO175" s="953"/>
      <c r="ADP175" s="953"/>
      <c r="ADQ175" s="953"/>
      <c r="ADR175" s="953"/>
      <c r="ADS175" s="953"/>
      <c r="ADT175" s="953"/>
      <c r="ADU175" s="953"/>
      <c r="ADV175" s="953"/>
      <c r="ADW175" s="953"/>
      <c r="ADX175" s="953"/>
      <c r="ADY175" s="953"/>
      <c r="ADZ175" s="953"/>
      <c r="AEA175" s="953"/>
      <c r="AEB175" s="953"/>
      <c r="AEC175" s="953"/>
      <c r="AED175" s="953"/>
      <c r="AEE175" s="953"/>
      <c r="AEF175" s="953"/>
      <c r="AEG175" s="953"/>
      <c r="AEH175" s="953"/>
      <c r="AEI175" s="953"/>
      <c r="AEJ175" s="953"/>
      <c r="AEK175" s="953"/>
      <c r="AEL175" s="953"/>
      <c r="AEM175" s="953"/>
      <c r="AEN175" s="953"/>
      <c r="AEO175" s="953"/>
      <c r="AEP175" s="953"/>
      <c r="AEQ175" s="953"/>
      <c r="AER175" s="953"/>
      <c r="AES175" s="953"/>
      <c r="AET175" s="953"/>
      <c r="AEU175" s="953"/>
      <c r="AEV175" s="953"/>
      <c r="AEW175" s="953"/>
      <c r="AEX175" s="953"/>
      <c r="AEY175" s="953"/>
      <c r="AEZ175" s="953"/>
      <c r="AFA175" s="953"/>
      <c r="AFB175" s="953"/>
      <c r="AFC175" s="953"/>
      <c r="AFD175" s="953"/>
      <c r="AFE175" s="953"/>
      <c r="AFF175" s="953"/>
      <c r="AFG175" s="953"/>
      <c r="AFH175" s="953"/>
      <c r="AFI175" s="953"/>
      <c r="AFJ175" s="953"/>
      <c r="AFK175" s="953"/>
      <c r="AFL175" s="953"/>
      <c r="AFM175" s="953"/>
      <c r="AFN175" s="953"/>
      <c r="AFO175" s="953"/>
      <c r="AFP175" s="953"/>
      <c r="AFQ175" s="953"/>
      <c r="AFR175" s="953"/>
      <c r="AFS175" s="953"/>
      <c r="AFT175" s="953"/>
      <c r="AFU175" s="953"/>
      <c r="AFV175" s="953"/>
      <c r="AFW175" s="953"/>
      <c r="AFX175" s="953"/>
      <c r="AFY175" s="953"/>
      <c r="AFZ175" s="953"/>
      <c r="AGA175" s="953"/>
      <c r="AGB175" s="953"/>
      <c r="AGC175" s="953"/>
      <c r="AGD175" s="953"/>
      <c r="AGE175" s="953"/>
      <c r="AGF175" s="953"/>
      <c r="AGG175" s="953"/>
      <c r="AGH175" s="953"/>
      <c r="AGI175" s="953"/>
      <c r="AGJ175" s="953"/>
      <c r="AGK175" s="953"/>
      <c r="AGL175" s="953"/>
      <c r="AGM175" s="953"/>
      <c r="AGN175" s="953"/>
      <c r="AGO175" s="953"/>
      <c r="AGP175" s="953"/>
      <c r="AGQ175" s="953"/>
      <c r="AGR175" s="953"/>
      <c r="AGS175" s="953"/>
      <c r="AGT175" s="953"/>
      <c r="AGU175" s="953"/>
      <c r="AGV175" s="953"/>
      <c r="AGW175" s="953"/>
      <c r="AGX175" s="953"/>
      <c r="AGY175" s="953"/>
      <c r="AGZ175" s="953"/>
      <c r="AHA175" s="953"/>
      <c r="AHB175" s="953"/>
      <c r="AHC175" s="953"/>
      <c r="AHD175" s="953"/>
      <c r="AHE175" s="953"/>
      <c r="AHF175" s="953"/>
      <c r="AHG175" s="953"/>
      <c r="AHH175" s="953"/>
      <c r="AHI175" s="953"/>
      <c r="AHJ175" s="953"/>
      <c r="AHK175" s="953"/>
      <c r="AHL175" s="953"/>
      <c r="AHM175" s="953"/>
      <c r="AHN175" s="953"/>
      <c r="AHO175" s="953"/>
      <c r="AHP175" s="953"/>
      <c r="AHQ175" s="953"/>
      <c r="AHR175" s="953"/>
      <c r="AHS175" s="953"/>
      <c r="AHT175" s="953"/>
      <c r="AHU175" s="953"/>
      <c r="AHV175" s="953"/>
      <c r="AHW175" s="953"/>
      <c r="AHX175" s="953"/>
      <c r="AHY175" s="953"/>
      <c r="AHZ175" s="953"/>
      <c r="AIA175" s="953"/>
      <c r="AIB175" s="953"/>
      <c r="AIC175" s="953"/>
      <c r="AID175" s="953"/>
      <c r="AIE175" s="953"/>
      <c r="AIF175" s="953"/>
      <c r="AIG175" s="953"/>
      <c r="AIH175" s="953"/>
      <c r="AII175" s="953"/>
      <c r="AIJ175" s="953"/>
      <c r="AIK175" s="953"/>
      <c r="AIL175" s="953"/>
      <c r="AIM175" s="953"/>
      <c r="AIN175" s="953"/>
      <c r="AIO175" s="953"/>
      <c r="AIP175" s="953"/>
      <c r="AIQ175" s="953"/>
      <c r="AIR175" s="953"/>
      <c r="AIS175" s="953"/>
      <c r="AIT175" s="953"/>
      <c r="AIU175" s="953"/>
      <c r="AIV175" s="953"/>
      <c r="AIW175" s="953"/>
      <c r="AIX175" s="953"/>
      <c r="AIY175" s="953"/>
      <c r="AIZ175" s="953"/>
      <c r="AJA175" s="953"/>
      <c r="AJB175" s="953"/>
      <c r="AJC175" s="953"/>
      <c r="AJD175" s="953"/>
      <c r="AJE175" s="953"/>
      <c r="AJF175" s="953"/>
      <c r="AJG175" s="953"/>
      <c r="AJH175" s="953"/>
      <c r="AJI175" s="953"/>
      <c r="AJJ175" s="953"/>
      <c r="AJK175" s="953"/>
      <c r="AJL175" s="953"/>
      <c r="AJM175" s="953"/>
      <c r="AJN175" s="953"/>
      <c r="AJO175" s="953"/>
      <c r="AJP175" s="953"/>
      <c r="AJQ175" s="953"/>
      <c r="AJR175" s="953"/>
      <c r="AJS175" s="953"/>
      <c r="AJT175" s="953"/>
      <c r="AJU175" s="953"/>
      <c r="AJV175" s="953"/>
      <c r="AJW175" s="953"/>
      <c r="AJX175" s="953"/>
      <c r="AJY175" s="953"/>
      <c r="AJZ175" s="953"/>
      <c r="AKA175" s="953"/>
      <c r="AKB175" s="953"/>
      <c r="AKC175" s="953"/>
      <c r="AKD175" s="953"/>
      <c r="AKE175" s="953"/>
      <c r="AKF175" s="953"/>
      <c r="AKG175" s="953"/>
      <c r="AKH175" s="953"/>
      <c r="AKI175" s="953"/>
      <c r="AKJ175" s="953"/>
      <c r="AKK175" s="953"/>
      <c r="AKL175" s="953"/>
      <c r="AKM175" s="953"/>
      <c r="AKN175" s="953"/>
      <c r="AKO175" s="953"/>
      <c r="AKP175" s="953"/>
      <c r="AKQ175" s="953"/>
      <c r="AKR175" s="953"/>
      <c r="AKS175" s="953"/>
      <c r="AKT175" s="953"/>
      <c r="AKU175" s="953"/>
      <c r="AKV175" s="953"/>
      <c r="AKW175" s="953"/>
      <c r="AKX175" s="953"/>
      <c r="AKY175" s="953"/>
      <c r="AKZ175" s="953"/>
      <c r="ALA175" s="953"/>
      <c r="ALB175" s="953"/>
      <c r="ALC175" s="953"/>
      <c r="ALD175" s="953"/>
      <c r="ALE175" s="953"/>
      <c r="ALF175" s="953"/>
      <c r="ALG175" s="953"/>
      <c r="ALH175" s="953"/>
      <c r="ALI175" s="953"/>
      <c r="ALJ175" s="953"/>
      <c r="ALK175" s="953"/>
      <c r="ALL175" s="953"/>
      <c r="ALM175" s="953"/>
      <c r="ALN175" s="953"/>
      <c r="ALO175" s="953"/>
      <c r="ALP175" s="953"/>
      <c r="ALQ175" s="953"/>
      <c r="ALR175" s="953"/>
      <c r="ALS175" s="953"/>
      <c r="ALT175" s="953"/>
      <c r="ALU175" s="953"/>
      <c r="ALV175" s="953"/>
      <c r="ALW175" s="953"/>
      <c r="ALX175" s="953"/>
      <c r="ALY175" s="953"/>
      <c r="ALZ175" s="953"/>
      <c r="AMA175" s="953"/>
      <c r="AMB175" s="953"/>
      <c r="AMC175" s="953"/>
      <c r="AMD175" s="953"/>
      <c r="AME175" s="953"/>
      <c r="AMF175" s="953"/>
      <c r="AMG175" s="953"/>
      <c r="AMH175" s="953"/>
      <c r="AMI175" s="953"/>
      <c r="AMJ175" s="953"/>
      <c r="AMK175" s="953"/>
      <c r="AML175" s="953"/>
      <c r="AMM175" s="953"/>
      <c r="AMN175" s="953"/>
      <c r="AMO175" s="953"/>
      <c r="AMP175" s="953"/>
      <c r="AMQ175" s="953"/>
      <c r="AMR175" s="953"/>
      <c r="AMS175" s="953"/>
      <c r="AMT175" s="953"/>
      <c r="AMU175" s="953"/>
      <c r="AMV175" s="953"/>
      <c r="AMW175" s="953"/>
      <c r="AMX175" s="953"/>
      <c r="AMY175" s="953"/>
      <c r="AMZ175" s="953"/>
      <c r="ANA175" s="953"/>
      <c r="ANB175" s="953"/>
      <c r="ANC175" s="953"/>
      <c r="AND175" s="953"/>
      <c r="ANE175" s="953"/>
      <c r="ANF175" s="953"/>
      <c r="ANG175" s="953"/>
      <c r="ANH175" s="953"/>
      <c r="ANI175" s="953"/>
      <c r="ANJ175" s="953"/>
      <c r="ANK175" s="953"/>
      <c r="ANL175" s="953"/>
      <c r="ANM175" s="953"/>
      <c r="ANN175" s="953"/>
      <c r="ANO175" s="953"/>
      <c r="ANP175" s="953"/>
      <c r="ANQ175" s="953"/>
      <c r="ANR175" s="953"/>
      <c r="ANS175" s="953"/>
      <c r="ANT175" s="953"/>
      <c r="ANU175" s="953"/>
      <c r="ANV175" s="953"/>
      <c r="ANW175" s="953"/>
      <c r="ANX175" s="953"/>
      <c r="ANY175" s="953"/>
      <c r="ANZ175" s="953"/>
      <c r="AOA175" s="953"/>
      <c r="AOB175" s="953"/>
      <c r="AOC175" s="953"/>
      <c r="AOD175" s="953"/>
      <c r="AOE175" s="953"/>
      <c r="AOF175" s="953"/>
      <c r="AOG175" s="953"/>
      <c r="AOH175" s="953"/>
      <c r="AOI175" s="953"/>
      <c r="AOJ175" s="953"/>
      <c r="AOK175" s="953"/>
      <c r="AOL175" s="953"/>
      <c r="AOM175" s="953"/>
      <c r="AON175" s="953"/>
      <c r="AOO175" s="953"/>
      <c r="AOP175" s="953"/>
      <c r="AOQ175" s="953"/>
      <c r="AOR175" s="953"/>
      <c r="AOS175" s="953"/>
      <c r="AOT175" s="953"/>
      <c r="AOU175" s="953"/>
      <c r="AOV175" s="953"/>
      <c r="AOW175" s="953"/>
      <c r="AOX175" s="953"/>
      <c r="AOY175" s="953"/>
      <c r="AOZ175" s="953"/>
      <c r="APA175" s="953"/>
      <c r="APB175" s="953"/>
      <c r="APC175" s="953"/>
      <c r="APD175" s="953"/>
      <c r="APE175" s="953"/>
      <c r="APF175" s="953"/>
      <c r="APG175" s="953"/>
      <c r="APH175" s="953"/>
      <c r="API175" s="953"/>
      <c r="APJ175" s="953"/>
      <c r="APK175" s="953"/>
      <c r="APL175" s="953"/>
      <c r="APM175" s="953"/>
      <c r="APN175" s="953"/>
      <c r="APO175" s="953"/>
      <c r="APP175" s="953"/>
      <c r="APQ175" s="953"/>
      <c r="APR175" s="953"/>
      <c r="APS175" s="953"/>
      <c r="APT175" s="953"/>
      <c r="APU175" s="953"/>
      <c r="APV175" s="953"/>
      <c r="APW175" s="953"/>
      <c r="APX175" s="953"/>
      <c r="APY175" s="953"/>
      <c r="APZ175" s="953"/>
      <c r="AQA175" s="953"/>
      <c r="AQB175" s="953"/>
      <c r="AQC175" s="953"/>
      <c r="AQD175" s="953"/>
      <c r="AQE175" s="953"/>
      <c r="AQF175" s="953"/>
      <c r="AQG175" s="953"/>
      <c r="AQH175" s="953"/>
      <c r="AQI175" s="953"/>
      <c r="AQJ175" s="953"/>
      <c r="AQK175" s="953"/>
      <c r="AQL175" s="953"/>
      <c r="AQM175" s="953"/>
      <c r="AQN175" s="953"/>
      <c r="AQO175" s="953"/>
      <c r="AQP175" s="953"/>
      <c r="AQQ175" s="953"/>
      <c r="AQR175" s="953"/>
      <c r="AQS175" s="953"/>
      <c r="AQT175" s="953"/>
      <c r="AQU175" s="953"/>
      <c r="AQV175" s="953"/>
      <c r="AQW175" s="953"/>
      <c r="AQX175" s="953"/>
      <c r="AQY175" s="953"/>
      <c r="AQZ175" s="953"/>
      <c r="ARA175" s="953"/>
      <c r="ARB175" s="953"/>
      <c r="ARC175" s="953"/>
      <c r="ARD175" s="953"/>
      <c r="ARE175" s="953"/>
      <c r="ARF175" s="953"/>
      <c r="ARG175" s="953"/>
      <c r="ARH175" s="953"/>
      <c r="ARI175" s="953"/>
      <c r="ARJ175" s="953"/>
      <c r="ARK175" s="953"/>
      <c r="ARL175" s="953"/>
      <c r="ARM175" s="953"/>
      <c r="ARN175" s="953"/>
      <c r="ARO175" s="953"/>
      <c r="ARP175" s="953"/>
      <c r="ARQ175" s="953"/>
      <c r="ARR175" s="953"/>
      <c r="ARS175" s="953"/>
      <c r="ART175" s="953"/>
      <c r="ARU175" s="953"/>
      <c r="ARV175" s="953"/>
      <c r="ARW175" s="953"/>
      <c r="ARX175" s="953"/>
      <c r="ARY175" s="953"/>
      <c r="ARZ175" s="953"/>
      <c r="ASA175" s="953"/>
      <c r="ASB175" s="953"/>
      <c r="ASC175" s="953"/>
      <c r="ASD175" s="953"/>
      <c r="ASE175" s="953"/>
      <c r="ASF175" s="953"/>
      <c r="ASG175" s="953"/>
      <c r="ASH175" s="953"/>
      <c r="ASI175" s="953"/>
      <c r="ASJ175" s="953"/>
      <c r="ASK175" s="953"/>
      <c r="ASL175" s="953"/>
      <c r="ASM175" s="953"/>
      <c r="ASN175" s="953"/>
      <c r="ASO175" s="953"/>
      <c r="ASP175" s="953"/>
      <c r="ASQ175" s="953"/>
      <c r="ASR175" s="953"/>
      <c r="ASS175" s="953"/>
      <c r="AST175" s="953"/>
      <c r="ASU175" s="953"/>
      <c r="ASV175" s="953"/>
      <c r="ASW175" s="953"/>
      <c r="ASX175" s="953"/>
      <c r="ASY175" s="953"/>
      <c r="ASZ175" s="953"/>
      <c r="ATA175" s="953"/>
      <c r="ATB175" s="953"/>
      <c r="ATC175" s="953"/>
      <c r="ATD175" s="953"/>
      <c r="ATE175" s="953"/>
      <c r="ATF175" s="953"/>
      <c r="ATG175" s="953"/>
      <c r="ATH175" s="953"/>
      <c r="ATI175" s="953"/>
      <c r="ATJ175" s="953"/>
      <c r="ATK175" s="953"/>
      <c r="ATL175" s="953"/>
      <c r="ATM175" s="953"/>
      <c r="ATN175" s="953"/>
      <c r="ATO175" s="953"/>
      <c r="ATP175" s="953"/>
      <c r="ATQ175" s="953"/>
      <c r="ATR175" s="953"/>
      <c r="ATS175" s="953"/>
      <c r="ATT175" s="953"/>
      <c r="ATU175" s="953"/>
      <c r="ATV175" s="953"/>
      <c r="ATW175" s="953"/>
      <c r="ATX175" s="953"/>
      <c r="ATY175" s="953"/>
      <c r="ATZ175" s="953"/>
      <c r="AUA175" s="953"/>
      <c r="AUB175" s="953"/>
      <c r="AUC175" s="953"/>
      <c r="AUD175" s="953"/>
      <c r="AUE175" s="953"/>
      <c r="AUF175" s="953"/>
      <c r="AUG175" s="953"/>
      <c r="AUH175" s="953"/>
      <c r="AUI175" s="953"/>
      <c r="AUJ175" s="953"/>
      <c r="AUK175" s="953"/>
      <c r="AUL175" s="953"/>
      <c r="AUM175" s="953"/>
      <c r="AUN175" s="953"/>
      <c r="AUO175" s="953"/>
      <c r="AUP175" s="953"/>
      <c r="AUQ175" s="953"/>
      <c r="AUR175" s="953"/>
      <c r="AUS175" s="953"/>
      <c r="AUT175" s="953"/>
      <c r="AUU175" s="953"/>
      <c r="AUV175" s="953"/>
      <c r="AUW175" s="953"/>
      <c r="AUX175" s="953"/>
      <c r="AUY175" s="953"/>
      <c r="AUZ175" s="953"/>
      <c r="AVA175" s="953"/>
      <c r="AVB175" s="953"/>
      <c r="AVC175" s="953"/>
      <c r="AVD175" s="953"/>
      <c r="AVE175" s="953"/>
      <c r="AVF175" s="953"/>
      <c r="AVG175" s="953"/>
      <c r="AVH175" s="953"/>
      <c r="AVI175" s="953"/>
      <c r="AVJ175" s="953"/>
      <c r="AVK175" s="953"/>
      <c r="AVL175" s="953"/>
      <c r="AVM175" s="953"/>
      <c r="AVN175" s="953"/>
      <c r="AVO175" s="953"/>
      <c r="AVP175" s="953"/>
      <c r="AVQ175" s="953"/>
      <c r="AVR175" s="953"/>
      <c r="AVS175" s="953"/>
      <c r="AVT175" s="953"/>
      <c r="AVU175" s="953"/>
      <c r="AVV175" s="953"/>
      <c r="AVW175" s="953"/>
      <c r="AVX175" s="953"/>
      <c r="AVY175" s="953"/>
      <c r="AVZ175" s="953"/>
      <c r="AWA175" s="953"/>
      <c r="AWB175" s="953"/>
      <c r="AWC175" s="953"/>
      <c r="AWD175" s="953"/>
      <c r="AWE175" s="953"/>
      <c r="AWF175" s="953"/>
      <c r="AWG175" s="953"/>
      <c r="AWH175" s="953"/>
      <c r="AWI175" s="953"/>
      <c r="AWJ175" s="953"/>
      <c r="AWK175" s="953"/>
      <c r="AWL175" s="953"/>
      <c r="AWM175" s="953"/>
      <c r="AWN175" s="953"/>
      <c r="AWO175" s="953"/>
      <c r="AWP175" s="953"/>
      <c r="AWQ175" s="953"/>
      <c r="AWR175" s="953"/>
      <c r="AWS175" s="953"/>
      <c r="AWT175" s="953"/>
      <c r="AWU175" s="953"/>
      <c r="AWV175" s="953"/>
      <c r="AWW175" s="953"/>
      <c r="AWX175" s="953"/>
      <c r="AWY175" s="953"/>
      <c r="AWZ175" s="953"/>
      <c r="AXA175" s="953"/>
      <c r="AXB175" s="953"/>
      <c r="AXC175" s="953"/>
      <c r="AXD175" s="953"/>
      <c r="AXE175" s="953"/>
      <c r="AXF175" s="953"/>
      <c r="AXG175" s="953"/>
      <c r="AXH175" s="953"/>
      <c r="AXI175" s="953"/>
      <c r="AXJ175" s="953"/>
      <c r="AXK175" s="953"/>
      <c r="AXL175" s="953"/>
      <c r="AXM175" s="953"/>
      <c r="AXN175" s="953"/>
      <c r="AXO175" s="953"/>
      <c r="AXP175" s="953"/>
      <c r="AXQ175" s="953"/>
      <c r="AXR175" s="953"/>
      <c r="AXS175" s="953"/>
      <c r="AXT175" s="953"/>
      <c r="AXU175" s="953"/>
      <c r="AXV175" s="953"/>
      <c r="AXW175" s="953"/>
      <c r="AXX175" s="953"/>
      <c r="AXY175" s="953"/>
      <c r="AXZ175" s="953"/>
      <c r="AYA175" s="953"/>
      <c r="AYB175" s="953"/>
      <c r="AYC175" s="953"/>
      <c r="AYD175" s="953"/>
      <c r="AYE175" s="953"/>
      <c r="AYF175" s="953"/>
      <c r="AYG175" s="953"/>
      <c r="AYH175" s="953"/>
      <c r="AYI175" s="953"/>
      <c r="AYJ175" s="953"/>
      <c r="AYK175" s="953"/>
      <c r="AYL175" s="953"/>
      <c r="AYM175" s="953"/>
      <c r="AYN175" s="953"/>
      <c r="AYO175" s="953"/>
      <c r="AYP175" s="953"/>
      <c r="AYQ175" s="953"/>
      <c r="AYR175" s="953"/>
      <c r="AYS175" s="953"/>
      <c r="AYT175" s="953"/>
      <c r="AYU175" s="953"/>
      <c r="AYV175" s="953"/>
      <c r="AYW175" s="953"/>
      <c r="AYX175" s="953"/>
      <c r="AYY175" s="953"/>
      <c r="AYZ175" s="953"/>
      <c r="AZA175" s="953"/>
      <c r="AZB175" s="953"/>
      <c r="AZC175" s="953"/>
      <c r="AZD175" s="953"/>
      <c r="AZE175" s="953"/>
      <c r="AZF175" s="953"/>
      <c r="AZG175" s="953"/>
      <c r="AZH175" s="953"/>
      <c r="AZI175" s="953"/>
      <c r="AZJ175" s="953"/>
      <c r="AZK175" s="953"/>
      <c r="AZL175" s="953"/>
      <c r="AZM175" s="953"/>
      <c r="AZN175" s="953"/>
      <c r="AZO175" s="953"/>
      <c r="AZP175" s="953"/>
      <c r="AZQ175" s="953"/>
      <c r="AZR175" s="953"/>
      <c r="AZS175" s="953"/>
      <c r="AZT175" s="953"/>
      <c r="AZU175" s="953"/>
      <c r="AZV175" s="953"/>
      <c r="AZW175" s="953"/>
      <c r="AZX175" s="953"/>
      <c r="AZY175" s="953"/>
      <c r="AZZ175" s="953"/>
      <c r="BAA175" s="953"/>
      <c r="BAB175" s="953"/>
      <c r="BAC175" s="953"/>
      <c r="BAD175" s="953"/>
      <c r="BAE175" s="953"/>
      <c r="BAF175" s="953"/>
      <c r="BAG175" s="953"/>
      <c r="BAH175" s="953"/>
      <c r="BAI175" s="953"/>
      <c r="BAJ175" s="953"/>
      <c r="BAK175" s="953"/>
      <c r="BAL175" s="953"/>
      <c r="BAM175" s="953"/>
      <c r="BAN175" s="953"/>
      <c r="BAO175" s="953"/>
      <c r="BAP175" s="953"/>
      <c r="BAQ175" s="953"/>
      <c r="BAR175" s="953"/>
      <c r="BAS175" s="953"/>
      <c r="BAT175" s="953"/>
      <c r="BAU175" s="953"/>
      <c r="BAV175" s="953"/>
      <c r="BAW175" s="953"/>
      <c r="BAX175" s="953"/>
      <c r="BAY175" s="953"/>
      <c r="BAZ175" s="953"/>
      <c r="BBA175" s="953"/>
      <c r="BBB175" s="953"/>
      <c r="BBC175" s="953"/>
      <c r="BBD175" s="953"/>
      <c r="BBE175" s="953"/>
      <c r="BBF175" s="953"/>
      <c r="BBG175" s="953"/>
      <c r="BBH175" s="953"/>
      <c r="BBI175" s="953"/>
      <c r="BBJ175" s="953"/>
      <c r="BBK175" s="953"/>
      <c r="BBL175" s="953"/>
      <c r="BBM175" s="953"/>
      <c r="BBN175" s="953"/>
      <c r="BBO175" s="953"/>
      <c r="BBP175" s="953"/>
      <c r="BBQ175" s="953"/>
      <c r="BBR175" s="953"/>
      <c r="BBS175" s="953"/>
      <c r="BBT175" s="953"/>
      <c r="BBU175" s="953"/>
      <c r="BBV175" s="953"/>
      <c r="BBW175" s="953"/>
      <c r="BBX175" s="953"/>
      <c r="BBY175" s="953"/>
      <c r="BBZ175" s="953"/>
      <c r="BCA175" s="953"/>
      <c r="BCB175" s="953"/>
      <c r="BCC175" s="953"/>
      <c r="BCD175" s="953"/>
      <c r="BCE175" s="953"/>
      <c r="BCF175" s="953"/>
      <c r="BCG175" s="953"/>
      <c r="BCH175" s="953"/>
      <c r="BCI175" s="953"/>
      <c r="BCJ175" s="953"/>
      <c r="BCK175" s="953"/>
      <c r="BCL175" s="953"/>
      <c r="BCM175" s="953"/>
      <c r="BCN175" s="953"/>
      <c r="BCO175" s="953"/>
      <c r="BCP175" s="953"/>
      <c r="BCQ175" s="953"/>
      <c r="BCR175" s="953"/>
      <c r="BCS175" s="953"/>
      <c r="BCT175" s="953"/>
      <c r="BCU175" s="953"/>
      <c r="BCV175" s="953"/>
      <c r="BCW175" s="953"/>
      <c r="BCX175" s="953"/>
      <c r="BCY175" s="953"/>
      <c r="BCZ175" s="953"/>
      <c r="BDA175" s="953"/>
      <c r="BDB175" s="953"/>
      <c r="BDC175" s="953"/>
      <c r="BDD175" s="953"/>
      <c r="BDE175" s="953"/>
      <c r="BDF175" s="953"/>
      <c r="BDG175" s="953"/>
      <c r="BDH175" s="953"/>
      <c r="BDI175" s="953"/>
      <c r="BDJ175" s="953"/>
      <c r="BDK175" s="953"/>
      <c r="BDL175" s="953"/>
      <c r="BDM175" s="953"/>
      <c r="BDN175" s="953"/>
      <c r="BDO175" s="953"/>
      <c r="BDP175" s="953"/>
      <c r="BDQ175" s="953"/>
      <c r="BDR175" s="953"/>
      <c r="BDS175" s="953"/>
      <c r="BDT175" s="953"/>
      <c r="BDU175" s="953"/>
      <c r="BDV175" s="953"/>
      <c r="BDW175" s="953"/>
      <c r="BDX175" s="953"/>
      <c r="BDY175" s="953"/>
      <c r="BDZ175" s="953"/>
      <c r="BEA175" s="953"/>
      <c r="BEB175" s="953"/>
      <c r="BEC175" s="953"/>
      <c r="BED175" s="953"/>
      <c r="BEE175" s="953"/>
      <c r="BEF175" s="953"/>
      <c r="BEG175" s="953"/>
      <c r="BEH175" s="953"/>
      <c r="BEI175" s="953"/>
      <c r="BEJ175" s="953"/>
      <c r="BEK175" s="953"/>
      <c r="BEL175" s="953"/>
      <c r="BEM175" s="953"/>
      <c r="BEN175" s="953"/>
      <c r="BEO175" s="953"/>
      <c r="BEP175" s="953"/>
      <c r="BEQ175" s="953"/>
      <c r="BER175" s="953"/>
      <c r="BES175" s="953"/>
      <c r="BET175" s="953"/>
      <c r="BEU175" s="953"/>
      <c r="BEV175" s="953"/>
      <c r="BEW175" s="953"/>
      <c r="BEX175" s="953"/>
      <c r="BEY175" s="953"/>
      <c r="BEZ175" s="953"/>
      <c r="BFA175" s="953"/>
      <c r="BFB175" s="953"/>
      <c r="BFC175" s="953"/>
      <c r="BFD175" s="953"/>
      <c r="BFE175" s="953"/>
      <c r="BFF175" s="953"/>
      <c r="BFG175" s="953"/>
      <c r="BFH175" s="953"/>
      <c r="BFI175" s="953"/>
      <c r="BFJ175" s="953"/>
      <c r="BFK175" s="953"/>
      <c r="BFL175" s="953"/>
      <c r="BFM175" s="953"/>
      <c r="BFN175" s="953"/>
      <c r="BFO175" s="953"/>
      <c r="BFP175" s="953"/>
      <c r="BFQ175" s="953"/>
      <c r="BFR175" s="953"/>
      <c r="BFS175" s="953"/>
      <c r="BFT175" s="953"/>
      <c r="BFU175" s="953"/>
      <c r="BFV175" s="953"/>
      <c r="BFW175" s="953"/>
      <c r="BFX175" s="953"/>
      <c r="BFY175" s="953"/>
      <c r="BFZ175" s="953"/>
      <c r="BGA175" s="953"/>
      <c r="BGB175" s="953"/>
      <c r="BGC175" s="953"/>
      <c r="BGD175" s="953"/>
      <c r="BGE175" s="953"/>
      <c r="BGF175" s="953"/>
      <c r="BGG175" s="953"/>
      <c r="BGH175" s="953"/>
      <c r="BGI175" s="953"/>
      <c r="BGJ175" s="953"/>
      <c r="BGK175" s="953"/>
      <c r="BGL175" s="953"/>
      <c r="BGM175" s="953"/>
      <c r="BGN175" s="953"/>
      <c r="BGO175" s="953"/>
      <c r="BGP175" s="953"/>
      <c r="BGQ175" s="953"/>
      <c r="BGR175" s="953"/>
      <c r="BGS175" s="953"/>
      <c r="BGT175" s="953"/>
      <c r="BGU175" s="953"/>
      <c r="BGV175" s="953"/>
      <c r="BGW175" s="953"/>
      <c r="BGX175" s="953"/>
      <c r="BGY175" s="953"/>
      <c r="BGZ175" s="953"/>
      <c r="BHA175" s="953"/>
      <c r="BHB175" s="953"/>
      <c r="BHC175" s="953"/>
      <c r="BHD175" s="953"/>
      <c r="BHE175" s="953"/>
      <c r="BHF175" s="953"/>
      <c r="BHG175" s="953"/>
      <c r="BHH175" s="953"/>
      <c r="BHI175" s="953"/>
      <c r="BHJ175" s="953"/>
      <c r="BHK175" s="953"/>
      <c r="BHL175" s="953"/>
      <c r="BHM175" s="953"/>
      <c r="BHN175" s="953"/>
      <c r="BHO175" s="953"/>
      <c r="BHP175" s="953"/>
      <c r="BHQ175" s="953"/>
      <c r="BHR175" s="953"/>
      <c r="BHS175" s="953"/>
      <c r="BHT175" s="953"/>
      <c r="BHU175" s="953"/>
      <c r="BHV175" s="953"/>
      <c r="BHW175" s="953"/>
      <c r="BHX175" s="953"/>
      <c r="BHY175" s="953"/>
      <c r="BHZ175" s="953"/>
      <c r="BIA175" s="953"/>
      <c r="BIB175" s="953"/>
      <c r="BIC175" s="953"/>
      <c r="BID175" s="953"/>
      <c r="BIE175" s="953"/>
      <c r="BIF175" s="953"/>
      <c r="BIG175" s="953"/>
      <c r="BIH175" s="953"/>
      <c r="BII175" s="953"/>
      <c r="BIJ175" s="953"/>
      <c r="BIK175" s="953"/>
      <c r="BIL175" s="953"/>
      <c r="BIM175" s="953"/>
      <c r="BIN175" s="953"/>
      <c r="BIO175" s="953"/>
      <c r="BIP175" s="953"/>
      <c r="BIQ175" s="953"/>
      <c r="BIR175" s="953"/>
      <c r="BIS175" s="953"/>
      <c r="BIT175" s="953"/>
      <c r="BIU175" s="953"/>
      <c r="BIV175" s="953"/>
      <c r="BIW175" s="953"/>
      <c r="BIX175" s="953"/>
      <c r="BIY175" s="953"/>
      <c r="BIZ175" s="953"/>
      <c r="BJA175" s="953"/>
      <c r="BJB175" s="953"/>
      <c r="BJC175" s="953"/>
      <c r="BJD175" s="953"/>
      <c r="BJE175" s="953"/>
      <c r="BJF175" s="953"/>
      <c r="BJG175" s="953"/>
      <c r="BJH175" s="953"/>
      <c r="BJI175" s="953"/>
      <c r="BJJ175" s="953"/>
      <c r="BJK175" s="953"/>
      <c r="BJL175" s="953"/>
      <c r="BJM175" s="953"/>
      <c r="BJN175" s="953"/>
      <c r="BJO175" s="953"/>
      <c r="BJP175" s="953"/>
      <c r="BJQ175" s="953"/>
      <c r="BJR175" s="953"/>
      <c r="BJS175" s="953"/>
      <c r="BJT175" s="953"/>
      <c r="BJU175" s="953"/>
      <c r="BJV175" s="953"/>
      <c r="BJW175" s="953"/>
      <c r="BJX175" s="953"/>
      <c r="BJY175" s="953"/>
      <c r="BJZ175" s="953"/>
      <c r="BKA175" s="953"/>
      <c r="BKB175" s="953"/>
      <c r="BKC175" s="953"/>
      <c r="BKD175" s="953"/>
      <c r="BKE175" s="953"/>
      <c r="BKF175" s="953"/>
      <c r="BKG175" s="953"/>
      <c r="BKH175" s="953"/>
      <c r="BKI175" s="953"/>
      <c r="BKJ175" s="953"/>
      <c r="BKK175" s="953"/>
      <c r="BKL175" s="953"/>
      <c r="BKM175" s="953"/>
      <c r="BKN175" s="953"/>
      <c r="BKO175" s="953"/>
      <c r="BKP175" s="953"/>
      <c r="BKQ175" s="953"/>
      <c r="BKR175" s="953"/>
      <c r="BKS175" s="953"/>
      <c r="BKT175" s="953"/>
      <c r="BKU175" s="953"/>
      <c r="BKV175" s="953"/>
      <c r="BKW175" s="953"/>
      <c r="BKX175" s="953"/>
      <c r="BKY175" s="953"/>
      <c r="BKZ175" s="953"/>
      <c r="BLA175" s="953"/>
      <c r="BLB175" s="953"/>
      <c r="BLC175" s="953"/>
      <c r="BLD175" s="953"/>
      <c r="BLE175" s="953"/>
      <c r="BLF175" s="953"/>
      <c r="BLG175" s="953"/>
      <c r="BLH175" s="953"/>
      <c r="BLI175" s="953"/>
      <c r="BLJ175" s="953"/>
      <c r="BLK175" s="953"/>
      <c r="BLL175" s="953"/>
      <c r="BLM175" s="953"/>
      <c r="BLN175" s="953"/>
      <c r="BLO175" s="953"/>
      <c r="BLP175" s="953"/>
      <c r="BLQ175" s="953"/>
      <c r="BLR175" s="953"/>
      <c r="BLS175" s="953"/>
      <c r="BLT175" s="953"/>
      <c r="BLU175" s="953"/>
      <c r="BLV175" s="953"/>
      <c r="BLW175" s="953"/>
      <c r="BLX175" s="953"/>
      <c r="BLY175" s="953"/>
      <c r="BLZ175" s="953"/>
      <c r="BMA175" s="953"/>
      <c r="BMB175" s="953"/>
      <c r="BMC175" s="953"/>
      <c r="BMD175" s="953"/>
      <c r="BME175" s="953"/>
      <c r="BMF175" s="953"/>
      <c r="BMG175" s="953"/>
      <c r="BMH175" s="953"/>
      <c r="BMI175" s="953"/>
      <c r="BMJ175" s="953"/>
      <c r="BMK175" s="953"/>
      <c r="BML175" s="953"/>
      <c r="BMM175" s="953"/>
      <c r="BMN175" s="953"/>
      <c r="BMO175" s="953"/>
      <c r="BMP175" s="953"/>
      <c r="BMQ175" s="953"/>
      <c r="BMR175" s="953"/>
      <c r="BMS175" s="953"/>
      <c r="BMT175" s="953"/>
      <c r="BMU175" s="953"/>
      <c r="BMV175" s="953"/>
      <c r="BMW175" s="953"/>
      <c r="BMX175" s="953"/>
      <c r="BMY175" s="953"/>
      <c r="BMZ175" s="953"/>
      <c r="BNA175" s="953"/>
      <c r="BNB175" s="953"/>
      <c r="BNC175" s="953"/>
      <c r="BND175" s="953"/>
      <c r="BNE175" s="953"/>
      <c r="BNF175" s="953"/>
      <c r="BNG175" s="953"/>
      <c r="BNH175" s="953"/>
      <c r="BNI175" s="953"/>
      <c r="BNJ175" s="953"/>
      <c r="BNK175" s="953"/>
      <c r="BNL175" s="953"/>
      <c r="BNM175" s="953"/>
      <c r="BNN175" s="953"/>
      <c r="BNO175" s="953"/>
      <c r="BNP175" s="953"/>
      <c r="BNQ175" s="953"/>
      <c r="BNR175" s="953"/>
      <c r="BNS175" s="953"/>
      <c r="BNT175" s="953"/>
      <c r="BNU175" s="953"/>
      <c r="BNV175" s="953"/>
      <c r="BNW175" s="953"/>
      <c r="BNX175" s="953"/>
      <c r="BNY175" s="953"/>
      <c r="BNZ175" s="953"/>
      <c r="BOA175" s="953"/>
      <c r="BOB175" s="953"/>
      <c r="BOC175" s="953"/>
      <c r="BOD175" s="953"/>
      <c r="BOE175" s="953"/>
      <c r="BOF175" s="953"/>
      <c r="BOG175" s="953"/>
      <c r="BOH175" s="953"/>
      <c r="BOI175" s="953"/>
      <c r="BOJ175" s="953"/>
      <c r="BOK175" s="953"/>
      <c r="BOL175" s="953"/>
      <c r="BOM175" s="953"/>
      <c r="BON175" s="953"/>
      <c r="BOO175" s="953"/>
      <c r="BOP175" s="953"/>
      <c r="BOQ175" s="953"/>
      <c r="BOR175" s="953"/>
      <c r="BOS175" s="953"/>
      <c r="BOT175" s="953"/>
      <c r="BOU175" s="953"/>
      <c r="BOV175" s="953"/>
      <c r="BOW175" s="953"/>
      <c r="BOX175" s="953"/>
      <c r="BOY175" s="953"/>
      <c r="BOZ175" s="953"/>
      <c r="BPA175" s="953"/>
      <c r="BPB175" s="953"/>
      <c r="BPC175" s="953"/>
      <c r="BPD175" s="953"/>
      <c r="BPE175" s="953"/>
      <c r="BPF175" s="953"/>
      <c r="BPG175" s="953"/>
      <c r="BPH175" s="953"/>
      <c r="BPI175" s="953"/>
      <c r="BPJ175" s="953"/>
      <c r="BPK175" s="953"/>
      <c r="BPL175" s="953"/>
      <c r="BPM175" s="953"/>
      <c r="BPN175" s="953"/>
      <c r="BPO175" s="953"/>
      <c r="BPP175" s="953"/>
      <c r="BPQ175" s="953"/>
      <c r="BPR175" s="953"/>
      <c r="BPS175" s="953"/>
      <c r="BPT175" s="953"/>
      <c r="BPU175" s="953"/>
      <c r="BPV175" s="953"/>
      <c r="BPW175" s="953"/>
      <c r="BPX175" s="953"/>
      <c r="BPY175" s="953"/>
      <c r="BPZ175" s="953"/>
      <c r="BQA175" s="953"/>
      <c r="BQB175" s="953"/>
      <c r="BQC175" s="953"/>
      <c r="BQD175" s="953"/>
      <c r="BQE175" s="953"/>
      <c r="BQF175" s="953"/>
      <c r="BQG175" s="953"/>
      <c r="BQH175" s="953"/>
      <c r="BQI175" s="953"/>
      <c r="BQJ175" s="953"/>
      <c r="BQK175" s="953"/>
      <c r="BQL175" s="953"/>
      <c r="BQM175" s="953"/>
      <c r="BQN175" s="953"/>
      <c r="BQO175" s="953"/>
      <c r="BQP175" s="953"/>
      <c r="BQQ175" s="953"/>
      <c r="BQR175" s="953"/>
      <c r="BQS175" s="953"/>
      <c r="BQT175" s="953"/>
      <c r="BQU175" s="953"/>
      <c r="BQV175" s="953"/>
      <c r="BQW175" s="953"/>
      <c r="BQX175" s="953"/>
      <c r="BQY175" s="953"/>
      <c r="BQZ175" s="953"/>
      <c r="BRA175" s="953"/>
      <c r="BRB175" s="953"/>
      <c r="BRC175" s="953"/>
      <c r="BRD175" s="953"/>
      <c r="BRE175" s="953"/>
      <c r="BRF175" s="953"/>
      <c r="BRG175" s="953"/>
      <c r="BRH175" s="953"/>
      <c r="BRI175" s="953"/>
      <c r="BRJ175" s="953"/>
      <c r="BRK175" s="953"/>
      <c r="BRL175" s="953"/>
      <c r="BRM175" s="953"/>
      <c r="BRN175" s="953"/>
      <c r="BRO175" s="953"/>
      <c r="BRP175" s="953"/>
      <c r="BRQ175" s="953"/>
      <c r="BRR175" s="953"/>
      <c r="BRS175" s="953"/>
      <c r="BRT175" s="953"/>
      <c r="BRU175" s="953"/>
      <c r="BRV175" s="953"/>
      <c r="BRW175" s="953"/>
      <c r="BRX175" s="953"/>
      <c r="BRY175" s="953"/>
      <c r="BRZ175" s="953"/>
      <c r="BSA175" s="953"/>
      <c r="BSB175" s="953"/>
      <c r="BSC175" s="953"/>
      <c r="BSD175" s="953"/>
      <c r="BSE175" s="953"/>
      <c r="BSF175" s="953"/>
      <c r="BSG175" s="953"/>
      <c r="BSH175" s="953"/>
      <c r="BSI175" s="953"/>
      <c r="BSJ175" s="953"/>
      <c r="BSK175" s="953"/>
      <c r="BSL175" s="953"/>
      <c r="BSM175" s="953"/>
      <c r="BSN175" s="953"/>
      <c r="BSO175" s="953"/>
      <c r="BSP175" s="953"/>
      <c r="BSQ175" s="953"/>
      <c r="BSR175" s="953"/>
      <c r="BSS175" s="953"/>
      <c r="BST175" s="953"/>
      <c r="BSU175" s="953"/>
      <c r="BSV175" s="953"/>
      <c r="BSW175" s="953"/>
      <c r="BSX175" s="953"/>
      <c r="BSY175" s="953"/>
      <c r="BSZ175" s="953"/>
      <c r="BTA175" s="953"/>
      <c r="BTB175" s="953"/>
      <c r="BTC175" s="953"/>
      <c r="BTD175" s="953"/>
      <c r="BTE175" s="953"/>
      <c r="BTF175" s="953"/>
      <c r="BTG175" s="953"/>
      <c r="BTH175" s="953"/>
      <c r="BTI175" s="953"/>
      <c r="BTJ175" s="953"/>
      <c r="BTK175" s="953"/>
      <c r="BTL175" s="953"/>
      <c r="BTM175" s="953"/>
      <c r="BTN175" s="953"/>
      <c r="BTO175" s="953"/>
      <c r="BTP175" s="953"/>
      <c r="BTQ175" s="953"/>
      <c r="BTR175" s="953"/>
      <c r="BTS175" s="953"/>
      <c r="BTT175" s="953"/>
      <c r="BTU175" s="953"/>
      <c r="BTV175" s="953"/>
      <c r="BTW175" s="953"/>
      <c r="BTX175" s="953"/>
      <c r="BTY175" s="953"/>
      <c r="BTZ175" s="953"/>
      <c r="BUA175" s="953"/>
      <c r="BUB175" s="953"/>
      <c r="BUC175" s="953"/>
      <c r="BUD175" s="953"/>
      <c r="BUE175" s="953"/>
      <c r="BUF175" s="953"/>
      <c r="BUG175" s="953"/>
      <c r="BUH175" s="953"/>
      <c r="BUI175" s="953"/>
      <c r="BUJ175" s="953"/>
      <c r="BUK175" s="953"/>
      <c r="BUL175" s="953"/>
      <c r="BUM175" s="953"/>
      <c r="BUN175" s="953"/>
      <c r="BUO175" s="953"/>
      <c r="BUP175" s="953"/>
      <c r="BUQ175" s="953"/>
      <c r="BUR175" s="953"/>
      <c r="BUS175" s="953"/>
      <c r="BUT175" s="953"/>
      <c r="BUU175" s="953"/>
      <c r="BUV175" s="953"/>
      <c r="BUW175" s="953"/>
      <c r="BUX175" s="953"/>
      <c r="BUY175" s="953"/>
      <c r="BUZ175" s="953"/>
      <c r="BVA175" s="953"/>
      <c r="BVB175" s="953"/>
      <c r="BVC175" s="953"/>
      <c r="BVD175" s="953"/>
      <c r="BVE175" s="953"/>
      <c r="BVF175" s="953"/>
      <c r="BVG175" s="953"/>
      <c r="BVH175" s="953"/>
      <c r="BVI175" s="953"/>
      <c r="BVJ175" s="953"/>
      <c r="BVK175" s="953"/>
      <c r="BVL175" s="953"/>
      <c r="BVM175" s="953"/>
      <c r="BVN175" s="953"/>
      <c r="BVO175" s="953"/>
      <c r="BVP175" s="953"/>
      <c r="BVQ175" s="953"/>
      <c r="BVR175" s="953"/>
      <c r="BVS175" s="953"/>
      <c r="BVT175" s="953"/>
      <c r="BVU175" s="953"/>
      <c r="BVV175" s="953"/>
      <c r="BVW175" s="953"/>
      <c r="BVX175" s="953"/>
      <c r="BVY175" s="953"/>
      <c r="BVZ175" s="953"/>
      <c r="BWA175" s="953"/>
      <c r="BWB175" s="953"/>
      <c r="BWC175" s="953"/>
      <c r="BWD175" s="953"/>
      <c r="BWE175" s="953"/>
      <c r="BWF175" s="953"/>
      <c r="BWG175" s="953"/>
      <c r="BWH175" s="953"/>
      <c r="BWI175" s="953"/>
      <c r="BWJ175" s="953"/>
      <c r="BWK175" s="953"/>
      <c r="BWL175" s="953"/>
      <c r="BWM175" s="953"/>
      <c r="BWN175" s="953"/>
      <c r="BWO175" s="953"/>
      <c r="BWP175" s="953"/>
      <c r="BWQ175" s="953"/>
      <c r="BWR175" s="953"/>
      <c r="BWS175" s="953"/>
      <c r="BWT175" s="953"/>
      <c r="BWU175" s="953"/>
      <c r="BWV175" s="953"/>
      <c r="BWW175" s="953"/>
      <c r="BWX175" s="953"/>
      <c r="BWY175" s="953"/>
      <c r="BWZ175" s="953"/>
      <c r="BXA175" s="953"/>
      <c r="BXB175" s="953"/>
      <c r="BXC175" s="953"/>
      <c r="BXD175" s="953"/>
      <c r="BXE175" s="953"/>
      <c r="BXF175" s="953"/>
      <c r="BXG175" s="953"/>
      <c r="BXH175" s="953"/>
      <c r="BXI175" s="953"/>
      <c r="BXJ175" s="953"/>
      <c r="BXK175" s="953"/>
      <c r="BXL175" s="953"/>
      <c r="BXM175" s="953"/>
      <c r="BXN175" s="953"/>
      <c r="BXO175" s="953"/>
      <c r="BXP175" s="953"/>
      <c r="BXQ175" s="953"/>
      <c r="BXR175" s="953"/>
      <c r="BXS175" s="953"/>
      <c r="BXT175" s="953"/>
      <c r="BXU175" s="953"/>
      <c r="BXV175" s="953"/>
      <c r="BXW175" s="953"/>
      <c r="BXX175" s="953"/>
      <c r="BXY175" s="953"/>
      <c r="BXZ175" s="953"/>
      <c r="BYA175" s="953"/>
      <c r="BYB175" s="953"/>
      <c r="BYC175" s="953"/>
      <c r="BYD175" s="953"/>
      <c r="BYE175" s="953"/>
      <c r="BYF175" s="953"/>
      <c r="BYG175" s="953"/>
      <c r="BYH175" s="953"/>
      <c r="BYI175" s="953"/>
      <c r="BYJ175" s="953"/>
      <c r="BYK175" s="953"/>
      <c r="BYL175" s="953"/>
      <c r="BYM175" s="953"/>
      <c r="BYN175" s="953"/>
      <c r="BYO175" s="953"/>
      <c r="BYP175" s="953"/>
      <c r="BYQ175" s="953"/>
      <c r="BYR175" s="953"/>
      <c r="BYS175" s="953"/>
      <c r="BYT175" s="953"/>
      <c r="BYU175" s="953"/>
      <c r="BYV175" s="953"/>
      <c r="BYW175" s="953"/>
      <c r="BYX175" s="953"/>
      <c r="BYY175" s="953"/>
      <c r="BYZ175" s="953"/>
      <c r="BZA175" s="953"/>
      <c r="BZB175" s="953"/>
      <c r="BZC175" s="953"/>
      <c r="BZD175" s="953"/>
      <c r="BZE175" s="953"/>
      <c r="BZF175" s="953"/>
      <c r="BZG175" s="953"/>
      <c r="BZH175" s="953"/>
      <c r="BZI175" s="953"/>
      <c r="BZJ175" s="953"/>
      <c r="BZK175" s="953"/>
      <c r="BZL175" s="953"/>
      <c r="BZM175" s="953"/>
      <c r="BZN175" s="953"/>
      <c r="BZO175" s="953"/>
      <c r="BZP175" s="953"/>
      <c r="BZQ175" s="953"/>
      <c r="BZR175" s="953"/>
      <c r="BZS175" s="953"/>
      <c r="BZT175" s="953"/>
      <c r="BZU175" s="953"/>
      <c r="BZV175" s="953"/>
      <c r="BZW175" s="953"/>
      <c r="BZX175" s="953"/>
      <c r="BZY175" s="953"/>
      <c r="BZZ175" s="953"/>
      <c r="CAA175" s="953"/>
      <c r="CAB175" s="953"/>
      <c r="CAC175" s="953"/>
      <c r="CAD175" s="953"/>
      <c r="CAE175" s="953"/>
      <c r="CAF175" s="953"/>
      <c r="CAG175" s="953"/>
      <c r="CAH175" s="953"/>
      <c r="CAI175" s="953"/>
      <c r="CAJ175" s="953"/>
      <c r="CAK175" s="953"/>
      <c r="CAL175" s="953"/>
      <c r="CAM175" s="953"/>
      <c r="CAN175" s="953"/>
      <c r="CAO175" s="953"/>
      <c r="CAP175" s="953"/>
      <c r="CAQ175" s="953"/>
      <c r="CAR175" s="953"/>
      <c r="CAS175" s="953"/>
      <c r="CAT175" s="953"/>
      <c r="CAU175" s="953"/>
      <c r="CAV175" s="953"/>
      <c r="CAW175" s="953"/>
      <c r="CAX175" s="953"/>
      <c r="CAY175" s="953"/>
      <c r="CAZ175" s="953"/>
      <c r="CBA175" s="953"/>
      <c r="CBB175" s="953"/>
      <c r="CBC175" s="953"/>
      <c r="CBD175" s="953"/>
      <c r="CBE175" s="953"/>
      <c r="CBF175" s="953"/>
      <c r="CBG175" s="953"/>
      <c r="CBH175" s="953"/>
      <c r="CBI175" s="953"/>
      <c r="CBJ175" s="953"/>
      <c r="CBK175" s="953"/>
      <c r="CBL175" s="953"/>
      <c r="CBM175" s="953"/>
      <c r="CBN175" s="953"/>
      <c r="CBO175" s="953"/>
      <c r="CBP175" s="953"/>
      <c r="CBQ175" s="953"/>
      <c r="CBR175" s="953"/>
      <c r="CBS175" s="953"/>
      <c r="CBT175" s="953"/>
      <c r="CBU175" s="953"/>
      <c r="CBV175" s="953"/>
      <c r="CBW175" s="953"/>
      <c r="CBX175" s="953"/>
      <c r="CBY175" s="953"/>
      <c r="CBZ175" s="953"/>
      <c r="CCA175" s="953"/>
      <c r="CCB175" s="953"/>
      <c r="CCC175" s="953"/>
      <c r="CCD175" s="953"/>
      <c r="CCE175" s="953"/>
      <c r="CCF175" s="953"/>
      <c r="CCG175" s="953"/>
      <c r="CCH175" s="953"/>
      <c r="CCI175" s="953"/>
      <c r="CCJ175" s="953"/>
      <c r="CCK175" s="953"/>
      <c r="CCL175" s="953"/>
      <c r="CCM175" s="953"/>
      <c r="CCN175" s="953"/>
      <c r="CCO175" s="953"/>
      <c r="CCP175" s="953"/>
      <c r="CCQ175" s="953"/>
      <c r="CCR175" s="953"/>
      <c r="CCS175" s="953"/>
      <c r="CCT175" s="953"/>
      <c r="CCU175" s="953"/>
      <c r="CCV175" s="953"/>
      <c r="CCW175" s="953"/>
      <c r="CCX175" s="953"/>
      <c r="CCY175" s="953"/>
      <c r="CCZ175" s="953"/>
      <c r="CDA175" s="953"/>
      <c r="CDB175" s="953"/>
      <c r="CDC175" s="953"/>
      <c r="CDD175" s="953"/>
      <c r="CDE175" s="953"/>
      <c r="CDF175" s="953"/>
      <c r="CDG175" s="953"/>
      <c r="CDH175" s="953"/>
      <c r="CDI175" s="953"/>
      <c r="CDJ175" s="953"/>
      <c r="CDK175" s="953"/>
      <c r="CDL175" s="953"/>
      <c r="CDM175" s="953"/>
      <c r="CDN175" s="953"/>
      <c r="CDO175" s="953"/>
      <c r="CDP175" s="953"/>
      <c r="CDQ175" s="953"/>
      <c r="CDR175" s="953"/>
      <c r="CDS175" s="953"/>
      <c r="CDT175" s="953"/>
      <c r="CDU175" s="953"/>
      <c r="CDV175" s="953"/>
      <c r="CDW175" s="953"/>
      <c r="CDX175" s="953"/>
      <c r="CDY175" s="953"/>
      <c r="CDZ175" s="953"/>
      <c r="CEA175" s="953"/>
      <c r="CEB175" s="953"/>
      <c r="CEC175" s="953"/>
      <c r="CED175" s="953"/>
      <c r="CEE175" s="953"/>
      <c r="CEF175" s="953"/>
      <c r="CEG175" s="953"/>
      <c r="CEH175" s="953"/>
      <c r="CEI175" s="953"/>
      <c r="CEJ175" s="953"/>
      <c r="CEK175" s="953"/>
      <c r="CEL175" s="953"/>
      <c r="CEM175" s="953"/>
      <c r="CEN175" s="953"/>
      <c r="CEO175" s="953"/>
      <c r="CEP175" s="953"/>
      <c r="CEQ175" s="953"/>
      <c r="CER175" s="953"/>
      <c r="CES175" s="953"/>
      <c r="CET175" s="953"/>
      <c r="CEU175" s="953"/>
      <c r="CEV175" s="953"/>
      <c r="CEW175" s="953"/>
      <c r="CEX175" s="953"/>
      <c r="CEY175" s="953"/>
      <c r="CEZ175" s="953"/>
      <c r="CFA175" s="953"/>
      <c r="CFB175" s="953"/>
      <c r="CFC175" s="953"/>
      <c r="CFD175" s="953"/>
      <c r="CFE175" s="953"/>
      <c r="CFF175" s="953"/>
      <c r="CFG175" s="953"/>
      <c r="CFH175" s="953"/>
      <c r="CFI175" s="953"/>
      <c r="CFJ175" s="953"/>
      <c r="CFK175" s="953"/>
      <c r="CFL175" s="953"/>
      <c r="CFM175" s="953"/>
      <c r="CFN175" s="953"/>
      <c r="CFO175" s="953"/>
      <c r="CFP175" s="953"/>
      <c r="CFQ175" s="953"/>
      <c r="CFR175" s="953"/>
      <c r="CFS175" s="953"/>
      <c r="CFT175" s="953"/>
      <c r="CFU175" s="953"/>
      <c r="CFV175" s="953"/>
      <c r="CFW175" s="953"/>
      <c r="CFX175" s="953"/>
      <c r="CFY175" s="953"/>
      <c r="CFZ175" s="953"/>
      <c r="CGA175" s="953"/>
      <c r="CGB175" s="953"/>
      <c r="CGC175" s="953"/>
      <c r="CGD175" s="953"/>
      <c r="CGE175" s="953"/>
      <c r="CGF175" s="953"/>
      <c r="CGG175" s="953"/>
      <c r="CGH175" s="953"/>
      <c r="CGI175" s="953"/>
      <c r="CGJ175" s="953"/>
      <c r="CGK175" s="953"/>
      <c r="CGL175" s="953"/>
      <c r="CGM175" s="953"/>
      <c r="CGN175" s="953"/>
      <c r="CGO175" s="953"/>
      <c r="CGP175" s="953"/>
      <c r="CGQ175" s="953"/>
      <c r="CGR175" s="953"/>
      <c r="CGS175" s="953"/>
      <c r="CGT175" s="953"/>
      <c r="CGU175" s="953"/>
      <c r="CGV175" s="953"/>
      <c r="CGW175" s="953"/>
      <c r="CGX175" s="953"/>
      <c r="CGY175" s="953"/>
      <c r="CGZ175" s="953"/>
      <c r="CHA175" s="953"/>
      <c r="CHB175" s="953"/>
      <c r="CHC175" s="953"/>
      <c r="CHD175" s="953"/>
      <c r="CHE175" s="953"/>
      <c r="CHF175" s="953"/>
      <c r="CHG175" s="953"/>
      <c r="CHH175" s="953"/>
      <c r="CHI175" s="953"/>
      <c r="CHJ175" s="953"/>
      <c r="CHK175" s="953"/>
      <c r="CHL175" s="953"/>
      <c r="CHM175" s="953"/>
      <c r="CHN175" s="953"/>
      <c r="CHO175" s="953"/>
      <c r="CHP175" s="953"/>
      <c r="CHQ175" s="953"/>
      <c r="CHR175" s="953"/>
      <c r="CHS175" s="953"/>
      <c r="CHT175" s="953"/>
      <c r="CHU175" s="953"/>
      <c r="CHV175" s="953"/>
      <c r="CHW175" s="953"/>
      <c r="CHX175" s="953"/>
      <c r="CHY175" s="953"/>
      <c r="CHZ175" s="953"/>
      <c r="CIA175" s="953"/>
      <c r="CIB175" s="953"/>
      <c r="CIC175" s="953"/>
      <c r="CID175" s="953"/>
      <c r="CIE175" s="953"/>
      <c r="CIF175" s="953"/>
      <c r="CIG175" s="953"/>
      <c r="CIH175" s="953"/>
      <c r="CII175" s="953"/>
      <c r="CIJ175" s="953"/>
      <c r="CIK175" s="953"/>
      <c r="CIL175" s="953"/>
      <c r="CIM175" s="953"/>
      <c r="CIN175" s="953"/>
      <c r="CIO175" s="953"/>
      <c r="CIP175" s="953"/>
      <c r="CIQ175" s="953"/>
      <c r="CIR175" s="953"/>
      <c r="CIS175" s="953"/>
      <c r="CIT175" s="953"/>
      <c r="CIU175" s="953"/>
      <c r="CIV175" s="953"/>
      <c r="CIW175" s="953"/>
      <c r="CIX175" s="953"/>
      <c r="CIY175" s="953"/>
      <c r="CIZ175" s="953"/>
      <c r="CJA175" s="953"/>
      <c r="CJB175" s="953"/>
      <c r="CJC175" s="953"/>
      <c r="CJD175" s="953"/>
      <c r="CJE175" s="953"/>
      <c r="CJF175" s="953"/>
      <c r="CJG175" s="953"/>
      <c r="CJH175" s="953"/>
      <c r="CJI175" s="953"/>
      <c r="CJJ175" s="953"/>
      <c r="CJK175" s="953"/>
      <c r="CJL175" s="953"/>
      <c r="CJM175" s="953"/>
      <c r="CJN175" s="953"/>
      <c r="CJO175" s="953"/>
      <c r="CJP175" s="953"/>
      <c r="CJQ175" s="953"/>
      <c r="CJR175" s="953"/>
      <c r="CJS175" s="953"/>
      <c r="CJT175" s="953"/>
      <c r="CJU175" s="953"/>
      <c r="CJV175" s="953"/>
      <c r="CJW175" s="953"/>
      <c r="CJX175" s="953"/>
      <c r="CJY175" s="953"/>
      <c r="CJZ175" s="953"/>
      <c r="CKA175" s="953"/>
      <c r="CKB175" s="953"/>
      <c r="CKC175" s="953"/>
      <c r="CKD175" s="953"/>
      <c r="CKE175" s="953"/>
      <c r="CKF175" s="953"/>
      <c r="CKG175" s="953"/>
      <c r="CKH175" s="953"/>
      <c r="CKI175" s="953"/>
      <c r="CKJ175" s="953"/>
      <c r="CKK175" s="953"/>
      <c r="CKL175" s="953"/>
      <c r="CKM175" s="953"/>
      <c r="CKN175" s="953"/>
      <c r="CKO175" s="953"/>
      <c r="CKP175" s="953"/>
      <c r="CKQ175" s="953"/>
      <c r="CKR175" s="953"/>
      <c r="CKS175" s="953"/>
      <c r="CKT175" s="953"/>
      <c r="CKU175" s="953"/>
      <c r="CKV175" s="953"/>
      <c r="CKW175" s="953"/>
      <c r="CKX175" s="953"/>
      <c r="CKY175" s="953"/>
      <c r="CKZ175" s="953"/>
      <c r="CLA175" s="953"/>
      <c r="CLB175" s="953"/>
      <c r="CLC175" s="953"/>
      <c r="CLD175" s="953"/>
      <c r="CLE175" s="953"/>
      <c r="CLF175" s="953"/>
      <c r="CLG175" s="953"/>
      <c r="CLH175" s="953"/>
      <c r="CLI175" s="953"/>
      <c r="CLJ175" s="953"/>
      <c r="CLK175" s="953"/>
      <c r="CLL175" s="953"/>
      <c r="CLM175" s="953"/>
      <c r="CLN175" s="953"/>
      <c r="CLO175" s="953"/>
      <c r="CLP175" s="953"/>
      <c r="CLQ175" s="953"/>
      <c r="CLR175" s="953"/>
      <c r="CLS175" s="953"/>
      <c r="CLT175" s="953"/>
      <c r="CLU175" s="953"/>
      <c r="CLV175" s="953"/>
      <c r="CLW175" s="953"/>
      <c r="CLX175" s="953"/>
      <c r="CLY175" s="953"/>
      <c r="CLZ175" s="953"/>
      <c r="CMA175" s="953"/>
      <c r="CMB175" s="953"/>
      <c r="CMC175" s="953"/>
      <c r="CMD175" s="953"/>
      <c r="CME175" s="953"/>
      <c r="CMF175" s="953"/>
      <c r="CMG175" s="953"/>
      <c r="CMH175" s="953"/>
      <c r="CMI175" s="953"/>
      <c r="CMJ175" s="953"/>
      <c r="CMK175" s="953"/>
      <c r="CML175" s="953"/>
      <c r="CMM175" s="953"/>
      <c r="CMN175" s="953"/>
      <c r="CMO175" s="953"/>
      <c r="CMP175" s="953"/>
      <c r="CMQ175" s="953"/>
      <c r="CMR175" s="953"/>
      <c r="CMS175" s="953"/>
      <c r="CMT175" s="953"/>
      <c r="CMU175" s="953"/>
      <c r="CMV175" s="953"/>
      <c r="CMW175" s="953"/>
      <c r="CMX175" s="953"/>
      <c r="CMY175" s="953"/>
      <c r="CMZ175" s="953"/>
      <c r="CNA175" s="953"/>
      <c r="CNB175" s="953"/>
      <c r="CNC175" s="953"/>
      <c r="CND175" s="953"/>
      <c r="CNE175" s="953"/>
      <c r="CNF175" s="953"/>
      <c r="CNG175" s="953"/>
      <c r="CNH175" s="953"/>
      <c r="CNI175" s="953"/>
      <c r="CNJ175" s="953"/>
      <c r="CNK175" s="953"/>
      <c r="CNL175" s="953"/>
      <c r="CNM175" s="953"/>
      <c r="CNN175" s="953"/>
      <c r="CNO175" s="953"/>
      <c r="CNP175" s="953"/>
      <c r="CNQ175" s="953"/>
      <c r="CNR175" s="953"/>
      <c r="CNS175" s="953"/>
      <c r="CNT175" s="953"/>
      <c r="CNU175" s="953"/>
      <c r="CNV175" s="953"/>
      <c r="CNW175" s="953"/>
      <c r="CNX175" s="953"/>
      <c r="CNY175" s="953"/>
      <c r="CNZ175" s="953"/>
      <c r="COA175" s="953"/>
      <c r="COB175" s="953"/>
      <c r="COC175" s="953"/>
      <c r="COD175" s="953"/>
      <c r="COE175" s="953"/>
      <c r="COF175" s="953"/>
      <c r="COG175" s="953"/>
      <c r="COH175" s="953"/>
      <c r="COI175" s="953"/>
      <c r="COJ175" s="953"/>
      <c r="COK175" s="953"/>
      <c r="COL175" s="953"/>
      <c r="COM175" s="953"/>
      <c r="CON175" s="953"/>
      <c r="COO175" s="953"/>
      <c r="COP175" s="953"/>
      <c r="COQ175" s="953"/>
      <c r="COR175" s="953"/>
      <c r="COS175" s="953"/>
      <c r="COT175" s="953"/>
      <c r="COU175" s="953"/>
      <c r="COV175" s="953"/>
      <c r="COW175" s="953"/>
      <c r="COX175" s="953"/>
      <c r="COY175" s="953"/>
      <c r="COZ175" s="953"/>
      <c r="CPA175" s="953"/>
      <c r="CPB175" s="953"/>
      <c r="CPC175" s="953"/>
      <c r="CPD175" s="953"/>
      <c r="CPE175" s="953"/>
      <c r="CPF175" s="953"/>
      <c r="CPG175" s="953"/>
      <c r="CPH175" s="953"/>
      <c r="CPI175" s="953"/>
      <c r="CPJ175" s="953"/>
      <c r="CPK175" s="953"/>
      <c r="CPL175" s="953"/>
      <c r="CPM175" s="953"/>
      <c r="CPN175" s="953"/>
      <c r="CPO175" s="953"/>
      <c r="CPP175" s="953"/>
      <c r="CPQ175" s="953"/>
      <c r="CPR175" s="953"/>
      <c r="CPS175" s="953"/>
      <c r="CPT175" s="953"/>
      <c r="CPU175" s="953"/>
      <c r="CPV175" s="953"/>
      <c r="CPW175" s="953"/>
      <c r="CPX175" s="953"/>
      <c r="CPY175" s="953"/>
      <c r="CPZ175" s="953"/>
      <c r="CQA175" s="953"/>
      <c r="CQB175" s="953"/>
      <c r="CQC175" s="953"/>
      <c r="CQD175" s="953"/>
      <c r="CQE175" s="953"/>
      <c r="CQF175" s="953"/>
      <c r="CQG175" s="953"/>
      <c r="CQH175" s="953"/>
      <c r="CQI175" s="953"/>
      <c r="CQJ175" s="953"/>
      <c r="CQK175" s="953"/>
      <c r="CQL175" s="953"/>
      <c r="CQM175" s="953"/>
      <c r="CQN175" s="953"/>
      <c r="CQO175" s="953"/>
      <c r="CQP175" s="953"/>
      <c r="CQQ175" s="953"/>
      <c r="CQR175" s="953"/>
      <c r="CQS175" s="953"/>
      <c r="CQT175" s="953"/>
      <c r="CQU175" s="953"/>
      <c r="CQV175" s="953"/>
      <c r="CQW175" s="953"/>
      <c r="CQX175" s="953"/>
      <c r="CQY175" s="953"/>
      <c r="CQZ175" s="953"/>
      <c r="CRA175" s="953"/>
      <c r="CRB175" s="953"/>
      <c r="CRC175" s="953"/>
      <c r="CRD175" s="953"/>
      <c r="CRE175" s="953"/>
      <c r="CRF175" s="953"/>
      <c r="CRG175" s="953"/>
      <c r="CRH175" s="953"/>
      <c r="CRI175" s="953"/>
      <c r="CRJ175" s="953"/>
      <c r="CRK175" s="953"/>
      <c r="CRL175" s="953"/>
      <c r="CRM175" s="953"/>
      <c r="CRN175" s="953"/>
      <c r="CRO175" s="953"/>
      <c r="CRP175" s="953"/>
      <c r="CRQ175" s="953"/>
      <c r="CRR175" s="953"/>
      <c r="CRS175" s="953"/>
      <c r="CRT175" s="953"/>
      <c r="CRU175" s="953"/>
      <c r="CRV175" s="953"/>
      <c r="CRW175" s="953"/>
      <c r="CRX175" s="953"/>
      <c r="CRY175" s="953"/>
      <c r="CRZ175" s="953"/>
      <c r="CSA175" s="953"/>
      <c r="CSB175" s="953"/>
      <c r="CSC175" s="953"/>
      <c r="CSD175" s="953"/>
      <c r="CSE175" s="953"/>
      <c r="CSF175" s="953"/>
      <c r="CSG175" s="953"/>
      <c r="CSH175" s="953"/>
      <c r="CSI175" s="953"/>
      <c r="CSJ175" s="953"/>
      <c r="CSK175" s="953"/>
      <c r="CSL175" s="953"/>
      <c r="CSM175" s="953"/>
      <c r="CSN175" s="953"/>
      <c r="CSO175" s="953"/>
      <c r="CSP175" s="953"/>
      <c r="CSQ175" s="953"/>
      <c r="CSR175" s="953"/>
      <c r="CSS175" s="953"/>
      <c r="CST175" s="953"/>
      <c r="CSU175" s="953"/>
      <c r="CSV175" s="953"/>
      <c r="CSW175" s="953"/>
      <c r="CSX175" s="953"/>
      <c r="CSY175" s="953"/>
      <c r="CSZ175" s="953"/>
      <c r="CTA175" s="953"/>
      <c r="CTB175" s="953"/>
      <c r="CTC175" s="953"/>
      <c r="CTD175" s="953"/>
      <c r="CTE175" s="953"/>
      <c r="CTF175" s="953"/>
      <c r="CTG175" s="953"/>
      <c r="CTH175" s="953"/>
      <c r="CTI175" s="953"/>
      <c r="CTJ175" s="953"/>
      <c r="CTK175" s="953"/>
      <c r="CTL175" s="953"/>
      <c r="CTM175" s="953"/>
      <c r="CTN175" s="953"/>
      <c r="CTO175" s="953"/>
      <c r="CTP175" s="953"/>
      <c r="CTQ175" s="953"/>
      <c r="CTR175" s="953"/>
      <c r="CTS175" s="953"/>
      <c r="CTT175" s="953"/>
      <c r="CTU175" s="953"/>
      <c r="CTV175" s="953"/>
      <c r="CTW175" s="953"/>
      <c r="CTX175" s="953"/>
      <c r="CTY175" s="953"/>
      <c r="CTZ175" s="953"/>
      <c r="CUA175" s="953"/>
      <c r="CUB175" s="953"/>
      <c r="CUC175" s="953"/>
      <c r="CUD175" s="953"/>
      <c r="CUE175" s="953"/>
      <c r="CUF175" s="953"/>
      <c r="CUG175" s="953"/>
      <c r="CUH175" s="953"/>
      <c r="CUI175" s="953"/>
      <c r="CUJ175" s="953"/>
      <c r="CUK175" s="953"/>
      <c r="CUL175" s="953"/>
      <c r="CUM175" s="953"/>
      <c r="CUN175" s="953"/>
      <c r="CUO175" s="953"/>
      <c r="CUP175" s="953"/>
      <c r="CUQ175" s="953"/>
      <c r="CUR175" s="953"/>
      <c r="CUS175" s="953"/>
      <c r="CUT175" s="953"/>
      <c r="CUU175" s="953"/>
      <c r="CUV175" s="953"/>
      <c r="CUW175" s="953"/>
      <c r="CUX175" s="953"/>
      <c r="CUY175" s="953"/>
      <c r="CUZ175" s="953"/>
      <c r="CVA175" s="953"/>
      <c r="CVB175" s="953"/>
      <c r="CVC175" s="953"/>
      <c r="CVD175" s="953"/>
      <c r="CVE175" s="953"/>
      <c r="CVF175" s="953"/>
      <c r="CVG175" s="953"/>
      <c r="CVH175" s="953"/>
      <c r="CVI175" s="953"/>
      <c r="CVJ175" s="953"/>
      <c r="CVK175" s="953"/>
      <c r="CVL175" s="953"/>
      <c r="CVM175" s="953"/>
      <c r="CVN175" s="953"/>
      <c r="CVO175" s="953"/>
      <c r="CVP175" s="953"/>
      <c r="CVQ175" s="953"/>
      <c r="CVR175" s="953"/>
      <c r="CVS175" s="953"/>
      <c r="CVT175" s="953"/>
      <c r="CVU175" s="953"/>
      <c r="CVV175" s="953"/>
      <c r="CVW175" s="953"/>
      <c r="CVX175" s="953"/>
      <c r="CVY175" s="953"/>
      <c r="CVZ175" s="953"/>
      <c r="CWA175" s="953"/>
      <c r="CWB175" s="953"/>
      <c r="CWC175" s="953"/>
      <c r="CWD175" s="953"/>
      <c r="CWE175" s="953"/>
      <c r="CWF175" s="953"/>
      <c r="CWG175" s="953"/>
      <c r="CWH175" s="953"/>
      <c r="CWI175" s="953"/>
      <c r="CWJ175" s="953"/>
      <c r="CWK175" s="953"/>
      <c r="CWL175" s="953"/>
      <c r="CWM175" s="953"/>
      <c r="CWN175" s="953"/>
      <c r="CWO175" s="953"/>
      <c r="CWP175" s="953"/>
      <c r="CWQ175" s="953"/>
      <c r="CWR175" s="953"/>
      <c r="CWS175" s="953"/>
      <c r="CWT175" s="953"/>
      <c r="CWU175" s="953"/>
      <c r="CWV175" s="953"/>
      <c r="CWW175" s="953"/>
      <c r="CWX175" s="953"/>
      <c r="CWY175" s="953"/>
      <c r="CWZ175" s="953"/>
      <c r="CXA175" s="953"/>
      <c r="CXB175" s="953"/>
      <c r="CXC175" s="953"/>
      <c r="CXD175" s="953"/>
      <c r="CXE175" s="953"/>
      <c r="CXF175" s="953"/>
      <c r="CXG175" s="953"/>
      <c r="CXH175" s="953"/>
      <c r="CXI175" s="953"/>
      <c r="CXJ175" s="953"/>
      <c r="CXK175" s="953"/>
      <c r="CXL175" s="953"/>
      <c r="CXM175" s="953"/>
      <c r="CXN175" s="953"/>
      <c r="CXO175" s="953"/>
      <c r="CXP175" s="953"/>
      <c r="CXQ175" s="953"/>
      <c r="CXR175" s="953"/>
      <c r="CXS175" s="953"/>
      <c r="CXT175" s="953"/>
      <c r="CXU175" s="953"/>
      <c r="CXV175" s="953"/>
      <c r="CXW175" s="953"/>
      <c r="CXX175" s="953"/>
      <c r="CXY175" s="953"/>
      <c r="CXZ175" s="953"/>
      <c r="CYA175" s="953"/>
      <c r="CYB175" s="953"/>
      <c r="CYC175" s="953"/>
      <c r="CYD175" s="953"/>
      <c r="CYE175" s="953"/>
      <c r="CYF175" s="953"/>
      <c r="CYG175" s="953"/>
      <c r="CYH175" s="953"/>
      <c r="CYI175" s="953"/>
      <c r="CYJ175" s="953"/>
      <c r="CYK175" s="953"/>
      <c r="CYL175" s="953"/>
      <c r="CYM175" s="953"/>
      <c r="CYN175" s="953"/>
      <c r="CYO175" s="953"/>
      <c r="CYP175" s="953"/>
      <c r="CYQ175" s="953"/>
      <c r="CYR175" s="953"/>
      <c r="CYS175" s="953"/>
      <c r="CYT175" s="953"/>
      <c r="CYU175" s="953"/>
      <c r="CYV175" s="953"/>
      <c r="CYW175" s="953"/>
      <c r="CYX175" s="953"/>
      <c r="CYY175" s="953"/>
      <c r="CYZ175" s="953"/>
      <c r="CZA175" s="953"/>
      <c r="CZB175" s="953"/>
      <c r="CZC175" s="953"/>
      <c r="CZD175" s="953"/>
      <c r="CZE175" s="953"/>
      <c r="CZF175" s="953"/>
      <c r="CZG175" s="953"/>
      <c r="CZH175" s="953"/>
      <c r="CZI175" s="953"/>
      <c r="CZJ175" s="953"/>
      <c r="CZK175" s="953"/>
      <c r="CZL175" s="953"/>
      <c r="CZM175" s="953"/>
      <c r="CZN175" s="953"/>
      <c r="CZO175" s="953"/>
      <c r="CZP175" s="953"/>
      <c r="CZQ175" s="953"/>
      <c r="CZR175" s="953"/>
      <c r="CZS175" s="953"/>
      <c r="CZT175" s="953"/>
      <c r="CZU175" s="953"/>
      <c r="CZV175" s="953"/>
      <c r="CZW175" s="953"/>
      <c r="CZX175" s="953"/>
      <c r="CZY175" s="953"/>
      <c r="CZZ175" s="953"/>
      <c r="DAA175" s="953"/>
      <c r="DAB175" s="953"/>
      <c r="DAC175" s="953"/>
      <c r="DAD175" s="953"/>
      <c r="DAE175" s="953"/>
      <c r="DAF175" s="953"/>
      <c r="DAG175" s="953"/>
      <c r="DAH175" s="953"/>
      <c r="DAI175" s="953"/>
      <c r="DAJ175" s="953"/>
      <c r="DAK175" s="953"/>
      <c r="DAL175" s="953"/>
      <c r="DAM175" s="953"/>
      <c r="DAN175" s="953"/>
      <c r="DAO175" s="953"/>
      <c r="DAP175" s="953"/>
      <c r="DAQ175" s="953"/>
      <c r="DAR175" s="953"/>
      <c r="DAS175" s="953"/>
      <c r="DAT175" s="953"/>
      <c r="DAU175" s="953"/>
      <c r="DAV175" s="953"/>
      <c r="DAW175" s="953"/>
      <c r="DAX175" s="953"/>
      <c r="DAY175" s="953"/>
      <c r="DAZ175" s="953"/>
      <c r="DBA175" s="953"/>
      <c r="DBB175" s="953"/>
      <c r="DBC175" s="953"/>
      <c r="DBD175" s="953"/>
      <c r="DBE175" s="953"/>
      <c r="DBF175" s="953"/>
      <c r="DBG175" s="953"/>
      <c r="DBH175" s="953"/>
      <c r="DBI175" s="953"/>
      <c r="DBJ175" s="953"/>
      <c r="DBK175" s="953"/>
      <c r="DBL175" s="953"/>
      <c r="DBM175" s="953"/>
      <c r="DBN175" s="953"/>
      <c r="DBO175" s="953"/>
      <c r="DBP175" s="953"/>
      <c r="DBQ175" s="953"/>
      <c r="DBR175" s="953"/>
      <c r="DBS175" s="953"/>
      <c r="DBT175" s="953"/>
      <c r="DBU175" s="953"/>
      <c r="DBV175" s="953"/>
      <c r="DBW175" s="953"/>
      <c r="DBX175" s="953"/>
      <c r="DBY175" s="953"/>
      <c r="DBZ175" s="953"/>
      <c r="DCA175" s="953"/>
      <c r="DCB175" s="953"/>
      <c r="DCC175" s="953"/>
      <c r="DCD175" s="953"/>
      <c r="DCE175" s="953"/>
      <c r="DCF175" s="953"/>
      <c r="DCG175" s="953"/>
      <c r="DCH175" s="953"/>
      <c r="DCI175" s="953"/>
      <c r="DCJ175" s="953"/>
      <c r="DCK175" s="953"/>
      <c r="DCL175" s="953"/>
      <c r="DCM175" s="953"/>
      <c r="DCN175" s="953"/>
      <c r="DCO175" s="953"/>
      <c r="DCP175" s="953"/>
      <c r="DCQ175" s="953"/>
      <c r="DCR175" s="953"/>
      <c r="DCS175" s="953"/>
      <c r="DCT175" s="953"/>
      <c r="DCU175" s="953"/>
      <c r="DCV175" s="953"/>
      <c r="DCW175" s="953"/>
      <c r="DCX175" s="953"/>
      <c r="DCY175" s="953"/>
      <c r="DCZ175" s="953"/>
      <c r="DDA175" s="953"/>
      <c r="DDB175" s="953"/>
      <c r="DDC175" s="953"/>
      <c r="DDD175" s="953"/>
      <c r="DDE175" s="953"/>
      <c r="DDF175" s="953"/>
      <c r="DDG175" s="953"/>
      <c r="DDH175" s="953"/>
      <c r="DDI175" s="953"/>
      <c r="DDJ175" s="953"/>
      <c r="DDK175" s="953"/>
      <c r="DDL175" s="953"/>
      <c r="DDM175" s="953"/>
      <c r="DDN175" s="953"/>
      <c r="DDO175" s="953"/>
      <c r="DDP175" s="953"/>
      <c r="DDQ175" s="953"/>
      <c r="DDR175" s="953"/>
      <c r="DDS175" s="953"/>
      <c r="DDT175" s="953"/>
      <c r="DDU175" s="953"/>
      <c r="DDV175" s="953"/>
      <c r="DDW175" s="953"/>
      <c r="DDX175" s="953"/>
      <c r="DDY175" s="953"/>
      <c r="DDZ175" s="953"/>
      <c r="DEA175" s="953"/>
      <c r="DEB175" s="953"/>
      <c r="DEC175" s="953"/>
      <c r="DED175" s="953"/>
      <c r="DEE175" s="953"/>
      <c r="DEF175" s="953"/>
      <c r="DEG175" s="953"/>
      <c r="DEH175" s="953"/>
      <c r="DEI175" s="953"/>
      <c r="DEJ175" s="953"/>
      <c r="DEK175" s="953"/>
      <c r="DEL175" s="953"/>
      <c r="DEM175" s="953"/>
      <c r="DEN175" s="953"/>
      <c r="DEO175" s="953"/>
      <c r="DEP175" s="953"/>
      <c r="DEQ175" s="953"/>
      <c r="DER175" s="953"/>
      <c r="DES175" s="953"/>
      <c r="DET175" s="953"/>
      <c r="DEU175" s="953"/>
      <c r="DEV175" s="953"/>
      <c r="DEW175" s="953"/>
      <c r="DEX175" s="953"/>
      <c r="DEY175" s="953"/>
      <c r="DEZ175" s="953"/>
      <c r="DFA175" s="953"/>
      <c r="DFB175" s="953"/>
      <c r="DFC175" s="953"/>
      <c r="DFD175" s="953"/>
      <c r="DFE175" s="953"/>
      <c r="DFF175" s="953"/>
      <c r="DFG175" s="953"/>
      <c r="DFH175" s="953"/>
      <c r="DFI175" s="953"/>
      <c r="DFJ175" s="953"/>
      <c r="DFK175" s="953"/>
      <c r="DFL175" s="953"/>
      <c r="DFM175" s="953"/>
      <c r="DFN175" s="953"/>
      <c r="DFO175" s="953"/>
      <c r="DFP175" s="953"/>
      <c r="DFQ175" s="953"/>
      <c r="DFR175" s="953"/>
      <c r="DFS175" s="953"/>
      <c r="DFT175" s="953"/>
      <c r="DFU175" s="953"/>
      <c r="DFV175" s="953"/>
      <c r="DFW175" s="953"/>
      <c r="DFX175" s="953"/>
      <c r="DFY175" s="953"/>
      <c r="DFZ175" s="953"/>
      <c r="DGA175" s="953"/>
      <c r="DGB175" s="953"/>
      <c r="DGC175" s="953"/>
      <c r="DGD175" s="953"/>
      <c r="DGE175" s="953"/>
      <c r="DGF175" s="953"/>
      <c r="DGG175" s="953"/>
      <c r="DGH175" s="953"/>
      <c r="DGI175" s="953"/>
      <c r="DGJ175" s="953"/>
      <c r="DGK175" s="953"/>
      <c r="DGL175" s="953"/>
      <c r="DGM175" s="953"/>
      <c r="DGN175" s="953"/>
      <c r="DGO175" s="953"/>
      <c r="DGP175" s="953"/>
      <c r="DGQ175" s="953"/>
      <c r="DGR175" s="953"/>
      <c r="DGS175" s="953"/>
      <c r="DGT175" s="953"/>
      <c r="DGU175" s="953"/>
      <c r="DGV175" s="953"/>
      <c r="DGW175" s="953"/>
      <c r="DGX175" s="953"/>
      <c r="DGY175" s="953"/>
      <c r="DGZ175" s="953"/>
      <c r="DHA175" s="953"/>
      <c r="DHB175" s="953"/>
      <c r="DHC175" s="953"/>
      <c r="DHD175" s="953"/>
      <c r="DHE175" s="953"/>
      <c r="DHF175" s="953"/>
      <c r="DHG175" s="953"/>
      <c r="DHH175" s="953"/>
      <c r="DHI175" s="953"/>
      <c r="DHJ175" s="953"/>
      <c r="DHK175" s="953"/>
      <c r="DHL175" s="953"/>
      <c r="DHM175" s="953"/>
      <c r="DHN175" s="953"/>
      <c r="DHO175" s="953"/>
      <c r="DHP175" s="953"/>
      <c r="DHQ175" s="953"/>
      <c r="DHR175" s="953"/>
      <c r="DHS175" s="953"/>
      <c r="DHT175" s="953"/>
      <c r="DHU175" s="953"/>
      <c r="DHV175" s="953"/>
      <c r="DHW175" s="953"/>
      <c r="DHX175" s="953"/>
      <c r="DHY175" s="953"/>
      <c r="DHZ175" s="953"/>
      <c r="DIA175" s="953"/>
      <c r="DIB175" s="953"/>
      <c r="DIC175" s="953"/>
      <c r="DID175" s="953"/>
      <c r="DIE175" s="953"/>
      <c r="DIF175" s="953"/>
      <c r="DIG175" s="953"/>
      <c r="DIH175" s="953"/>
      <c r="DII175" s="953"/>
      <c r="DIJ175" s="953"/>
      <c r="DIK175" s="953"/>
      <c r="DIL175" s="953"/>
      <c r="DIM175" s="953"/>
      <c r="DIN175" s="953"/>
      <c r="DIO175" s="953"/>
      <c r="DIP175" s="953"/>
      <c r="DIQ175" s="953"/>
      <c r="DIR175" s="953"/>
      <c r="DIS175" s="953"/>
      <c r="DIT175" s="953"/>
      <c r="DIU175" s="953"/>
      <c r="DIV175" s="953"/>
      <c r="DIW175" s="953"/>
      <c r="DIX175" s="953"/>
      <c r="DIY175" s="953"/>
      <c r="DIZ175" s="953"/>
      <c r="DJA175" s="953"/>
      <c r="DJB175" s="953"/>
      <c r="DJC175" s="953"/>
      <c r="DJD175" s="953"/>
      <c r="DJE175" s="953"/>
      <c r="DJF175" s="953"/>
      <c r="DJG175" s="953"/>
      <c r="DJH175" s="953"/>
      <c r="DJI175" s="953"/>
      <c r="DJJ175" s="953"/>
      <c r="DJK175" s="953"/>
      <c r="DJL175" s="953"/>
      <c r="DJM175" s="953"/>
      <c r="DJN175" s="953"/>
      <c r="DJO175" s="953"/>
      <c r="DJP175" s="953"/>
      <c r="DJQ175" s="953"/>
      <c r="DJR175" s="953"/>
      <c r="DJS175" s="953"/>
      <c r="DJT175" s="953"/>
      <c r="DJU175" s="953"/>
      <c r="DJV175" s="953"/>
      <c r="DJW175" s="953"/>
      <c r="DJX175" s="953"/>
      <c r="DJY175" s="953"/>
      <c r="DJZ175" s="953"/>
      <c r="DKA175" s="953"/>
      <c r="DKB175" s="953"/>
      <c r="DKC175" s="953"/>
      <c r="DKD175" s="953"/>
      <c r="DKE175" s="953"/>
      <c r="DKF175" s="953"/>
      <c r="DKG175" s="953"/>
      <c r="DKH175" s="953"/>
      <c r="DKI175" s="953"/>
      <c r="DKJ175" s="953"/>
      <c r="DKK175" s="953"/>
      <c r="DKL175" s="953"/>
      <c r="DKM175" s="953"/>
      <c r="DKN175" s="953"/>
      <c r="DKO175" s="953"/>
      <c r="DKP175" s="953"/>
      <c r="DKQ175" s="953"/>
      <c r="DKR175" s="953"/>
      <c r="DKS175" s="953"/>
      <c r="DKT175" s="953"/>
      <c r="DKU175" s="953"/>
      <c r="DKV175" s="953"/>
      <c r="DKW175" s="953"/>
      <c r="DKX175" s="953"/>
      <c r="DKY175" s="953"/>
      <c r="DKZ175" s="953"/>
      <c r="DLA175" s="953"/>
      <c r="DLB175" s="953"/>
      <c r="DLC175" s="953"/>
      <c r="DLD175" s="953"/>
      <c r="DLE175" s="953"/>
      <c r="DLF175" s="953"/>
      <c r="DLG175" s="953"/>
      <c r="DLH175" s="953"/>
      <c r="DLI175" s="953"/>
      <c r="DLJ175" s="953"/>
      <c r="DLK175" s="953"/>
      <c r="DLL175" s="953"/>
      <c r="DLM175" s="953"/>
      <c r="DLN175" s="953"/>
      <c r="DLO175" s="953"/>
      <c r="DLP175" s="953"/>
      <c r="DLQ175" s="953"/>
      <c r="DLR175" s="953"/>
      <c r="DLS175" s="953"/>
      <c r="DLT175" s="953"/>
      <c r="DLU175" s="953"/>
      <c r="DLV175" s="953"/>
      <c r="DLW175" s="953"/>
      <c r="DLX175" s="953"/>
      <c r="DLY175" s="953"/>
      <c r="DLZ175" s="953"/>
      <c r="DMA175" s="953"/>
      <c r="DMB175" s="953"/>
      <c r="DMC175" s="953"/>
      <c r="DMD175" s="953"/>
      <c r="DME175" s="953"/>
      <c r="DMF175" s="953"/>
      <c r="DMG175" s="953"/>
      <c r="DMH175" s="953"/>
      <c r="DMI175" s="953"/>
      <c r="DMJ175" s="953"/>
      <c r="DMK175" s="953"/>
      <c r="DML175" s="953"/>
      <c r="DMM175" s="953"/>
      <c r="DMN175" s="953"/>
      <c r="DMO175" s="953"/>
      <c r="DMP175" s="953"/>
      <c r="DMQ175" s="953"/>
      <c r="DMR175" s="953"/>
      <c r="DMS175" s="953"/>
      <c r="DMT175" s="953"/>
      <c r="DMU175" s="953"/>
      <c r="DMV175" s="953"/>
      <c r="DMW175" s="953"/>
      <c r="DMX175" s="953"/>
      <c r="DMY175" s="953"/>
      <c r="DMZ175" s="953"/>
      <c r="DNA175" s="953"/>
      <c r="DNB175" s="953"/>
      <c r="DNC175" s="953"/>
      <c r="DND175" s="953"/>
      <c r="DNE175" s="953"/>
      <c r="DNF175" s="953"/>
      <c r="DNG175" s="953"/>
      <c r="DNH175" s="953"/>
      <c r="DNI175" s="953"/>
      <c r="DNJ175" s="953"/>
      <c r="DNK175" s="953"/>
      <c r="DNL175" s="953"/>
      <c r="DNM175" s="953"/>
      <c r="DNN175" s="953"/>
      <c r="DNO175" s="953"/>
      <c r="DNP175" s="953"/>
      <c r="DNQ175" s="953"/>
      <c r="DNR175" s="953"/>
      <c r="DNS175" s="953"/>
      <c r="DNT175" s="953"/>
      <c r="DNU175" s="953"/>
      <c r="DNV175" s="953"/>
      <c r="DNW175" s="953"/>
      <c r="DNX175" s="953"/>
      <c r="DNY175" s="953"/>
      <c r="DNZ175" s="953"/>
      <c r="DOA175" s="953"/>
      <c r="DOB175" s="953"/>
      <c r="DOC175" s="953"/>
      <c r="DOD175" s="953"/>
      <c r="DOE175" s="953"/>
      <c r="DOF175" s="953"/>
      <c r="DOG175" s="953"/>
      <c r="DOH175" s="953"/>
      <c r="DOI175" s="953"/>
      <c r="DOJ175" s="953"/>
      <c r="DOK175" s="953"/>
      <c r="DOL175" s="953"/>
      <c r="DOM175" s="953"/>
      <c r="DON175" s="953"/>
      <c r="DOO175" s="953"/>
      <c r="DOP175" s="953"/>
      <c r="DOQ175" s="953"/>
      <c r="DOR175" s="953"/>
      <c r="DOS175" s="953"/>
      <c r="DOT175" s="953"/>
      <c r="DOU175" s="953"/>
      <c r="DOV175" s="953"/>
      <c r="DOW175" s="953"/>
      <c r="DOX175" s="953"/>
      <c r="DOY175" s="953"/>
      <c r="DOZ175" s="953"/>
      <c r="DPA175" s="953"/>
      <c r="DPB175" s="953"/>
      <c r="DPC175" s="953"/>
      <c r="DPD175" s="953"/>
      <c r="DPE175" s="953"/>
      <c r="DPF175" s="953"/>
      <c r="DPG175" s="953"/>
      <c r="DPH175" s="953"/>
      <c r="DPI175" s="953"/>
      <c r="DPJ175" s="953"/>
      <c r="DPK175" s="953"/>
      <c r="DPL175" s="953"/>
      <c r="DPM175" s="953"/>
      <c r="DPN175" s="953"/>
      <c r="DPO175" s="953"/>
      <c r="DPP175" s="953"/>
      <c r="DPQ175" s="953"/>
      <c r="DPR175" s="953"/>
      <c r="DPS175" s="953"/>
      <c r="DPT175" s="953"/>
      <c r="DPU175" s="953"/>
      <c r="DPV175" s="953"/>
      <c r="DPW175" s="953"/>
      <c r="DPX175" s="953"/>
      <c r="DPY175" s="953"/>
      <c r="DPZ175" s="953"/>
      <c r="DQA175" s="953"/>
      <c r="DQB175" s="953"/>
      <c r="DQC175" s="953"/>
      <c r="DQD175" s="953"/>
      <c r="DQE175" s="953"/>
      <c r="DQF175" s="953"/>
      <c r="DQG175" s="953"/>
      <c r="DQH175" s="953"/>
      <c r="DQI175" s="953"/>
      <c r="DQJ175" s="953"/>
      <c r="DQK175" s="953"/>
      <c r="DQL175" s="953"/>
      <c r="DQM175" s="953"/>
      <c r="DQN175" s="953"/>
      <c r="DQO175" s="953"/>
      <c r="DQP175" s="953"/>
      <c r="DQQ175" s="953"/>
      <c r="DQR175" s="953"/>
      <c r="DQS175" s="953"/>
      <c r="DQT175" s="953"/>
      <c r="DQU175" s="953"/>
      <c r="DQV175" s="953"/>
      <c r="DQW175" s="953"/>
      <c r="DQX175" s="953"/>
      <c r="DQY175" s="953"/>
      <c r="DQZ175" s="953"/>
      <c r="DRA175" s="953"/>
      <c r="DRB175" s="953"/>
      <c r="DRC175" s="953"/>
      <c r="DRD175" s="953"/>
      <c r="DRE175" s="953"/>
      <c r="DRF175" s="953"/>
      <c r="DRG175" s="953"/>
      <c r="DRH175" s="953"/>
      <c r="DRI175" s="953"/>
      <c r="DRJ175" s="953"/>
      <c r="DRK175" s="953"/>
      <c r="DRL175" s="953"/>
      <c r="DRM175" s="953"/>
      <c r="DRN175" s="953"/>
      <c r="DRO175" s="953"/>
      <c r="DRP175" s="953"/>
      <c r="DRQ175" s="953"/>
      <c r="DRR175" s="953"/>
      <c r="DRS175" s="953"/>
      <c r="DRT175" s="953"/>
      <c r="DRU175" s="953"/>
      <c r="DRV175" s="953"/>
      <c r="DRW175" s="953"/>
      <c r="DRX175" s="953"/>
      <c r="DRY175" s="953"/>
      <c r="DRZ175" s="953"/>
      <c r="DSA175" s="953"/>
      <c r="DSB175" s="953"/>
      <c r="DSC175" s="953"/>
      <c r="DSD175" s="953"/>
      <c r="DSE175" s="953"/>
      <c r="DSF175" s="953"/>
      <c r="DSG175" s="953"/>
      <c r="DSH175" s="953"/>
      <c r="DSI175" s="953"/>
      <c r="DSJ175" s="953"/>
      <c r="DSK175" s="953"/>
      <c r="DSL175" s="953"/>
      <c r="DSM175" s="953"/>
      <c r="DSN175" s="953"/>
      <c r="DSO175" s="953"/>
      <c r="DSP175" s="953"/>
      <c r="DSQ175" s="953"/>
      <c r="DSR175" s="953"/>
      <c r="DSS175" s="953"/>
      <c r="DST175" s="953"/>
      <c r="DSU175" s="953"/>
      <c r="DSV175" s="953"/>
      <c r="DSW175" s="953"/>
      <c r="DSX175" s="953"/>
      <c r="DSY175" s="953"/>
      <c r="DSZ175" s="953"/>
      <c r="DTA175" s="953"/>
      <c r="DTB175" s="953"/>
      <c r="DTC175" s="953"/>
      <c r="DTD175" s="953"/>
      <c r="DTE175" s="953"/>
      <c r="DTF175" s="953"/>
      <c r="DTG175" s="953"/>
      <c r="DTH175" s="953"/>
      <c r="DTI175" s="953"/>
      <c r="DTJ175" s="953"/>
      <c r="DTK175" s="953"/>
      <c r="DTL175" s="953"/>
      <c r="DTM175" s="953"/>
      <c r="DTN175" s="953"/>
      <c r="DTO175" s="953"/>
      <c r="DTP175" s="953"/>
      <c r="DTQ175" s="953"/>
      <c r="DTR175" s="953"/>
      <c r="DTS175" s="953"/>
      <c r="DTT175" s="953"/>
      <c r="DTU175" s="953"/>
      <c r="DTV175" s="953"/>
      <c r="DTW175" s="953"/>
      <c r="DTX175" s="953"/>
      <c r="DTY175" s="953"/>
      <c r="DTZ175" s="953"/>
      <c r="DUA175" s="953"/>
      <c r="DUB175" s="953"/>
      <c r="DUC175" s="953"/>
      <c r="DUD175" s="953"/>
      <c r="DUE175" s="953"/>
      <c r="DUF175" s="953"/>
      <c r="DUG175" s="953"/>
      <c r="DUH175" s="953"/>
      <c r="DUI175" s="953"/>
      <c r="DUJ175" s="953"/>
      <c r="DUK175" s="953"/>
      <c r="DUL175" s="953"/>
      <c r="DUM175" s="953"/>
      <c r="DUN175" s="953"/>
      <c r="DUO175" s="953"/>
      <c r="DUP175" s="953"/>
      <c r="DUQ175" s="953"/>
      <c r="DUR175" s="953"/>
      <c r="DUS175" s="953"/>
      <c r="DUT175" s="953"/>
      <c r="DUU175" s="953"/>
      <c r="DUV175" s="953"/>
      <c r="DUW175" s="953"/>
      <c r="DUX175" s="953"/>
      <c r="DUY175" s="953"/>
      <c r="DUZ175" s="953"/>
      <c r="DVA175" s="953"/>
      <c r="DVB175" s="953"/>
      <c r="DVC175" s="953"/>
      <c r="DVD175" s="953"/>
      <c r="DVE175" s="953"/>
      <c r="DVF175" s="953"/>
      <c r="DVG175" s="953"/>
      <c r="DVH175" s="953"/>
      <c r="DVI175" s="953"/>
      <c r="DVJ175" s="953"/>
      <c r="DVK175" s="953"/>
      <c r="DVL175" s="953"/>
      <c r="DVM175" s="953"/>
      <c r="DVN175" s="953"/>
      <c r="DVO175" s="953"/>
      <c r="DVP175" s="953"/>
      <c r="DVQ175" s="953"/>
      <c r="DVR175" s="953"/>
      <c r="DVS175" s="953"/>
      <c r="DVT175" s="953"/>
      <c r="DVU175" s="953"/>
      <c r="DVV175" s="953"/>
      <c r="DVW175" s="953"/>
      <c r="DVX175" s="953"/>
      <c r="DVY175" s="953"/>
      <c r="DVZ175" s="953"/>
      <c r="DWA175" s="953"/>
      <c r="DWB175" s="953"/>
      <c r="DWC175" s="953"/>
      <c r="DWD175" s="953"/>
      <c r="DWE175" s="953"/>
      <c r="DWF175" s="953"/>
      <c r="DWG175" s="953"/>
      <c r="DWH175" s="953"/>
      <c r="DWI175" s="953"/>
      <c r="DWJ175" s="953"/>
      <c r="DWK175" s="953"/>
      <c r="DWL175" s="953"/>
      <c r="DWM175" s="953"/>
      <c r="DWN175" s="953"/>
      <c r="DWO175" s="953"/>
      <c r="DWP175" s="953"/>
      <c r="DWQ175" s="953"/>
      <c r="DWR175" s="953"/>
      <c r="DWS175" s="953"/>
      <c r="DWT175" s="953"/>
      <c r="DWU175" s="953"/>
      <c r="DWV175" s="953"/>
      <c r="DWW175" s="953"/>
      <c r="DWX175" s="953"/>
      <c r="DWY175" s="953"/>
      <c r="DWZ175" s="953"/>
      <c r="DXA175" s="953"/>
      <c r="DXB175" s="953"/>
      <c r="DXC175" s="953"/>
      <c r="DXD175" s="953"/>
      <c r="DXE175" s="953"/>
      <c r="DXF175" s="953"/>
      <c r="DXG175" s="953"/>
      <c r="DXH175" s="953"/>
      <c r="DXI175" s="953"/>
      <c r="DXJ175" s="953"/>
      <c r="DXK175" s="953"/>
      <c r="DXL175" s="953"/>
      <c r="DXM175" s="953"/>
      <c r="DXN175" s="953"/>
      <c r="DXO175" s="953"/>
      <c r="DXP175" s="953"/>
      <c r="DXQ175" s="953"/>
      <c r="DXR175" s="953"/>
      <c r="DXS175" s="953"/>
      <c r="DXT175" s="953"/>
      <c r="DXU175" s="953"/>
      <c r="DXV175" s="953"/>
      <c r="DXW175" s="953"/>
      <c r="DXX175" s="953"/>
      <c r="DXY175" s="953"/>
      <c r="DXZ175" s="953"/>
      <c r="DYA175" s="953"/>
      <c r="DYB175" s="953"/>
      <c r="DYC175" s="953"/>
      <c r="DYD175" s="953"/>
      <c r="DYE175" s="953"/>
      <c r="DYF175" s="953"/>
      <c r="DYG175" s="953"/>
      <c r="DYH175" s="953"/>
      <c r="DYI175" s="953"/>
      <c r="DYJ175" s="953"/>
      <c r="DYK175" s="953"/>
      <c r="DYL175" s="953"/>
      <c r="DYM175" s="953"/>
      <c r="DYN175" s="953"/>
      <c r="DYO175" s="953"/>
      <c r="DYP175" s="953"/>
      <c r="DYQ175" s="953"/>
      <c r="DYR175" s="953"/>
      <c r="DYS175" s="953"/>
      <c r="DYT175" s="953"/>
      <c r="DYU175" s="953"/>
      <c r="DYV175" s="953"/>
      <c r="DYW175" s="953"/>
      <c r="DYX175" s="953"/>
      <c r="DYY175" s="953"/>
      <c r="DYZ175" s="953"/>
      <c r="DZA175" s="953"/>
      <c r="DZB175" s="953"/>
      <c r="DZC175" s="953"/>
      <c r="DZD175" s="953"/>
      <c r="DZE175" s="953"/>
      <c r="DZF175" s="953"/>
      <c r="DZG175" s="953"/>
      <c r="DZH175" s="953"/>
      <c r="DZI175" s="953"/>
      <c r="DZJ175" s="953"/>
      <c r="DZK175" s="953"/>
      <c r="DZL175" s="953"/>
      <c r="DZM175" s="953"/>
      <c r="DZN175" s="953"/>
      <c r="DZO175" s="953"/>
      <c r="DZP175" s="953"/>
      <c r="DZQ175" s="953"/>
      <c r="DZR175" s="953"/>
      <c r="DZS175" s="953"/>
      <c r="DZT175" s="953"/>
      <c r="DZU175" s="953"/>
      <c r="DZV175" s="953"/>
      <c r="DZW175" s="953"/>
      <c r="DZX175" s="953"/>
      <c r="DZY175" s="953"/>
      <c r="DZZ175" s="953"/>
      <c r="EAA175" s="953"/>
      <c r="EAB175" s="953"/>
      <c r="EAC175" s="953"/>
      <c r="EAD175" s="953"/>
      <c r="EAE175" s="953"/>
      <c r="EAF175" s="953"/>
      <c r="EAG175" s="953"/>
      <c r="EAH175" s="953"/>
      <c r="EAI175" s="953"/>
      <c r="EAJ175" s="953"/>
      <c r="EAK175" s="953"/>
      <c r="EAL175" s="953"/>
      <c r="EAM175" s="953"/>
      <c r="EAN175" s="953"/>
      <c r="EAO175" s="953"/>
      <c r="EAP175" s="953"/>
      <c r="EAQ175" s="953"/>
      <c r="EAR175" s="953"/>
      <c r="EAS175" s="953"/>
      <c r="EAT175" s="953"/>
      <c r="EAU175" s="953"/>
      <c r="EAV175" s="953"/>
      <c r="EAW175" s="953"/>
      <c r="EAX175" s="953"/>
      <c r="EAY175" s="953"/>
      <c r="EAZ175" s="953"/>
      <c r="EBA175" s="953"/>
      <c r="EBB175" s="953"/>
      <c r="EBC175" s="953"/>
      <c r="EBD175" s="953"/>
      <c r="EBE175" s="953"/>
      <c r="EBF175" s="953"/>
      <c r="EBG175" s="953"/>
      <c r="EBH175" s="953"/>
      <c r="EBI175" s="953"/>
      <c r="EBJ175" s="953"/>
      <c r="EBK175" s="953"/>
      <c r="EBL175" s="953"/>
      <c r="EBM175" s="953"/>
      <c r="EBN175" s="953"/>
      <c r="EBO175" s="953"/>
      <c r="EBP175" s="953"/>
      <c r="EBQ175" s="953"/>
      <c r="EBR175" s="953"/>
      <c r="EBS175" s="953"/>
      <c r="EBT175" s="953"/>
      <c r="EBU175" s="953"/>
      <c r="EBV175" s="953"/>
      <c r="EBW175" s="953"/>
      <c r="EBX175" s="953"/>
      <c r="EBY175" s="953"/>
      <c r="EBZ175" s="953"/>
      <c r="ECA175" s="953"/>
      <c r="ECB175" s="953"/>
      <c r="ECC175" s="953"/>
      <c r="ECD175" s="953"/>
      <c r="ECE175" s="953"/>
      <c r="ECF175" s="953"/>
      <c r="ECG175" s="953"/>
      <c r="ECH175" s="953"/>
      <c r="ECI175" s="953"/>
      <c r="ECJ175" s="953"/>
      <c r="ECK175" s="953"/>
      <c r="ECL175" s="953"/>
      <c r="ECM175" s="953"/>
      <c r="ECN175" s="953"/>
      <c r="ECO175" s="953"/>
      <c r="ECP175" s="953"/>
      <c r="ECQ175" s="953"/>
      <c r="ECR175" s="953"/>
      <c r="ECS175" s="953"/>
      <c r="ECT175" s="953"/>
      <c r="ECU175" s="953"/>
      <c r="ECV175" s="953"/>
      <c r="ECW175" s="953"/>
      <c r="ECX175" s="953"/>
      <c r="ECY175" s="953"/>
      <c r="ECZ175" s="953"/>
      <c r="EDA175" s="953"/>
      <c r="EDB175" s="953"/>
      <c r="EDC175" s="953"/>
      <c r="EDD175" s="953"/>
      <c r="EDE175" s="953"/>
      <c r="EDF175" s="953"/>
      <c r="EDG175" s="953"/>
      <c r="EDH175" s="953"/>
      <c r="EDI175" s="953"/>
      <c r="EDJ175" s="953"/>
      <c r="EDK175" s="953"/>
      <c r="EDL175" s="953"/>
      <c r="EDM175" s="953"/>
      <c r="EDN175" s="953"/>
      <c r="EDO175" s="953"/>
      <c r="EDP175" s="953"/>
      <c r="EDQ175" s="953"/>
      <c r="EDR175" s="953"/>
      <c r="EDS175" s="953"/>
      <c r="EDT175" s="953"/>
      <c r="EDU175" s="953"/>
      <c r="EDV175" s="953"/>
      <c r="EDW175" s="953"/>
      <c r="EDX175" s="953"/>
      <c r="EDY175" s="953"/>
      <c r="EDZ175" s="953"/>
      <c r="EEA175" s="953"/>
      <c r="EEB175" s="953"/>
      <c r="EEC175" s="953"/>
      <c r="EED175" s="953"/>
      <c r="EEE175" s="953"/>
      <c r="EEF175" s="953"/>
      <c r="EEG175" s="953"/>
      <c r="EEH175" s="953"/>
      <c r="EEI175" s="953"/>
      <c r="EEJ175" s="953"/>
      <c r="EEK175" s="953"/>
      <c r="EEL175" s="953"/>
      <c r="EEM175" s="953"/>
      <c r="EEN175" s="953"/>
      <c r="EEO175" s="953"/>
      <c r="EEP175" s="953"/>
      <c r="EEQ175" s="953"/>
      <c r="EER175" s="953"/>
      <c r="EES175" s="953"/>
      <c r="EET175" s="953"/>
      <c r="EEU175" s="953"/>
      <c r="EEV175" s="953"/>
      <c r="EEW175" s="953"/>
      <c r="EEX175" s="953"/>
      <c r="EEY175" s="953"/>
      <c r="EEZ175" s="953"/>
      <c r="EFA175" s="953"/>
      <c r="EFB175" s="953"/>
      <c r="EFC175" s="953"/>
      <c r="EFD175" s="953"/>
      <c r="EFE175" s="953"/>
      <c r="EFF175" s="953"/>
      <c r="EFG175" s="953"/>
      <c r="EFH175" s="953"/>
      <c r="EFI175" s="953"/>
      <c r="EFJ175" s="953"/>
      <c r="EFK175" s="953"/>
      <c r="EFL175" s="953"/>
      <c r="EFM175" s="953"/>
      <c r="EFN175" s="953"/>
      <c r="EFO175" s="953"/>
      <c r="EFP175" s="953"/>
      <c r="EFQ175" s="953"/>
      <c r="EFR175" s="953"/>
      <c r="EFS175" s="953"/>
      <c r="EFT175" s="953"/>
      <c r="EFU175" s="953"/>
      <c r="EFV175" s="953"/>
      <c r="EFW175" s="953"/>
      <c r="EFX175" s="953"/>
      <c r="EFY175" s="953"/>
      <c r="EFZ175" s="953"/>
      <c r="EGA175" s="953"/>
      <c r="EGB175" s="953"/>
      <c r="EGC175" s="953"/>
      <c r="EGD175" s="953"/>
      <c r="EGE175" s="953"/>
      <c r="EGF175" s="953"/>
      <c r="EGG175" s="953"/>
      <c r="EGH175" s="953"/>
      <c r="EGI175" s="953"/>
      <c r="EGJ175" s="953"/>
      <c r="EGK175" s="953"/>
      <c r="EGL175" s="953"/>
      <c r="EGM175" s="953"/>
      <c r="EGN175" s="953"/>
      <c r="EGO175" s="953"/>
      <c r="EGP175" s="953"/>
      <c r="EGQ175" s="953"/>
      <c r="EGR175" s="953"/>
      <c r="EGS175" s="953"/>
      <c r="EGT175" s="953"/>
      <c r="EGU175" s="953"/>
      <c r="EGV175" s="953"/>
      <c r="EGW175" s="953"/>
      <c r="EGX175" s="953"/>
      <c r="EGY175" s="953"/>
      <c r="EGZ175" s="953"/>
      <c r="EHA175" s="953"/>
      <c r="EHB175" s="953"/>
      <c r="EHC175" s="953"/>
      <c r="EHD175" s="953"/>
      <c r="EHE175" s="953"/>
      <c r="EHF175" s="953"/>
      <c r="EHG175" s="953"/>
      <c r="EHH175" s="953"/>
      <c r="EHI175" s="953"/>
      <c r="EHJ175" s="953"/>
      <c r="EHK175" s="953"/>
      <c r="EHL175" s="953"/>
      <c r="EHM175" s="953"/>
      <c r="EHN175" s="953"/>
      <c r="EHO175" s="953"/>
      <c r="EHP175" s="953"/>
      <c r="EHQ175" s="953"/>
      <c r="EHR175" s="953"/>
      <c r="EHS175" s="953"/>
      <c r="EHT175" s="953"/>
      <c r="EHU175" s="953"/>
      <c r="EHV175" s="953"/>
      <c r="EHW175" s="953"/>
      <c r="EHX175" s="953"/>
      <c r="EHY175" s="953"/>
      <c r="EHZ175" s="953"/>
      <c r="EIA175" s="953"/>
      <c r="EIB175" s="953"/>
      <c r="EIC175" s="953"/>
      <c r="EID175" s="953"/>
      <c r="EIE175" s="953"/>
      <c r="EIF175" s="953"/>
      <c r="EIG175" s="953"/>
      <c r="EIH175" s="953"/>
      <c r="EII175" s="953"/>
      <c r="EIJ175" s="953"/>
      <c r="EIK175" s="953"/>
      <c r="EIL175" s="953"/>
      <c r="EIM175" s="953"/>
      <c r="EIN175" s="953"/>
      <c r="EIO175" s="953"/>
      <c r="EIP175" s="953"/>
      <c r="EIQ175" s="953"/>
      <c r="EIR175" s="953"/>
      <c r="EIS175" s="953"/>
      <c r="EIT175" s="953"/>
      <c r="EIU175" s="953"/>
      <c r="EIV175" s="953"/>
      <c r="EIW175" s="953"/>
      <c r="EIX175" s="953"/>
      <c r="EIY175" s="953"/>
      <c r="EIZ175" s="953"/>
      <c r="EJA175" s="953"/>
      <c r="EJB175" s="953"/>
      <c r="EJC175" s="953"/>
      <c r="EJD175" s="953"/>
      <c r="EJE175" s="953"/>
      <c r="EJF175" s="953"/>
      <c r="EJG175" s="953"/>
      <c r="EJH175" s="953"/>
      <c r="EJI175" s="953"/>
      <c r="EJJ175" s="953"/>
      <c r="EJK175" s="953"/>
      <c r="EJL175" s="953"/>
      <c r="EJM175" s="953"/>
      <c r="EJN175" s="953"/>
      <c r="EJO175" s="953"/>
      <c r="EJP175" s="953"/>
      <c r="EJQ175" s="953"/>
      <c r="EJR175" s="953"/>
      <c r="EJS175" s="953"/>
      <c r="EJT175" s="953"/>
      <c r="EJU175" s="953"/>
      <c r="EJV175" s="953"/>
      <c r="EJW175" s="953"/>
      <c r="EJX175" s="953"/>
      <c r="EJY175" s="953"/>
      <c r="EJZ175" s="953"/>
      <c r="EKA175" s="953"/>
      <c r="EKB175" s="953"/>
      <c r="EKC175" s="953"/>
      <c r="EKD175" s="953"/>
      <c r="EKE175" s="953"/>
      <c r="EKF175" s="953"/>
      <c r="EKG175" s="953"/>
      <c r="EKH175" s="953"/>
      <c r="EKI175" s="953"/>
      <c r="EKJ175" s="953"/>
      <c r="EKK175" s="953"/>
      <c r="EKL175" s="953"/>
      <c r="EKM175" s="953"/>
      <c r="EKN175" s="953"/>
      <c r="EKO175" s="953"/>
      <c r="EKP175" s="953"/>
      <c r="EKQ175" s="953"/>
      <c r="EKR175" s="953"/>
      <c r="EKS175" s="953"/>
      <c r="EKT175" s="953"/>
      <c r="EKU175" s="953"/>
      <c r="EKV175" s="953"/>
      <c r="EKW175" s="953"/>
      <c r="EKX175" s="953"/>
      <c r="EKY175" s="953"/>
      <c r="EKZ175" s="953"/>
      <c r="ELA175" s="953"/>
      <c r="ELB175" s="953"/>
      <c r="ELC175" s="953"/>
      <c r="ELD175" s="953"/>
      <c r="ELE175" s="953"/>
      <c r="ELF175" s="953"/>
      <c r="ELG175" s="953"/>
      <c r="ELH175" s="953"/>
      <c r="ELI175" s="953"/>
      <c r="ELJ175" s="953"/>
      <c r="ELK175" s="953"/>
      <c r="ELL175" s="953"/>
      <c r="ELM175" s="953"/>
      <c r="ELN175" s="953"/>
      <c r="ELO175" s="953"/>
      <c r="ELP175" s="953"/>
      <c r="ELQ175" s="953"/>
      <c r="ELR175" s="953"/>
      <c r="ELS175" s="953"/>
      <c r="ELT175" s="953"/>
      <c r="ELU175" s="953"/>
      <c r="ELV175" s="953"/>
      <c r="ELW175" s="953"/>
      <c r="ELX175" s="953"/>
      <c r="ELY175" s="953"/>
      <c r="ELZ175" s="953"/>
      <c r="EMA175" s="953"/>
      <c r="EMB175" s="953"/>
      <c r="EMC175" s="953"/>
      <c r="EMD175" s="953"/>
      <c r="EME175" s="953"/>
      <c r="EMF175" s="953"/>
      <c r="EMG175" s="953"/>
      <c r="EMH175" s="953"/>
      <c r="EMI175" s="953"/>
      <c r="EMJ175" s="953"/>
      <c r="EMK175" s="953"/>
      <c r="EML175" s="953"/>
      <c r="EMM175" s="953"/>
      <c r="EMN175" s="953"/>
      <c r="EMO175" s="953"/>
      <c r="EMP175" s="953"/>
      <c r="EMQ175" s="953"/>
      <c r="EMR175" s="953"/>
      <c r="EMS175" s="953"/>
      <c r="EMT175" s="953"/>
      <c r="EMU175" s="953"/>
      <c r="EMV175" s="953"/>
      <c r="EMW175" s="953"/>
      <c r="EMX175" s="953"/>
      <c r="EMY175" s="953"/>
      <c r="EMZ175" s="953"/>
      <c r="ENA175" s="953"/>
      <c r="ENB175" s="953"/>
      <c r="ENC175" s="953"/>
      <c r="END175" s="953"/>
      <c r="ENE175" s="953"/>
      <c r="ENF175" s="953"/>
      <c r="ENG175" s="953"/>
      <c r="ENH175" s="953"/>
      <c r="ENI175" s="953"/>
      <c r="ENJ175" s="953"/>
      <c r="ENK175" s="953"/>
      <c r="ENL175" s="953"/>
      <c r="ENM175" s="953"/>
      <c r="ENN175" s="953"/>
      <c r="ENO175" s="953"/>
      <c r="ENP175" s="953"/>
      <c r="ENQ175" s="953"/>
      <c r="ENR175" s="953"/>
      <c r="ENS175" s="953"/>
      <c r="ENT175" s="953"/>
      <c r="ENU175" s="953"/>
      <c r="ENV175" s="953"/>
      <c r="ENW175" s="953"/>
      <c r="ENX175" s="953"/>
      <c r="ENY175" s="953"/>
      <c r="ENZ175" s="953"/>
      <c r="EOA175" s="953"/>
      <c r="EOB175" s="953"/>
      <c r="EOC175" s="953"/>
      <c r="EOD175" s="953"/>
      <c r="EOE175" s="953"/>
      <c r="EOF175" s="953"/>
      <c r="EOG175" s="953"/>
      <c r="EOH175" s="953"/>
      <c r="EOI175" s="953"/>
      <c r="EOJ175" s="953"/>
      <c r="EOK175" s="953"/>
      <c r="EOL175" s="953"/>
      <c r="EOM175" s="953"/>
      <c r="EON175" s="953"/>
      <c r="EOO175" s="953"/>
      <c r="EOP175" s="953"/>
      <c r="EOQ175" s="953"/>
      <c r="EOR175" s="953"/>
      <c r="EOS175" s="953"/>
      <c r="EOT175" s="953"/>
      <c r="EOU175" s="953"/>
      <c r="EOV175" s="953"/>
      <c r="EOW175" s="953"/>
      <c r="EOX175" s="953"/>
      <c r="EOY175" s="953"/>
      <c r="EOZ175" s="953"/>
      <c r="EPA175" s="953"/>
      <c r="EPB175" s="953"/>
      <c r="EPC175" s="953"/>
      <c r="EPD175" s="953"/>
      <c r="EPE175" s="953"/>
      <c r="EPF175" s="953"/>
      <c r="EPG175" s="953"/>
      <c r="EPH175" s="953"/>
      <c r="EPI175" s="953"/>
      <c r="EPJ175" s="953"/>
      <c r="EPK175" s="953"/>
      <c r="EPL175" s="953"/>
      <c r="EPM175" s="953"/>
      <c r="EPN175" s="953"/>
      <c r="EPO175" s="953"/>
      <c r="EPP175" s="953"/>
      <c r="EPQ175" s="953"/>
      <c r="EPR175" s="953"/>
      <c r="EPS175" s="953"/>
      <c r="EPT175" s="953"/>
      <c r="EPU175" s="953"/>
      <c r="EPV175" s="953"/>
      <c r="EPW175" s="953"/>
      <c r="EPX175" s="953"/>
      <c r="EPY175" s="953"/>
      <c r="EPZ175" s="953"/>
      <c r="EQA175" s="953"/>
      <c r="EQB175" s="953"/>
      <c r="EQC175" s="953"/>
      <c r="EQD175" s="953"/>
      <c r="EQE175" s="953"/>
      <c r="EQF175" s="953"/>
      <c r="EQG175" s="953"/>
      <c r="EQH175" s="953"/>
      <c r="EQI175" s="953"/>
      <c r="EQJ175" s="953"/>
      <c r="EQK175" s="953"/>
      <c r="EQL175" s="953"/>
      <c r="EQM175" s="953"/>
      <c r="EQN175" s="953"/>
      <c r="EQO175" s="953"/>
      <c r="EQP175" s="953"/>
      <c r="EQQ175" s="953"/>
      <c r="EQR175" s="953"/>
      <c r="EQS175" s="953"/>
      <c r="EQT175" s="953"/>
      <c r="EQU175" s="953"/>
      <c r="EQV175" s="953"/>
      <c r="EQW175" s="953"/>
      <c r="EQX175" s="953"/>
      <c r="EQY175" s="953"/>
      <c r="EQZ175" s="953"/>
      <c r="ERA175" s="953"/>
      <c r="ERB175" s="953"/>
      <c r="ERC175" s="953"/>
      <c r="ERD175" s="953"/>
      <c r="ERE175" s="953"/>
      <c r="ERF175" s="953"/>
      <c r="ERG175" s="953"/>
      <c r="ERH175" s="953"/>
      <c r="ERI175" s="953"/>
      <c r="ERJ175" s="953"/>
      <c r="ERK175" s="953"/>
      <c r="ERL175" s="953"/>
      <c r="ERM175" s="953"/>
      <c r="ERN175" s="953"/>
      <c r="ERO175" s="953"/>
      <c r="ERP175" s="953"/>
      <c r="ERQ175" s="953"/>
      <c r="ERR175" s="953"/>
      <c r="ERS175" s="953"/>
      <c r="ERT175" s="953"/>
      <c r="ERU175" s="953"/>
      <c r="ERV175" s="953"/>
      <c r="ERW175" s="953"/>
      <c r="ERX175" s="953"/>
      <c r="ERY175" s="953"/>
      <c r="ERZ175" s="953"/>
      <c r="ESA175" s="953"/>
      <c r="ESB175" s="953"/>
      <c r="ESC175" s="953"/>
      <c r="ESD175" s="953"/>
      <c r="ESE175" s="953"/>
      <c r="ESF175" s="953"/>
      <c r="ESG175" s="953"/>
      <c r="ESH175" s="953"/>
      <c r="ESI175" s="953"/>
      <c r="ESJ175" s="953"/>
      <c r="ESK175" s="953"/>
      <c r="ESL175" s="953"/>
      <c r="ESM175" s="953"/>
      <c r="ESN175" s="953"/>
      <c r="ESO175" s="953"/>
      <c r="ESP175" s="953"/>
      <c r="ESQ175" s="953"/>
      <c r="ESR175" s="953"/>
      <c r="ESS175" s="953"/>
      <c r="EST175" s="953"/>
      <c r="ESU175" s="953"/>
      <c r="ESV175" s="953"/>
      <c r="ESW175" s="953"/>
      <c r="ESX175" s="953"/>
      <c r="ESY175" s="953"/>
      <c r="ESZ175" s="953"/>
      <c r="ETA175" s="953"/>
      <c r="ETB175" s="953"/>
      <c r="ETC175" s="953"/>
      <c r="ETD175" s="953"/>
      <c r="ETE175" s="953"/>
      <c r="ETF175" s="953"/>
      <c r="ETG175" s="953"/>
      <c r="ETH175" s="953"/>
      <c r="ETI175" s="953"/>
      <c r="ETJ175" s="953"/>
      <c r="ETK175" s="953"/>
      <c r="ETL175" s="953"/>
      <c r="ETM175" s="953"/>
      <c r="ETN175" s="953"/>
      <c r="ETO175" s="953"/>
      <c r="ETP175" s="953"/>
      <c r="ETQ175" s="953"/>
      <c r="ETR175" s="953"/>
      <c r="ETS175" s="953"/>
      <c r="ETT175" s="953"/>
      <c r="ETU175" s="953"/>
      <c r="ETV175" s="953"/>
      <c r="ETW175" s="953"/>
      <c r="ETX175" s="953"/>
      <c r="ETY175" s="953"/>
      <c r="ETZ175" s="953"/>
      <c r="EUA175" s="953"/>
      <c r="EUB175" s="953"/>
      <c r="EUC175" s="953"/>
      <c r="EUD175" s="953"/>
      <c r="EUE175" s="953"/>
      <c r="EUF175" s="953"/>
      <c r="EUG175" s="953"/>
      <c r="EUH175" s="953"/>
      <c r="EUI175" s="953"/>
      <c r="EUJ175" s="953"/>
      <c r="EUK175" s="953"/>
      <c r="EUL175" s="953"/>
      <c r="EUM175" s="953"/>
      <c r="EUN175" s="953"/>
      <c r="EUO175" s="953"/>
      <c r="EUP175" s="953"/>
      <c r="EUQ175" s="953"/>
      <c r="EUR175" s="953"/>
      <c r="EUS175" s="953"/>
      <c r="EUT175" s="953"/>
      <c r="EUU175" s="953"/>
      <c r="EUV175" s="953"/>
      <c r="EUW175" s="953"/>
      <c r="EUX175" s="953"/>
      <c r="EUY175" s="953"/>
      <c r="EUZ175" s="953"/>
      <c r="EVA175" s="953"/>
      <c r="EVB175" s="953"/>
      <c r="EVC175" s="953"/>
      <c r="EVD175" s="953"/>
      <c r="EVE175" s="953"/>
      <c r="EVF175" s="953"/>
      <c r="EVG175" s="953"/>
      <c r="EVH175" s="953"/>
      <c r="EVI175" s="953"/>
      <c r="EVJ175" s="953"/>
      <c r="EVK175" s="953"/>
      <c r="EVL175" s="953"/>
      <c r="EVM175" s="953"/>
      <c r="EVN175" s="953"/>
      <c r="EVO175" s="953"/>
      <c r="EVP175" s="953"/>
      <c r="EVQ175" s="953"/>
      <c r="EVR175" s="953"/>
      <c r="EVS175" s="953"/>
      <c r="EVT175" s="953"/>
      <c r="EVU175" s="953"/>
      <c r="EVV175" s="953"/>
      <c r="EVW175" s="953"/>
      <c r="EVX175" s="953"/>
      <c r="EVY175" s="953"/>
      <c r="EVZ175" s="953"/>
      <c r="EWA175" s="953"/>
      <c r="EWB175" s="953"/>
      <c r="EWC175" s="953"/>
      <c r="EWD175" s="953"/>
      <c r="EWE175" s="953"/>
      <c r="EWF175" s="953"/>
      <c r="EWG175" s="953"/>
      <c r="EWH175" s="953"/>
      <c r="EWI175" s="953"/>
      <c r="EWJ175" s="953"/>
      <c r="EWK175" s="953"/>
      <c r="EWL175" s="953"/>
      <c r="EWM175" s="953"/>
      <c r="EWN175" s="953"/>
      <c r="EWO175" s="953"/>
      <c r="EWP175" s="953"/>
      <c r="EWQ175" s="953"/>
      <c r="EWR175" s="953"/>
      <c r="EWS175" s="953"/>
      <c r="EWT175" s="953"/>
      <c r="EWU175" s="953"/>
      <c r="EWV175" s="953"/>
      <c r="EWW175" s="953"/>
      <c r="EWX175" s="953"/>
      <c r="EWY175" s="953"/>
      <c r="EWZ175" s="953"/>
      <c r="EXA175" s="953"/>
      <c r="EXB175" s="953"/>
      <c r="EXC175" s="953"/>
      <c r="EXD175" s="953"/>
      <c r="EXE175" s="953"/>
      <c r="EXF175" s="953"/>
      <c r="EXG175" s="953"/>
      <c r="EXH175" s="953"/>
      <c r="EXI175" s="953"/>
      <c r="EXJ175" s="953"/>
      <c r="EXK175" s="953"/>
      <c r="EXL175" s="953"/>
      <c r="EXM175" s="953"/>
      <c r="EXN175" s="953"/>
      <c r="EXO175" s="953"/>
      <c r="EXP175" s="953"/>
      <c r="EXQ175" s="953"/>
      <c r="EXR175" s="953"/>
      <c r="EXS175" s="953"/>
      <c r="EXT175" s="953"/>
      <c r="EXU175" s="953"/>
      <c r="EXV175" s="953"/>
      <c r="EXW175" s="953"/>
      <c r="EXX175" s="953"/>
      <c r="EXY175" s="953"/>
      <c r="EXZ175" s="953"/>
      <c r="EYA175" s="953"/>
      <c r="EYB175" s="953"/>
      <c r="EYC175" s="953"/>
      <c r="EYD175" s="953"/>
      <c r="EYE175" s="953"/>
      <c r="EYF175" s="953"/>
      <c r="EYG175" s="953"/>
      <c r="EYH175" s="953"/>
      <c r="EYI175" s="953"/>
      <c r="EYJ175" s="953"/>
      <c r="EYK175" s="953"/>
      <c r="EYL175" s="953"/>
      <c r="EYM175" s="953"/>
      <c r="EYN175" s="953"/>
      <c r="EYO175" s="953"/>
      <c r="EYP175" s="953"/>
      <c r="EYQ175" s="953"/>
      <c r="EYR175" s="953"/>
      <c r="EYS175" s="953"/>
      <c r="EYT175" s="953"/>
      <c r="EYU175" s="953"/>
      <c r="EYV175" s="953"/>
      <c r="EYW175" s="953"/>
      <c r="EYX175" s="953"/>
      <c r="EYY175" s="953"/>
      <c r="EYZ175" s="953"/>
      <c r="EZA175" s="953"/>
      <c r="EZB175" s="953"/>
      <c r="EZC175" s="953"/>
      <c r="EZD175" s="953"/>
      <c r="EZE175" s="953"/>
      <c r="EZF175" s="953"/>
      <c r="EZG175" s="953"/>
      <c r="EZH175" s="953"/>
      <c r="EZI175" s="953"/>
      <c r="EZJ175" s="953"/>
      <c r="EZK175" s="953"/>
      <c r="EZL175" s="953"/>
      <c r="EZM175" s="953"/>
      <c r="EZN175" s="953"/>
      <c r="EZO175" s="953"/>
      <c r="EZP175" s="953"/>
      <c r="EZQ175" s="953"/>
      <c r="EZR175" s="953"/>
      <c r="EZS175" s="953"/>
      <c r="EZT175" s="953"/>
      <c r="EZU175" s="953"/>
      <c r="EZV175" s="953"/>
      <c r="EZW175" s="953"/>
      <c r="EZX175" s="953"/>
      <c r="EZY175" s="953"/>
      <c r="EZZ175" s="953"/>
      <c r="FAA175" s="953"/>
      <c r="FAB175" s="953"/>
      <c r="FAC175" s="953"/>
      <c r="FAD175" s="953"/>
      <c r="FAE175" s="953"/>
      <c r="FAF175" s="953"/>
      <c r="FAG175" s="953"/>
      <c r="FAH175" s="953"/>
      <c r="FAI175" s="953"/>
      <c r="FAJ175" s="953"/>
      <c r="FAK175" s="953"/>
      <c r="FAL175" s="953"/>
      <c r="FAM175" s="953"/>
      <c r="FAN175" s="953"/>
      <c r="FAO175" s="953"/>
      <c r="FAP175" s="953"/>
      <c r="FAQ175" s="953"/>
      <c r="FAR175" s="953"/>
      <c r="FAS175" s="953"/>
      <c r="FAT175" s="953"/>
      <c r="FAU175" s="953"/>
      <c r="FAV175" s="953"/>
      <c r="FAW175" s="953"/>
      <c r="FAX175" s="953"/>
      <c r="FAY175" s="953"/>
      <c r="FAZ175" s="953"/>
      <c r="FBA175" s="953"/>
      <c r="FBB175" s="953"/>
      <c r="FBC175" s="953"/>
      <c r="FBD175" s="953"/>
      <c r="FBE175" s="953"/>
      <c r="FBF175" s="953"/>
      <c r="FBG175" s="953"/>
      <c r="FBH175" s="953"/>
      <c r="FBI175" s="953"/>
      <c r="FBJ175" s="953"/>
      <c r="FBK175" s="953"/>
      <c r="FBL175" s="953"/>
      <c r="FBM175" s="953"/>
      <c r="FBN175" s="953"/>
      <c r="FBO175" s="953"/>
      <c r="FBP175" s="953"/>
      <c r="FBQ175" s="953"/>
      <c r="FBR175" s="953"/>
      <c r="FBS175" s="953"/>
      <c r="FBT175" s="953"/>
      <c r="FBU175" s="953"/>
      <c r="FBV175" s="953"/>
      <c r="FBW175" s="953"/>
      <c r="FBX175" s="953"/>
      <c r="FBY175" s="953"/>
      <c r="FBZ175" s="953"/>
      <c r="FCA175" s="953"/>
      <c r="FCB175" s="953"/>
      <c r="FCC175" s="953"/>
      <c r="FCD175" s="953"/>
      <c r="FCE175" s="953"/>
      <c r="FCF175" s="953"/>
      <c r="FCG175" s="953"/>
      <c r="FCH175" s="953"/>
      <c r="FCI175" s="953"/>
      <c r="FCJ175" s="953"/>
      <c r="FCK175" s="953"/>
      <c r="FCL175" s="953"/>
      <c r="FCM175" s="953"/>
      <c r="FCN175" s="953"/>
      <c r="FCO175" s="953"/>
      <c r="FCP175" s="953"/>
      <c r="FCQ175" s="953"/>
      <c r="FCR175" s="953"/>
      <c r="FCS175" s="953"/>
      <c r="FCT175" s="953"/>
      <c r="FCU175" s="953"/>
      <c r="FCV175" s="953"/>
      <c r="FCW175" s="953"/>
      <c r="FCX175" s="953"/>
      <c r="FCY175" s="953"/>
      <c r="FCZ175" s="953"/>
      <c r="FDA175" s="953"/>
      <c r="FDB175" s="953"/>
      <c r="FDC175" s="953"/>
      <c r="FDD175" s="953"/>
      <c r="FDE175" s="953"/>
      <c r="FDF175" s="953"/>
      <c r="FDG175" s="953"/>
      <c r="FDH175" s="953"/>
      <c r="FDI175" s="953"/>
      <c r="FDJ175" s="953"/>
      <c r="FDK175" s="953"/>
      <c r="FDL175" s="953"/>
      <c r="FDM175" s="953"/>
      <c r="FDN175" s="953"/>
      <c r="FDO175" s="953"/>
      <c r="FDP175" s="953"/>
      <c r="FDQ175" s="953"/>
      <c r="FDR175" s="953"/>
      <c r="FDS175" s="953"/>
      <c r="FDT175" s="953"/>
      <c r="FDU175" s="953"/>
      <c r="FDV175" s="953"/>
      <c r="FDW175" s="953"/>
      <c r="FDX175" s="953"/>
      <c r="FDY175" s="953"/>
      <c r="FDZ175" s="953"/>
      <c r="FEA175" s="953"/>
      <c r="FEB175" s="953"/>
      <c r="FEC175" s="953"/>
      <c r="FED175" s="953"/>
      <c r="FEE175" s="953"/>
      <c r="FEF175" s="953"/>
      <c r="FEG175" s="953"/>
      <c r="FEH175" s="953"/>
      <c r="FEI175" s="953"/>
      <c r="FEJ175" s="953"/>
      <c r="FEK175" s="953"/>
      <c r="FEL175" s="953"/>
      <c r="FEM175" s="953"/>
      <c r="FEN175" s="953"/>
      <c r="FEO175" s="953"/>
      <c r="FEP175" s="953"/>
      <c r="FEQ175" s="953"/>
      <c r="FER175" s="953"/>
      <c r="FES175" s="953"/>
      <c r="FET175" s="953"/>
      <c r="FEU175" s="953"/>
      <c r="FEV175" s="953"/>
      <c r="FEW175" s="953"/>
      <c r="FEX175" s="953"/>
      <c r="FEY175" s="953"/>
      <c r="FEZ175" s="953"/>
      <c r="FFA175" s="953"/>
      <c r="FFB175" s="953"/>
      <c r="FFC175" s="953"/>
      <c r="FFD175" s="953"/>
      <c r="FFE175" s="953"/>
      <c r="FFF175" s="953"/>
      <c r="FFG175" s="953"/>
      <c r="FFH175" s="953"/>
      <c r="FFI175" s="953"/>
      <c r="FFJ175" s="953"/>
      <c r="FFK175" s="953"/>
      <c r="FFL175" s="953"/>
      <c r="FFM175" s="953"/>
      <c r="FFN175" s="953"/>
      <c r="FFO175" s="953"/>
      <c r="FFP175" s="953"/>
      <c r="FFQ175" s="953"/>
      <c r="FFR175" s="953"/>
      <c r="FFS175" s="953"/>
      <c r="FFT175" s="953"/>
      <c r="FFU175" s="953"/>
      <c r="FFV175" s="953"/>
      <c r="FFW175" s="953"/>
      <c r="FFX175" s="953"/>
      <c r="FFY175" s="953"/>
      <c r="FFZ175" s="953"/>
      <c r="FGA175" s="953"/>
      <c r="FGB175" s="953"/>
      <c r="FGC175" s="953"/>
      <c r="FGD175" s="953"/>
      <c r="FGE175" s="953"/>
      <c r="FGF175" s="953"/>
      <c r="FGG175" s="953"/>
      <c r="FGH175" s="953"/>
      <c r="FGI175" s="953"/>
      <c r="FGJ175" s="953"/>
      <c r="FGK175" s="953"/>
      <c r="FGL175" s="953"/>
      <c r="FGM175" s="953"/>
      <c r="FGN175" s="953"/>
      <c r="FGO175" s="953"/>
      <c r="FGP175" s="953"/>
      <c r="FGQ175" s="953"/>
      <c r="FGR175" s="953"/>
      <c r="FGS175" s="953"/>
      <c r="FGT175" s="953"/>
      <c r="FGU175" s="953"/>
      <c r="FGV175" s="953"/>
      <c r="FGW175" s="953"/>
      <c r="FGX175" s="953"/>
      <c r="FGY175" s="953"/>
      <c r="FGZ175" s="953"/>
      <c r="FHA175" s="953"/>
      <c r="FHB175" s="953"/>
      <c r="FHC175" s="953"/>
      <c r="FHD175" s="953"/>
      <c r="FHE175" s="953"/>
      <c r="FHF175" s="953"/>
      <c r="FHG175" s="953"/>
      <c r="FHH175" s="953"/>
      <c r="FHI175" s="953"/>
      <c r="FHJ175" s="953"/>
      <c r="FHK175" s="953"/>
      <c r="FHL175" s="953"/>
      <c r="FHM175" s="953"/>
      <c r="FHN175" s="953"/>
      <c r="FHO175" s="953"/>
      <c r="FHP175" s="953"/>
      <c r="FHQ175" s="953"/>
      <c r="FHR175" s="953"/>
      <c r="FHS175" s="953"/>
      <c r="FHT175" s="953"/>
      <c r="FHU175" s="953"/>
      <c r="FHV175" s="953"/>
      <c r="FHW175" s="953"/>
      <c r="FHX175" s="953"/>
      <c r="FHY175" s="953"/>
      <c r="FHZ175" s="953"/>
      <c r="FIA175" s="953"/>
      <c r="FIB175" s="953"/>
      <c r="FIC175" s="953"/>
      <c r="FID175" s="953"/>
      <c r="FIE175" s="953"/>
      <c r="FIF175" s="953"/>
      <c r="FIG175" s="953"/>
      <c r="FIH175" s="953"/>
      <c r="FII175" s="953"/>
      <c r="FIJ175" s="953"/>
      <c r="FIK175" s="953"/>
      <c r="FIL175" s="953"/>
      <c r="FIM175" s="953"/>
      <c r="FIN175" s="953"/>
      <c r="FIO175" s="953"/>
      <c r="FIP175" s="953"/>
      <c r="FIQ175" s="953"/>
      <c r="FIR175" s="953"/>
      <c r="FIS175" s="953"/>
      <c r="FIT175" s="953"/>
      <c r="FIU175" s="953"/>
      <c r="FIV175" s="953"/>
      <c r="FIW175" s="953"/>
      <c r="FIX175" s="953"/>
      <c r="FIY175" s="953"/>
      <c r="FIZ175" s="953"/>
      <c r="FJA175" s="953"/>
      <c r="FJB175" s="953"/>
      <c r="FJC175" s="953"/>
      <c r="FJD175" s="953"/>
      <c r="FJE175" s="953"/>
      <c r="FJF175" s="953"/>
      <c r="FJG175" s="953"/>
      <c r="FJH175" s="953"/>
      <c r="FJI175" s="953"/>
      <c r="FJJ175" s="953"/>
      <c r="FJK175" s="953"/>
      <c r="FJL175" s="953"/>
      <c r="FJM175" s="953"/>
      <c r="FJN175" s="953"/>
      <c r="FJO175" s="953"/>
      <c r="FJP175" s="953"/>
      <c r="FJQ175" s="953"/>
      <c r="FJR175" s="953"/>
      <c r="FJS175" s="953"/>
      <c r="FJT175" s="953"/>
      <c r="FJU175" s="953"/>
      <c r="FJV175" s="953"/>
      <c r="FJW175" s="953"/>
      <c r="FJX175" s="953"/>
      <c r="FJY175" s="953"/>
      <c r="FJZ175" s="953"/>
      <c r="FKA175" s="953"/>
      <c r="FKB175" s="953"/>
      <c r="FKC175" s="953"/>
      <c r="FKD175" s="953"/>
      <c r="FKE175" s="953"/>
      <c r="FKF175" s="953"/>
      <c r="FKG175" s="953"/>
      <c r="FKH175" s="953"/>
      <c r="FKI175" s="953"/>
      <c r="FKJ175" s="953"/>
      <c r="FKK175" s="953"/>
      <c r="FKL175" s="953"/>
      <c r="FKM175" s="953"/>
      <c r="FKN175" s="953"/>
      <c r="FKO175" s="953"/>
      <c r="FKP175" s="953"/>
      <c r="FKQ175" s="953"/>
      <c r="FKR175" s="953"/>
      <c r="FKS175" s="953"/>
      <c r="FKT175" s="953"/>
      <c r="FKU175" s="953"/>
      <c r="FKV175" s="953"/>
      <c r="FKW175" s="953"/>
      <c r="FKX175" s="953"/>
      <c r="FKY175" s="953"/>
      <c r="FKZ175" s="953"/>
      <c r="FLA175" s="953"/>
      <c r="FLB175" s="953"/>
      <c r="FLC175" s="953"/>
      <c r="FLD175" s="953"/>
      <c r="FLE175" s="953"/>
      <c r="FLF175" s="953"/>
      <c r="FLG175" s="953"/>
      <c r="FLH175" s="953"/>
      <c r="FLI175" s="953"/>
      <c r="FLJ175" s="953"/>
      <c r="FLK175" s="953"/>
      <c r="FLL175" s="953"/>
      <c r="FLM175" s="953"/>
      <c r="FLN175" s="953"/>
      <c r="FLO175" s="953"/>
      <c r="FLP175" s="953"/>
      <c r="FLQ175" s="953"/>
      <c r="FLR175" s="953"/>
      <c r="FLS175" s="953"/>
      <c r="FLT175" s="953"/>
      <c r="FLU175" s="953"/>
      <c r="FLV175" s="953"/>
      <c r="FLW175" s="953"/>
      <c r="FLX175" s="953"/>
      <c r="FLY175" s="953"/>
      <c r="FLZ175" s="953"/>
      <c r="FMA175" s="953"/>
      <c r="FMB175" s="953"/>
      <c r="FMC175" s="953"/>
      <c r="FMD175" s="953"/>
      <c r="FME175" s="953"/>
      <c r="FMF175" s="953"/>
      <c r="FMG175" s="953"/>
      <c r="FMH175" s="953"/>
      <c r="FMI175" s="953"/>
      <c r="FMJ175" s="953"/>
      <c r="FMK175" s="953"/>
      <c r="FML175" s="953"/>
      <c r="FMM175" s="953"/>
      <c r="FMN175" s="953"/>
      <c r="FMO175" s="953"/>
      <c r="FMP175" s="953"/>
      <c r="FMQ175" s="953"/>
      <c r="FMR175" s="953"/>
      <c r="FMS175" s="953"/>
      <c r="FMT175" s="953"/>
      <c r="FMU175" s="953"/>
      <c r="FMV175" s="953"/>
      <c r="FMW175" s="953"/>
      <c r="FMX175" s="953"/>
      <c r="FMY175" s="953"/>
      <c r="FMZ175" s="953"/>
      <c r="FNA175" s="953"/>
      <c r="FNB175" s="953"/>
      <c r="FNC175" s="953"/>
      <c r="FND175" s="953"/>
      <c r="FNE175" s="953"/>
      <c r="FNF175" s="953"/>
      <c r="FNG175" s="953"/>
      <c r="FNH175" s="953"/>
      <c r="FNI175" s="953"/>
      <c r="FNJ175" s="953"/>
      <c r="FNK175" s="953"/>
      <c r="FNL175" s="953"/>
      <c r="FNM175" s="953"/>
      <c r="FNN175" s="953"/>
      <c r="FNO175" s="953"/>
      <c r="FNP175" s="953"/>
      <c r="FNQ175" s="953"/>
      <c r="FNR175" s="953"/>
      <c r="FNS175" s="953"/>
      <c r="FNT175" s="953"/>
      <c r="FNU175" s="953"/>
      <c r="FNV175" s="953"/>
      <c r="FNW175" s="953"/>
      <c r="FNX175" s="953"/>
      <c r="FNY175" s="953"/>
      <c r="FNZ175" s="953"/>
      <c r="FOA175" s="953"/>
      <c r="FOB175" s="953"/>
      <c r="FOC175" s="953"/>
      <c r="FOD175" s="953"/>
      <c r="FOE175" s="953"/>
      <c r="FOF175" s="953"/>
      <c r="FOG175" s="953"/>
      <c r="FOH175" s="953"/>
      <c r="FOI175" s="953"/>
      <c r="FOJ175" s="953"/>
      <c r="FOK175" s="953"/>
      <c r="FOL175" s="953"/>
      <c r="FOM175" s="953"/>
      <c r="FON175" s="953"/>
      <c r="FOO175" s="953"/>
      <c r="FOP175" s="953"/>
      <c r="FOQ175" s="953"/>
      <c r="FOR175" s="953"/>
      <c r="FOS175" s="953"/>
      <c r="FOT175" s="953"/>
      <c r="FOU175" s="953"/>
      <c r="FOV175" s="953"/>
      <c r="FOW175" s="953"/>
      <c r="FOX175" s="953"/>
      <c r="FOY175" s="953"/>
      <c r="FOZ175" s="953"/>
      <c r="FPA175" s="953"/>
      <c r="FPB175" s="953"/>
      <c r="FPC175" s="953"/>
      <c r="FPD175" s="953"/>
      <c r="FPE175" s="953"/>
      <c r="FPF175" s="953"/>
      <c r="FPG175" s="953"/>
      <c r="FPH175" s="953"/>
      <c r="FPI175" s="953"/>
      <c r="FPJ175" s="953"/>
      <c r="FPK175" s="953"/>
      <c r="FPL175" s="953"/>
      <c r="FPM175" s="953"/>
      <c r="FPN175" s="953"/>
      <c r="FPO175" s="953"/>
      <c r="FPP175" s="953"/>
      <c r="FPQ175" s="953"/>
      <c r="FPR175" s="953"/>
      <c r="FPS175" s="953"/>
      <c r="FPT175" s="953"/>
      <c r="FPU175" s="953"/>
      <c r="FPV175" s="953"/>
      <c r="FPW175" s="953"/>
      <c r="FPX175" s="953"/>
      <c r="FPY175" s="953"/>
      <c r="FPZ175" s="953"/>
      <c r="FQA175" s="953"/>
      <c r="FQB175" s="953"/>
      <c r="FQC175" s="953"/>
      <c r="FQD175" s="953"/>
      <c r="FQE175" s="953"/>
      <c r="FQF175" s="953"/>
      <c r="FQG175" s="953"/>
      <c r="FQH175" s="953"/>
      <c r="FQI175" s="953"/>
      <c r="FQJ175" s="953"/>
      <c r="FQK175" s="953"/>
      <c r="FQL175" s="953"/>
      <c r="FQM175" s="953"/>
      <c r="FQN175" s="953"/>
      <c r="FQO175" s="953"/>
      <c r="FQP175" s="953"/>
      <c r="FQQ175" s="953"/>
      <c r="FQR175" s="953"/>
      <c r="FQS175" s="953"/>
      <c r="FQT175" s="953"/>
      <c r="FQU175" s="953"/>
      <c r="FQV175" s="953"/>
      <c r="FQW175" s="953"/>
      <c r="FQX175" s="953"/>
      <c r="FQY175" s="953"/>
      <c r="FQZ175" s="953"/>
      <c r="FRA175" s="953"/>
      <c r="FRB175" s="953"/>
      <c r="FRC175" s="953"/>
      <c r="FRD175" s="953"/>
      <c r="FRE175" s="953"/>
      <c r="FRF175" s="953"/>
      <c r="FRG175" s="953"/>
      <c r="FRH175" s="953"/>
      <c r="FRI175" s="953"/>
      <c r="FRJ175" s="953"/>
      <c r="FRK175" s="953"/>
      <c r="FRL175" s="953"/>
      <c r="FRM175" s="953"/>
      <c r="FRN175" s="953"/>
      <c r="FRO175" s="953"/>
      <c r="FRP175" s="953"/>
      <c r="FRQ175" s="953"/>
      <c r="FRR175" s="953"/>
      <c r="FRS175" s="953"/>
      <c r="FRT175" s="953"/>
      <c r="FRU175" s="953"/>
      <c r="FRV175" s="953"/>
      <c r="FRW175" s="953"/>
      <c r="FRX175" s="953"/>
      <c r="FRY175" s="953"/>
      <c r="FRZ175" s="953"/>
      <c r="FSA175" s="953"/>
      <c r="FSB175" s="953"/>
      <c r="FSC175" s="953"/>
      <c r="FSD175" s="953"/>
      <c r="FSE175" s="953"/>
      <c r="FSF175" s="953"/>
      <c r="FSG175" s="953"/>
      <c r="FSH175" s="953"/>
      <c r="FSI175" s="953"/>
      <c r="FSJ175" s="953"/>
      <c r="FSK175" s="953"/>
      <c r="FSL175" s="953"/>
      <c r="FSM175" s="953"/>
      <c r="FSN175" s="953"/>
      <c r="FSO175" s="953"/>
      <c r="FSP175" s="953"/>
      <c r="FSQ175" s="953"/>
      <c r="FSR175" s="953"/>
      <c r="FSS175" s="953"/>
      <c r="FST175" s="953"/>
      <c r="FSU175" s="953"/>
      <c r="FSV175" s="953"/>
      <c r="FSW175" s="953"/>
      <c r="FSX175" s="953"/>
      <c r="FSY175" s="953"/>
      <c r="FSZ175" s="953"/>
      <c r="FTA175" s="953"/>
      <c r="FTB175" s="953"/>
      <c r="FTC175" s="953"/>
      <c r="FTD175" s="953"/>
      <c r="FTE175" s="953"/>
      <c r="FTF175" s="953"/>
      <c r="FTG175" s="953"/>
      <c r="FTH175" s="953"/>
      <c r="FTI175" s="953"/>
      <c r="FTJ175" s="953"/>
      <c r="FTK175" s="953"/>
      <c r="FTL175" s="953"/>
      <c r="FTM175" s="953"/>
      <c r="FTN175" s="953"/>
      <c r="FTO175" s="953"/>
      <c r="FTP175" s="953"/>
      <c r="FTQ175" s="953"/>
      <c r="FTR175" s="953"/>
      <c r="FTS175" s="953"/>
      <c r="FTT175" s="953"/>
      <c r="FTU175" s="953"/>
      <c r="FTV175" s="953"/>
      <c r="FTW175" s="953"/>
      <c r="FTX175" s="953"/>
      <c r="FTY175" s="953"/>
      <c r="FTZ175" s="953"/>
      <c r="FUA175" s="953"/>
      <c r="FUB175" s="953"/>
      <c r="FUC175" s="953"/>
      <c r="FUD175" s="953"/>
      <c r="FUE175" s="953"/>
      <c r="FUF175" s="953"/>
      <c r="FUG175" s="953"/>
      <c r="FUH175" s="953"/>
      <c r="FUI175" s="953"/>
      <c r="FUJ175" s="953"/>
      <c r="FUK175" s="953"/>
      <c r="FUL175" s="953"/>
      <c r="FUM175" s="953"/>
      <c r="FUN175" s="953"/>
      <c r="FUO175" s="953"/>
      <c r="FUP175" s="953"/>
      <c r="FUQ175" s="953"/>
      <c r="FUR175" s="953"/>
      <c r="FUS175" s="953"/>
      <c r="FUT175" s="953"/>
      <c r="FUU175" s="953"/>
      <c r="FUV175" s="953"/>
      <c r="FUW175" s="953"/>
      <c r="FUX175" s="953"/>
      <c r="FUY175" s="953"/>
      <c r="FUZ175" s="953"/>
      <c r="FVA175" s="953"/>
      <c r="FVB175" s="953"/>
      <c r="FVC175" s="953"/>
      <c r="FVD175" s="953"/>
      <c r="FVE175" s="953"/>
      <c r="FVF175" s="953"/>
      <c r="FVG175" s="953"/>
      <c r="FVH175" s="953"/>
      <c r="FVI175" s="953"/>
      <c r="FVJ175" s="953"/>
      <c r="FVK175" s="953"/>
      <c r="FVL175" s="953"/>
      <c r="FVM175" s="953"/>
      <c r="FVN175" s="953"/>
      <c r="FVO175" s="953"/>
      <c r="FVP175" s="953"/>
      <c r="FVQ175" s="953"/>
      <c r="FVR175" s="953"/>
      <c r="FVS175" s="953"/>
      <c r="FVT175" s="953"/>
      <c r="FVU175" s="953"/>
      <c r="FVV175" s="953"/>
      <c r="FVW175" s="953"/>
      <c r="FVX175" s="953"/>
      <c r="FVY175" s="953"/>
      <c r="FVZ175" s="953"/>
      <c r="FWA175" s="953"/>
      <c r="FWB175" s="953"/>
      <c r="FWC175" s="953"/>
      <c r="FWD175" s="953"/>
      <c r="FWE175" s="953"/>
      <c r="FWF175" s="953"/>
      <c r="FWG175" s="953"/>
      <c r="FWH175" s="953"/>
      <c r="FWI175" s="953"/>
      <c r="FWJ175" s="953"/>
      <c r="FWK175" s="953"/>
      <c r="FWL175" s="953"/>
      <c r="FWM175" s="953"/>
      <c r="FWN175" s="953"/>
      <c r="FWO175" s="953"/>
      <c r="FWP175" s="953"/>
      <c r="FWQ175" s="953"/>
      <c r="FWR175" s="953"/>
      <c r="FWS175" s="953"/>
      <c r="FWT175" s="953"/>
      <c r="FWU175" s="953"/>
      <c r="FWV175" s="953"/>
      <c r="FWW175" s="953"/>
      <c r="FWX175" s="953"/>
      <c r="FWY175" s="953"/>
      <c r="FWZ175" s="953"/>
      <c r="FXA175" s="953"/>
      <c r="FXB175" s="953"/>
      <c r="FXC175" s="953"/>
      <c r="FXD175" s="953"/>
      <c r="FXE175" s="953"/>
      <c r="FXF175" s="953"/>
      <c r="FXG175" s="953"/>
      <c r="FXH175" s="953"/>
      <c r="FXI175" s="953"/>
      <c r="FXJ175" s="953"/>
      <c r="FXK175" s="953"/>
      <c r="FXL175" s="953"/>
      <c r="FXM175" s="953"/>
      <c r="FXN175" s="953"/>
      <c r="FXO175" s="953"/>
      <c r="FXP175" s="953"/>
      <c r="FXQ175" s="953"/>
      <c r="FXR175" s="953"/>
      <c r="FXS175" s="953"/>
      <c r="FXT175" s="953"/>
      <c r="FXU175" s="953"/>
      <c r="FXV175" s="953"/>
      <c r="FXW175" s="953"/>
      <c r="FXX175" s="953"/>
      <c r="FXY175" s="953"/>
      <c r="FXZ175" s="953"/>
      <c r="FYA175" s="953"/>
      <c r="FYB175" s="953"/>
      <c r="FYC175" s="953"/>
      <c r="FYD175" s="953"/>
      <c r="FYE175" s="953"/>
      <c r="FYF175" s="953"/>
      <c r="FYG175" s="953"/>
      <c r="FYH175" s="953"/>
      <c r="FYI175" s="953"/>
      <c r="FYJ175" s="953"/>
      <c r="FYK175" s="953"/>
      <c r="FYL175" s="953"/>
      <c r="FYM175" s="953"/>
      <c r="FYN175" s="953"/>
      <c r="FYO175" s="953"/>
      <c r="FYP175" s="953"/>
      <c r="FYQ175" s="953"/>
      <c r="FYR175" s="953"/>
      <c r="FYS175" s="953"/>
      <c r="FYT175" s="953"/>
      <c r="FYU175" s="953"/>
      <c r="FYV175" s="953"/>
      <c r="FYW175" s="953"/>
      <c r="FYX175" s="953"/>
      <c r="FYY175" s="953"/>
      <c r="FYZ175" s="953"/>
      <c r="FZA175" s="953"/>
      <c r="FZB175" s="953"/>
      <c r="FZC175" s="953"/>
      <c r="FZD175" s="953"/>
      <c r="FZE175" s="953"/>
      <c r="FZF175" s="953"/>
      <c r="FZG175" s="953"/>
      <c r="FZH175" s="953"/>
      <c r="FZI175" s="953"/>
      <c r="FZJ175" s="953"/>
      <c r="FZK175" s="953"/>
      <c r="FZL175" s="953"/>
      <c r="FZM175" s="953"/>
      <c r="FZN175" s="953"/>
      <c r="FZO175" s="953"/>
      <c r="FZP175" s="953"/>
      <c r="FZQ175" s="953"/>
      <c r="FZR175" s="953"/>
      <c r="FZS175" s="953"/>
      <c r="FZT175" s="953"/>
      <c r="FZU175" s="953"/>
      <c r="FZV175" s="953"/>
      <c r="FZW175" s="953"/>
      <c r="FZX175" s="953"/>
      <c r="FZY175" s="953"/>
      <c r="FZZ175" s="953"/>
      <c r="GAA175" s="953"/>
      <c r="GAB175" s="953"/>
      <c r="GAC175" s="953"/>
      <c r="GAD175" s="953"/>
      <c r="GAE175" s="953"/>
      <c r="GAF175" s="953"/>
      <c r="GAG175" s="953"/>
      <c r="GAH175" s="953"/>
      <c r="GAI175" s="953"/>
      <c r="GAJ175" s="953"/>
      <c r="GAK175" s="953"/>
      <c r="GAL175" s="953"/>
      <c r="GAM175" s="953"/>
      <c r="GAN175" s="953"/>
      <c r="GAO175" s="953"/>
      <c r="GAP175" s="953"/>
      <c r="GAQ175" s="953"/>
      <c r="GAR175" s="953"/>
      <c r="GAS175" s="953"/>
      <c r="GAT175" s="953"/>
      <c r="GAU175" s="953"/>
      <c r="GAV175" s="953"/>
      <c r="GAW175" s="953"/>
      <c r="GAX175" s="953"/>
      <c r="GAY175" s="953"/>
      <c r="GAZ175" s="953"/>
      <c r="GBA175" s="953"/>
      <c r="GBB175" s="953"/>
      <c r="GBC175" s="953"/>
      <c r="GBD175" s="953"/>
      <c r="GBE175" s="953"/>
      <c r="GBF175" s="953"/>
      <c r="GBG175" s="953"/>
      <c r="GBH175" s="953"/>
      <c r="GBI175" s="953"/>
      <c r="GBJ175" s="953"/>
      <c r="GBK175" s="953"/>
      <c r="GBL175" s="953"/>
      <c r="GBM175" s="953"/>
      <c r="GBN175" s="953"/>
      <c r="GBO175" s="953"/>
      <c r="GBP175" s="953"/>
      <c r="GBQ175" s="953"/>
      <c r="GBR175" s="953"/>
      <c r="GBS175" s="953"/>
      <c r="GBT175" s="953"/>
      <c r="GBU175" s="953"/>
      <c r="GBV175" s="953"/>
      <c r="GBW175" s="953"/>
      <c r="GBX175" s="953"/>
      <c r="GBY175" s="953"/>
      <c r="GBZ175" s="953"/>
      <c r="GCA175" s="953"/>
      <c r="GCB175" s="953"/>
      <c r="GCC175" s="953"/>
      <c r="GCD175" s="953"/>
      <c r="GCE175" s="953"/>
      <c r="GCF175" s="953"/>
      <c r="GCG175" s="953"/>
      <c r="GCH175" s="953"/>
      <c r="GCI175" s="953"/>
      <c r="GCJ175" s="953"/>
      <c r="GCK175" s="953"/>
      <c r="GCL175" s="953"/>
      <c r="GCM175" s="953"/>
      <c r="GCN175" s="953"/>
      <c r="GCO175" s="953"/>
      <c r="GCP175" s="953"/>
      <c r="GCQ175" s="953"/>
      <c r="GCR175" s="953"/>
      <c r="GCS175" s="953"/>
      <c r="GCT175" s="953"/>
      <c r="GCU175" s="953"/>
      <c r="GCV175" s="953"/>
      <c r="GCW175" s="953"/>
      <c r="GCX175" s="953"/>
      <c r="GCY175" s="953"/>
      <c r="GCZ175" s="953"/>
      <c r="GDA175" s="953"/>
      <c r="GDB175" s="953"/>
      <c r="GDC175" s="953"/>
      <c r="GDD175" s="953"/>
      <c r="GDE175" s="953"/>
      <c r="GDF175" s="953"/>
      <c r="GDG175" s="953"/>
      <c r="GDH175" s="953"/>
      <c r="GDI175" s="953"/>
      <c r="GDJ175" s="953"/>
      <c r="GDK175" s="953"/>
      <c r="GDL175" s="953"/>
      <c r="GDM175" s="953"/>
      <c r="GDN175" s="953"/>
      <c r="GDO175" s="953"/>
      <c r="GDP175" s="953"/>
      <c r="GDQ175" s="953"/>
      <c r="GDR175" s="953"/>
      <c r="GDS175" s="953"/>
      <c r="GDT175" s="953"/>
      <c r="GDU175" s="953"/>
      <c r="GDV175" s="953"/>
      <c r="GDW175" s="953"/>
      <c r="GDX175" s="953"/>
      <c r="GDY175" s="953"/>
      <c r="GDZ175" s="953"/>
      <c r="GEA175" s="953"/>
      <c r="GEB175" s="953"/>
      <c r="GEC175" s="953"/>
      <c r="GED175" s="953"/>
      <c r="GEE175" s="953"/>
      <c r="GEF175" s="953"/>
      <c r="GEG175" s="953"/>
      <c r="GEH175" s="953"/>
      <c r="GEI175" s="953"/>
      <c r="GEJ175" s="953"/>
      <c r="GEK175" s="953"/>
      <c r="GEL175" s="953"/>
      <c r="GEM175" s="953"/>
      <c r="GEN175" s="953"/>
      <c r="GEO175" s="953"/>
      <c r="GEP175" s="953"/>
      <c r="GEQ175" s="953"/>
      <c r="GER175" s="953"/>
      <c r="GES175" s="953"/>
      <c r="GET175" s="953"/>
      <c r="GEU175" s="953"/>
      <c r="GEV175" s="953"/>
      <c r="GEW175" s="953"/>
      <c r="GEX175" s="953"/>
      <c r="GEY175" s="953"/>
      <c r="GEZ175" s="953"/>
      <c r="GFA175" s="953"/>
      <c r="GFB175" s="953"/>
      <c r="GFC175" s="953"/>
      <c r="GFD175" s="953"/>
      <c r="GFE175" s="953"/>
      <c r="GFF175" s="953"/>
      <c r="GFG175" s="953"/>
      <c r="GFH175" s="953"/>
      <c r="GFI175" s="953"/>
      <c r="GFJ175" s="953"/>
      <c r="GFK175" s="953"/>
      <c r="GFL175" s="953"/>
      <c r="GFM175" s="953"/>
      <c r="GFN175" s="953"/>
      <c r="GFO175" s="953"/>
      <c r="GFP175" s="953"/>
      <c r="GFQ175" s="953"/>
      <c r="GFR175" s="953"/>
      <c r="GFS175" s="953"/>
      <c r="GFT175" s="953"/>
      <c r="GFU175" s="953"/>
      <c r="GFV175" s="953"/>
      <c r="GFW175" s="953"/>
      <c r="GFX175" s="953"/>
      <c r="GFY175" s="953"/>
      <c r="GFZ175" s="953"/>
      <c r="GGA175" s="953"/>
      <c r="GGB175" s="953"/>
      <c r="GGC175" s="953"/>
      <c r="GGD175" s="953"/>
      <c r="GGE175" s="953"/>
      <c r="GGF175" s="953"/>
      <c r="GGG175" s="953"/>
      <c r="GGH175" s="953"/>
      <c r="GGI175" s="953"/>
      <c r="GGJ175" s="953"/>
      <c r="GGK175" s="953"/>
      <c r="GGL175" s="953"/>
      <c r="GGM175" s="953"/>
      <c r="GGN175" s="953"/>
      <c r="GGO175" s="953"/>
      <c r="GGP175" s="953"/>
      <c r="GGQ175" s="953"/>
      <c r="GGR175" s="953"/>
      <c r="GGS175" s="953"/>
      <c r="GGT175" s="953"/>
      <c r="GGU175" s="953"/>
      <c r="GGV175" s="953"/>
      <c r="GGW175" s="953"/>
      <c r="GGX175" s="953"/>
      <c r="GGY175" s="953"/>
      <c r="GGZ175" s="953"/>
      <c r="GHA175" s="953"/>
      <c r="GHB175" s="953"/>
      <c r="GHC175" s="953"/>
      <c r="GHD175" s="953"/>
      <c r="GHE175" s="953"/>
      <c r="GHF175" s="953"/>
      <c r="GHG175" s="953"/>
      <c r="GHH175" s="953"/>
      <c r="GHI175" s="953"/>
      <c r="GHJ175" s="953"/>
      <c r="GHK175" s="953"/>
      <c r="GHL175" s="953"/>
      <c r="GHM175" s="953"/>
      <c r="GHN175" s="953"/>
      <c r="GHO175" s="953"/>
      <c r="GHP175" s="953"/>
      <c r="GHQ175" s="953"/>
      <c r="GHR175" s="953"/>
      <c r="GHS175" s="953"/>
      <c r="GHT175" s="953"/>
      <c r="GHU175" s="953"/>
      <c r="GHV175" s="953"/>
      <c r="GHW175" s="953"/>
      <c r="GHX175" s="953"/>
      <c r="GHY175" s="953"/>
      <c r="GHZ175" s="953"/>
      <c r="GIA175" s="953"/>
      <c r="GIB175" s="953"/>
      <c r="GIC175" s="953"/>
      <c r="GID175" s="953"/>
      <c r="GIE175" s="953"/>
      <c r="GIF175" s="953"/>
      <c r="GIG175" s="953"/>
      <c r="GIH175" s="953"/>
      <c r="GII175" s="953"/>
      <c r="GIJ175" s="953"/>
      <c r="GIK175" s="953"/>
      <c r="GIL175" s="953"/>
      <c r="GIM175" s="953"/>
      <c r="GIN175" s="953"/>
      <c r="GIO175" s="953"/>
      <c r="GIP175" s="953"/>
      <c r="GIQ175" s="953"/>
      <c r="GIR175" s="953"/>
      <c r="GIS175" s="953"/>
      <c r="GIT175" s="953"/>
      <c r="GIU175" s="953"/>
      <c r="GIV175" s="953"/>
      <c r="GIW175" s="953"/>
      <c r="GIX175" s="953"/>
      <c r="GIY175" s="953"/>
      <c r="GIZ175" s="953"/>
      <c r="GJA175" s="953"/>
      <c r="GJB175" s="953"/>
      <c r="GJC175" s="953"/>
      <c r="GJD175" s="953"/>
      <c r="GJE175" s="953"/>
      <c r="GJF175" s="953"/>
      <c r="GJG175" s="953"/>
      <c r="GJH175" s="953"/>
      <c r="GJI175" s="953"/>
      <c r="GJJ175" s="953"/>
      <c r="GJK175" s="953"/>
      <c r="GJL175" s="953"/>
      <c r="GJM175" s="953"/>
      <c r="GJN175" s="953"/>
      <c r="GJO175" s="953"/>
      <c r="GJP175" s="953"/>
      <c r="GJQ175" s="953"/>
      <c r="GJR175" s="953"/>
      <c r="GJS175" s="953"/>
      <c r="GJT175" s="953"/>
      <c r="GJU175" s="953"/>
      <c r="GJV175" s="953"/>
      <c r="GJW175" s="953"/>
      <c r="GJX175" s="953"/>
      <c r="GJY175" s="953"/>
      <c r="GJZ175" s="953"/>
      <c r="GKA175" s="953"/>
      <c r="GKB175" s="953"/>
      <c r="GKC175" s="953"/>
      <c r="GKD175" s="953"/>
      <c r="GKE175" s="953"/>
      <c r="GKF175" s="953"/>
      <c r="GKG175" s="953"/>
      <c r="GKH175" s="953"/>
      <c r="GKI175" s="953"/>
      <c r="GKJ175" s="953"/>
      <c r="GKK175" s="953"/>
      <c r="GKL175" s="953"/>
      <c r="GKM175" s="953"/>
      <c r="GKN175" s="953"/>
      <c r="GKO175" s="953"/>
      <c r="GKP175" s="953"/>
      <c r="GKQ175" s="953"/>
      <c r="GKR175" s="953"/>
      <c r="GKS175" s="953"/>
      <c r="GKT175" s="953"/>
      <c r="GKU175" s="953"/>
      <c r="GKV175" s="953"/>
      <c r="GKW175" s="953"/>
      <c r="GKX175" s="953"/>
      <c r="GKY175" s="953"/>
      <c r="GKZ175" s="953"/>
      <c r="GLA175" s="953"/>
      <c r="GLB175" s="953"/>
      <c r="GLC175" s="953"/>
      <c r="GLD175" s="953"/>
      <c r="GLE175" s="953"/>
      <c r="GLF175" s="953"/>
      <c r="GLG175" s="953"/>
      <c r="GLH175" s="953"/>
      <c r="GLI175" s="953"/>
      <c r="GLJ175" s="953"/>
      <c r="GLK175" s="953"/>
      <c r="GLL175" s="953"/>
      <c r="GLM175" s="953"/>
      <c r="GLN175" s="953"/>
      <c r="GLO175" s="953"/>
      <c r="GLP175" s="953"/>
      <c r="GLQ175" s="953"/>
      <c r="GLR175" s="953"/>
      <c r="GLS175" s="953"/>
      <c r="GLT175" s="953"/>
      <c r="GLU175" s="953"/>
      <c r="GLV175" s="953"/>
      <c r="GLW175" s="953"/>
      <c r="GLX175" s="953"/>
      <c r="GLY175" s="953"/>
      <c r="GLZ175" s="953"/>
      <c r="GMA175" s="953"/>
      <c r="GMB175" s="953"/>
      <c r="GMC175" s="953"/>
      <c r="GMD175" s="953"/>
      <c r="GME175" s="953"/>
      <c r="GMF175" s="953"/>
      <c r="GMG175" s="953"/>
      <c r="GMH175" s="953"/>
      <c r="GMI175" s="953"/>
      <c r="GMJ175" s="953"/>
      <c r="GMK175" s="953"/>
      <c r="GML175" s="953"/>
      <c r="GMM175" s="953"/>
      <c r="GMN175" s="953"/>
      <c r="GMO175" s="953"/>
      <c r="GMP175" s="953"/>
      <c r="GMQ175" s="953"/>
      <c r="GMR175" s="953"/>
      <c r="GMS175" s="953"/>
      <c r="GMT175" s="953"/>
      <c r="GMU175" s="953"/>
      <c r="GMV175" s="953"/>
      <c r="GMW175" s="953"/>
      <c r="GMX175" s="953"/>
      <c r="GMY175" s="953"/>
      <c r="GMZ175" s="953"/>
      <c r="GNA175" s="953"/>
      <c r="GNB175" s="953"/>
      <c r="GNC175" s="953"/>
      <c r="GND175" s="953"/>
      <c r="GNE175" s="953"/>
      <c r="GNF175" s="953"/>
      <c r="GNG175" s="953"/>
      <c r="GNH175" s="953"/>
      <c r="GNI175" s="953"/>
      <c r="GNJ175" s="953"/>
      <c r="GNK175" s="953"/>
      <c r="GNL175" s="953"/>
      <c r="GNM175" s="953"/>
      <c r="GNN175" s="953"/>
      <c r="GNO175" s="953"/>
      <c r="GNP175" s="953"/>
      <c r="GNQ175" s="953"/>
      <c r="GNR175" s="953"/>
      <c r="GNS175" s="953"/>
      <c r="GNT175" s="953"/>
      <c r="GNU175" s="953"/>
      <c r="GNV175" s="953"/>
      <c r="GNW175" s="953"/>
      <c r="GNX175" s="953"/>
      <c r="GNY175" s="953"/>
      <c r="GNZ175" s="953"/>
      <c r="GOA175" s="953"/>
      <c r="GOB175" s="953"/>
      <c r="GOC175" s="953"/>
      <c r="GOD175" s="953"/>
      <c r="GOE175" s="953"/>
      <c r="GOF175" s="953"/>
      <c r="GOG175" s="953"/>
      <c r="GOH175" s="953"/>
      <c r="GOI175" s="953"/>
      <c r="GOJ175" s="953"/>
      <c r="GOK175" s="953"/>
      <c r="GOL175" s="953"/>
      <c r="GOM175" s="953"/>
      <c r="GON175" s="953"/>
      <c r="GOO175" s="953"/>
      <c r="GOP175" s="953"/>
      <c r="GOQ175" s="953"/>
      <c r="GOR175" s="953"/>
      <c r="GOS175" s="953"/>
      <c r="GOT175" s="953"/>
      <c r="GOU175" s="953"/>
      <c r="GOV175" s="953"/>
      <c r="GOW175" s="953"/>
      <c r="GOX175" s="953"/>
      <c r="GOY175" s="953"/>
      <c r="GOZ175" s="953"/>
      <c r="GPA175" s="953"/>
      <c r="GPB175" s="953"/>
      <c r="GPC175" s="953"/>
      <c r="GPD175" s="953"/>
      <c r="GPE175" s="953"/>
      <c r="GPF175" s="953"/>
      <c r="GPG175" s="953"/>
      <c r="GPH175" s="953"/>
      <c r="GPI175" s="953"/>
      <c r="GPJ175" s="953"/>
      <c r="GPK175" s="953"/>
      <c r="GPL175" s="953"/>
      <c r="GPM175" s="953"/>
      <c r="GPN175" s="953"/>
      <c r="GPO175" s="953"/>
      <c r="GPP175" s="953"/>
      <c r="GPQ175" s="953"/>
      <c r="GPR175" s="953"/>
      <c r="GPS175" s="953"/>
      <c r="GPT175" s="953"/>
      <c r="GPU175" s="953"/>
      <c r="GPV175" s="953"/>
      <c r="GPW175" s="953"/>
      <c r="GPX175" s="953"/>
      <c r="GPY175" s="953"/>
      <c r="GPZ175" s="953"/>
      <c r="GQA175" s="953"/>
      <c r="GQB175" s="953"/>
      <c r="GQC175" s="953"/>
      <c r="GQD175" s="953"/>
      <c r="GQE175" s="953"/>
      <c r="GQF175" s="953"/>
      <c r="GQG175" s="953"/>
      <c r="GQH175" s="953"/>
      <c r="GQI175" s="953"/>
      <c r="GQJ175" s="953"/>
      <c r="GQK175" s="953"/>
      <c r="GQL175" s="953"/>
      <c r="GQM175" s="953"/>
      <c r="GQN175" s="953"/>
      <c r="GQO175" s="953"/>
      <c r="GQP175" s="953"/>
      <c r="GQQ175" s="953"/>
      <c r="GQR175" s="953"/>
      <c r="GQS175" s="953"/>
      <c r="GQT175" s="953"/>
      <c r="GQU175" s="953"/>
      <c r="GQV175" s="953"/>
      <c r="GQW175" s="953"/>
      <c r="GQX175" s="953"/>
      <c r="GQY175" s="953"/>
      <c r="GQZ175" s="953"/>
      <c r="GRA175" s="953"/>
      <c r="GRB175" s="953"/>
      <c r="GRC175" s="953"/>
      <c r="GRD175" s="953"/>
      <c r="GRE175" s="953"/>
      <c r="GRF175" s="953"/>
      <c r="GRG175" s="953"/>
      <c r="GRH175" s="953"/>
      <c r="GRI175" s="953"/>
      <c r="GRJ175" s="953"/>
      <c r="GRK175" s="953"/>
      <c r="GRL175" s="953"/>
      <c r="GRM175" s="953"/>
      <c r="GRN175" s="953"/>
      <c r="GRO175" s="953"/>
      <c r="GRP175" s="953"/>
      <c r="GRQ175" s="953"/>
      <c r="GRR175" s="953"/>
      <c r="GRS175" s="953"/>
      <c r="GRT175" s="953"/>
      <c r="GRU175" s="953"/>
      <c r="GRV175" s="953"/>
      <c r="GRW175" s="953"/>
      <c r="GRX175" s="953"/>
      <c r="GRY175" s="953"/>
      <c r="GRZ175" s="953"/>
      <c r="GSA175" s="953"/>
      <c r="GSB175" s="953"/>
      <c r="GSC175" s="953"/>
      <c r="GSD175" s="953"/>
      <c r="GSE175" s="953"/>
      <c r="GSF175" s="953"/>
      <c r="GSG175" s="953"/>
      <c r="GSH175" s="953"/>
      <c r="GSI175" s="953"/>
      <c r="GSJ175" s="953"/>
      <c r="GSK175" s="953"/>
      <c r="GSL175" s="953"/>
      <c r="GSM175" s="953"/>
      <c r="GSN175" s="953"/>
      <c r="GSO175" s="953"/>
      <c r="GSP175" s="953"/>
      <c r="GSQ175" s="953"/>
      <c r="GSR175" s="953"/>
      <c r="GSS175" s="953"/>
      <c r="GST175" s="953"/>
      <c r="GSU175" s="953"/>
      <c r="GSV175" s="953"/>
      <c r="GSW175" s="953"/>
      <c r="GSX175" s="953"/>
      <c r="GSY175" s="953"/>
      <c r="GSZ175" s="953"/>
      <c r="GTA175" s="953"/>
      <c r="GTB175" s="953"/>
      <c r="GTC175" s="953"/>
      <c r="GTD175" s="953"/>
      <c r="GTE175" s="953"/>
      <c r="GTF175" s="953"/>
      <c r="GTG175" s="953"/>
      <c r="GTH175" s="953"/>
      <c r="GTI175" s="953"/>
      <c r="GTJ175" s="953"/>
      <c r="GTK175" s="953"/>
      <c r="GTL175" s="953"/>
      <c r="GTM175" s="953"/>
      <c r="GTN175" s="953"/>
      <c r="GTO175" s="953"/>
      <c r="GTP175" s="953"/>
      <c r="GTQ175" s="953"/>
      <c r="GTR175" s="953"/>
      <c r="GTS175" s="953"/>
      <c r="GTT175" s="953"/>
      <c r="GTU175" s="953"/>
      <c r="GTV175" s="953"/>
      <c r="GTW175" s="953"/>
      <c r="GTX175" s="953"/>
      <c r="GTY175" s="953"/>
      <c r="GTZ175" s="953"/>
      <c r="GUA175" s="953"/>
      <c r="GUB175" s="953"/>
      <c r="GUC175" s="953"/>
      <c r="GUD175" s="953"/>
      <c r="GUE175" s="953"/>
      <c r="GUF175" s="953"/>
      <c r="GUG175" s="953"/>
      <c r="GUH175" s="953"/>
      <c r="GUI175" s="953"/>
      <c r="GUJ175" s="953"/>
      <c r="GUK175" s="953"/>
      <c r="GUL175" s="953"/>
      <c r="GUM175" s="953"/>
      <c r="GUN175" s="953"/>
      <c r="GUO175" s="953"/>
      <c r="GUP175" s="953"/>
      <c r="GUQ175" s="953"/>
      <c r="GUR175" s="953"/>
      <c r="GUS175" s="953"/>
      <c r="GUT175" s="953"/>
      <c r="GUU175" s="953"/>
      <c r="GUV175" s="953"/>
      <c r="GUW175" s="953"/>
      <c r="GUX175" s="953"/>
      <c r="GUY175" s="953"/>
      <c r="GUZ175" s="953"/>
      <c r="GVA175" s="953"/>
      <c r="GVB175" s="953"/>
      <c r="GVC175" s="953"/>
      <c r="GVD175" s="953"/>
      <c r="GVE175" s="953"/>
      <c r="GVF175" s="953"/>
      <c r="GVG175" s="953"/>
      <c r="GVH175" s="953"/>
      <c r="GVI175" s="953"/>
      <c r="GVJ175" s="953"/>
      <c r="GVK175" s="953"/>
      <c r="GVL175" s="953"/>
      <c r="GVM175" s="953"/>
      <c r="GVN175" s="953"/>
      <c r="GVO175" s="953"/>
      <c r="GVP175" s="953"/>
      <c r="GVQ175" s="953"/>
      <c r="GVR175" s="953"/>
      <c r="GVS175" s="953"/>
      <c r="GVT175" s="953"/>
      <c r="GVU175" s="953"/>
      <c r="GVV175" s="953"/>
      <c r="GVW175" s="953"/>
      <c r="GVX175" s="953"/>
      <c r="GVY175" s="953"/>
      <c r="GVZ175" s="953"/>
      <c r="GWA175" s="953"/>
      <c r="GWB175" s="953"/>
      <c r="GWC175" s="953"/>
      <c r="GWD175" s="953"/>
      <c r="GWE175" s="953"/>
      <c r="GWF175" s="953"/>
      <c r="GWG175" s="953"/>
      <c r="GWH175" s="953"/>
      <c r="GWI175" s="953"/>
      <c r="GWJ175" s="953"/>
      <c r="GWK175" s="953"/>
      <c r="GWL175" s="953"/>
      <c r="GWM175" s="953"/>
      <c r="GWN175" s="953"/>
      <c r="GWO175" s="953"/>
      <c r="GWP175" s="953"/>
      <c r="GWQ175" s="953"/>
      <c r="GWR175" s="953"/>
      <c r="GWS175" s="953"/>
      <c r="GWT175" s="953"/>
      <c r="GWU175" s="953"/>
      <c r="GWV175" s="953"/>
      <c r="GWW175" s="953"/>
      <c r="GWX175" s="953"/>
      <c r="GWY175" s="953"/>
      <c r="GWZ175" s="953"/>
      <c r="GXA175" s="953"/>
      <c r="GXB175" s="953"/>
      <c r="GXC175" s="953"/>
      <c r="GXD175" s="953"/>
      <c r="GXE175" s="953"/>
      <c r="GXF175" s="953"/>
      <c r="GXG175" s="953"/>
      <c r="GXH175" s="953"/>
      <c r="GXI175" s="953"/>
      <c r="GXJ175" s="953"/>
      <c r="GXK175" s="953"/>
      <c r="GXL175" s="953"/>
      <c r="GXM175" s="953"/>
      <c r="GXN175" s="953"/>
      <c r="GXO175" s="953"/>
      <c r="GXP175" s="953"/>
      <c r="GXQ175" s="953"/>
      <c r="GXR175" s="953"/>
      <c r="GXS175" s="953"/>
      <c r="GXT175" s="953"/>
      <c r="GXU175" s="953"/>
      <c r="GXV175" s="953"/>
      <c r="GXW175" s="953"/>
      <c r="GXX175" s="953"/>
      <c r="GXY175" s="953"/>
      <c r="GXZ175" s="953"/>
      <c r="GYA175" s="953"/>
      <c r="GYB175" s="953"/>
      <c r="GYC175" s="953"/>
      <c r="GYD175" s="953"/>
      <c r="GYE175" s="953"/>
      <c r="GYF175" s="953"/>
      <c r="GYG175" s="953"/>
      <c r="GYH175" s="953"/>
      <c r="GYI175" s="953"/>
      <c r="GYJ175" s="953"/>
      <c r="GYK175" s="953"/>
      <c r="GYL175" s="953"/>
      <c r="GYM175" s="953"/>
      <c r="GYN175" s="953"/>
      <c r="GYO175" s="953"/>
      <c r="GYP175" s="953"/>
      <c r="GYQ175" s="953"/>
      <c r="GYR175" s="953"/>
      <c r="GYS175" s="953"/>
      <c r="GYT175" s="953"/>
      <c r="GYU175" s="953"/>
      <c r="GYV175" s="953"/>
      <c r="GYW175" s="953"/>
      <c r="GYX175" s="953"/>
      <c r="GYY175" s="953"/>
      <c r="GYZ175" s="953"/>
      <c r="GZA175" s="953"/>
      <c r="GZB175" s="953"/>
      <c r="GZC175" s="953"/>
      <c r="GZD175" s="953"/>
      <c r="GZE175" s="953"/>
      <c r="GZF175" s="953"/>
      <c r="GZG175" s="953"/>
      <c r="GZH175" s="953"/>
      <c r="GZI175" s="953"/>
      <c r="GZJ175" s="953"/>
      <c r="GZK175" s="953"/>
      <c r="GZL175" s="953"/>
      <c r="GZM175" s="953"/>
      <c r="GZN175" s="953"/>
      <c r="GZO175" s="953"/>
      <c r="GZP175" s="953"/>
      <c r="GZQ175" s="953"/>
      <c r="GZR175" s="953"/>
      <c r="GZS175" s="953"/>
      <c r="GZT175" s="953"/>
      <c r="GZU175" s="953"/>
      <c r="GZV175" s="953"/>
      <c r="GZW175" s="953"/>
      <c r="GZX175" s="953"/>
      <c r="GZY175" s="953"/>
      <c r="GZZ175" s="953"/>
      <c r="HAA175" s="953"/>
      <c r="HAB175" s="953"/>
      <c r="HAC175" s="953"/>
      <c r="HAD175" s="953"/>
      <c r="HAE175" s="953"/>
      <c r="HAF175" s="953"/>
      <c r="HAG175" s="953"/>
      <c r="HAH175" s="953"/>
      <c r="HAI175" s="953"/>
      <c r="HAJ175" s="953"/>
      <c r="HAK175" s="953"/>
      <c r="HAL175" s="953"/>
      <c r="HAM175" s="953"/>
      <c r="HAN175" s="953"/>
      <c r="HAO175" s="953"/>
      <c r="HAP175" s="953"/>
      <c r="HAQ175" s="953"/>
      <c r="HAR175" s="953"/>
      <c r="HAS175" s="953"/>
      <c r="HAT175" s="953"/>
      <c r="HAU175" s="953"/>
      <c r="HAV175" s="953"/>
      <c r="HAW175" s="953"/>
      <c r="HAX175" s="953"/>
      <c r="HAY175" s="953"/>
      <c r="HAZ175" s="953"/>
      <c r="HBA175" s="953"/>
      <c r="HBB175" s="953"/>
      <c r="HBC175" s="953"/>
      <c r="HBD175" s="953"/>
      <c r="HBE175" s="953"/>
      <c r="HBF175" s="953"/>
      <c r="HBG175" s="953"/>
      <c r="HBH175" s="953"/>
      <c r="HBI175" s="953"/>
      <c r="HBJ175" s="953"/>
      <c r="HBK175" s="953"/>
      <c r="HBL175" s="953"/>
      <c r="HBM175" s="953"/>
      <c r="HBN175" s="953"/>
      <c r="HBO175" s="953"/>
      <c r="HBP175" s="953"/>
      <c r="HBQ175" s="953"/>
      <c r="HBR175" s="953"/>
      <c r="HBS175" s="953"/>
      <c r="HBT175" s="953"/>
      <c r="HBU175" s="953"/>
      <c r="HBV175" s="953"/>
      <c r="HBW175" s="953"/>
      <c r="HBX175" s="953"/>
      <c r="HBY175" s="953"/>
      <c r="HBZ175" s="953"/>
      <c r="HCA175" s="953"/>
      <c r="HCB175" s="953"/>
      <c r="HCC175" s="953"/>
      <c r="HCD175" s="953"/>
      <c r="HCE175" s="953"/>
      <c r="HCF175" s="953"/>
      <c r="HCG175" s="953"/>
      <c r="HCH175" s="953"/>
      <c r="HCI175" s="953"/>
      <c r="HCJ175" s="953"/>
      <c r="HCK175" s="953"/>
      <c r="HCL175" s="953"/>
      <c r="HCM175" s="953"/>
      <c r="HCN175" s="953"/>
      <c r="HCO175" s="953"/>
      <c r="HCP175" s="953"/>
      <c r="HCQ175" s="953"/>
      <c r="HCR175" s="953"/>
      <c r="HCS175" s="953"/>
      <c r="HCT175" s="953"/>
      <c r="HCU175" s="953"/>
      <c r="HCV175" s="953"/>
      <c r="HCW175" s="953"/>
      <c r="HCX175" s="953"/>
      <c r="HCY175" s="953"/>
      <c r="HCZ175" s="953"/>
      <c r="HDA175" s="953"/>
      <c r="HDB175" s="953"/>
      <c r="HDC175" s="953"/>
      <c r="HDD175" s="953"/>
      <c r="HDE175" s="953"/>
      <c r="HDF175" s="953"/>
      <c r="HDG175" s="953"/>
      <c r="HDH175" s="953"/>
      <c r="HDI175" s="953"/>
      <c r="HDJ175" s="953"/>
      <c r="HDK175" s="953"/>
      <c r="HDL175" s="953"/>
      <c r="HDM175" s="953"/>
      <c r="HDN175" s="953"/>
      <c r="HDO175" s="953"/>
      <c r="HDP175" s="953"/>
      <c r="HDQ175" s="953"/>
      <c r="HDR175" s="953"/>
      <c r="HDS175" s="953"/>
      <c r="HDT175" s="953"/>
      <c r="HDU175" s="953"/>
      <c r="HDV175" s="953"/>
      <c r="HDW175" s="953"/>
      <c r="HDX175" s="953"/>
      <c r="HDY175" s="953"/>
      <c r="HDZ175" s="953"/>
      <c r="HEA175" s="953"/>
      <c r="HEB175" s="953"/>
      <c r="HEC175" s="953"/>
      <c r="HED175" s="953"/>
      <c r="HEE175" s="953"/>
      <c r="HEF175" s="953"/>
      <c r="HEG175" s="953"/>
      <c r="HEH175" s="953"/>
      <c r="HEI175" s="953"/>
      <c r="HEJ175" s="953"/>
      <c r="HEK175" s="953"/>
      <c r="HEL175" s="953"/>
      <c r="HEM175" s="953"/>
      <c r="HEN175" s="953"/>
      <c r="HEO175" s="953"/>
      <c r="HEP175" s="953"/>
      <c r="HEQ175" s="953"/>
      <c r="HER175" s="953"/>
      <c r="HES175" s="953"/>
      <c r="HET175" s="953"/>
      <c r="HEU175" s="953"/>
      <c r="HEV175" s="953"/>
      <c r="HEW175" s="953"/>
      <c r="HEX175" s="953"/>
      <c r="HEY175" s="953"/>
      <c r="HEZ175" s="953"/>
      <c r="HFA175" s="953"/>
      <c r="HFB175" s="953"/>
      <c r="HFC175" s="953"/>
      <c r="HFD175" s="953"/>
      <c r="HFE175" s="953"/>
      <c r="HFF175" s="953"/>
      <c r="HFG175" s="953"/>
      <c r="HFH175" s="953"/>
      <c r="HFI175" s="953"/>
      <c r="HFJ175" s="953"/>
      <c r="HFK175" s="953"/>
      <c r="HFL175" s="953"/>
      <c r="HFM175" s="953"/>
      <c r="HFN175" s="953"/>
      <c r="HFO175" s="953"/>
      <c r="HFP175" s="953"/>
      <c r="HFQ175" s="953"/>
      <c r="HFR175" s="953"/>
      <c r="HFS175" s="953"/>
      <c r="HFT175" s="953"/>
      <c r="HFU175" s="953"/>
      <c r="HFV175" s="953"/>
      <c r="HFW175" s="953"/>
      <c r="HFX175" s="953"/>
      <c r="HFY175" s="953"/>
      <c r="HFZ175" s="953"/>
      <c r="HGA175" s="953"/>
      <c r="HGB175" s="953"/>
      <c r="HGC175" s="953"/>
      <c r="HGD175" s="953"/>
      <c r="HGE175" s="953"/>
      <c r="HGF175" s="953"/>
      <c r="HGG175" s="953"/>
      <c r="HGH175" s="953"/>
      <c r="HGI175" s="953"/>
      <c r="HGJ175" s="953"/>
      <c r="HGK175" s="953"/>
      <c r="HGL175" s="953"/>
      <c r="HGM175" s="953"/>
      <c r="HGN175" s="953"/>
      <c r="HGO175" s="953"/>
      <c r="HGP175" s="953"/>
      <c r="HGQ175" s="953"/>
      <c r="HGR175" s="953"/>
      <c r="HGS175" s="953"/>
      <c r="HGT175" s="953"/>
      <c r="HGU175" s="953"/>
      <c r="HGV175" s="953"/>
      <c r="HGW175" s="953"/>
      <c r="HGX175" s="953"/>
      <c r="HGY175" s="953"/>
      <c r="HGZ175" s="953"/>
      <c r="HHA175" s="953"/>
      <c r="HHB175" s="953"/>
      <c r="HHC175" s="953"/>
      <c r="HHD175" s="953"/>
      <c r="HHE175" s="953"/>
      <c r="HHF175" s="953"/>
      <c r="HHG175" s="953"/>
      <c r="HHH175" s="953"/>
      <c r="HHI175" s="953"/>
      <c r="HHJ175" s="953"/>
      <c r="HHK175" s="953"/>
      <c r="HHL175" s="953"/>
      <c r="HHM175" s="953"/>
      <c r="HHN175" s="953"/>
      <c r="HHO175" s="953"/>
      <c r="HHP175" s="953"/>
      <c r="HHQ175" s="953"/>
      <c r="HHR175" s="953"/>
      <c r="HHS175" s="953"/>
      <c r="HHT175" s="953"/>
      <c r="HHU175" s="953"/>
      <c r="HHV175" s="953"/>
      <c r="HHW175" s="953"/>
      <c r="HHX175" s="953"/>
      <c r="HHY175" s="953"/>
      <c r="HHZ175" s="953"/>
      <c r="HIA175" s="953"/>
      <c r="HIB175" s="953"/>
      <c r="HIC175" s="953"/>
      <c r="HID175" s="953"/>
      <c r="HIE175" s="953"/>
      <c r="HIF175" s="953"/>
      <c r="HIG175" s="953"/>
      <c r="HIH175" s="953"/>
      <c r="HII175" s="953"/>
      <c r="HIJ175" s="953"/>
      <c r="HIK175" s="953"/>
      <c r="HIL175" s="953"/>
      <c r="HIM175" s="953"/>
      <c r="HIN175" s="953"/>
      <c r="HIO175" s="953"/>
      <c r="HIP175" s="953"/>
      <c r="HIQ175" s="953"/>
      <c r="HIR175" s="953"/>
      <c r="HIS175" s="953"/>
      <c r="HIT175" s="953"/>
      <c r="HIU175" s="953"/>
      <c r="HIV175" s="953"/>
      <c r="HIW175" s="953"/>
      <c r="HIX175" s="953"/>
      <c r="HIY175" s="953"/>
      <c r="HIZ175" s="953"/>
      <c r="HJA175" s="953"/>
      <c r="HJB175" s="953"/>
      <c r="HJC175" s="953"/>
      <c r="HJD175" s="953"/>
      <c r="HJE175" s="953"/>
      <c r="HJF175" s="953"/>
      <c r="HJG175" s="953"/>
      <c r="HJH175" s="953"/>
      <c r="HJI175" s="953"/>
      <c r="HJJ175" s="953"/>
      <c r="HJK175" s="953"/>
      <c r="HJL175" s="953"/>
      <c r="HJM175" s="953"/>
      <c r="HJN175" s="953"/>
      <c r="HJO175" s="953"/>
      <c r="HJP175" s="953"/>
      <c r="HJQ175" s="953"/>
      <c r="HJR175" s="953"/>
      <c r="HJS175" s="953"/>
      <c r="HJT175" s="953"/>
      <c r="HJU175" s="953"/>
      <c r="HJV175" s="953"/>
      <c r="HJW175" s="953"/>
      <c r="HJX175" s="953"/>
      <c r="HJY175" s="953"/>
      <c r="HJZ175" s="953"/>
      <c r="HKA175" s="953"/>
      <c r="HKB175" s="953"/>
      <c r="HKC175" s="953"/>
      <c r="HKD175" s="953"/>
      <c r="HKE175" s="953"/>
      <c r="HKF175" s="953"/>
      <c r="HKG175" s="953"/>
      <c r="HKH175" s="953"/>
      <c r="HKI175" s="953"/>
      <c r="HKJ175" s="953"/>
      <c r="HKK175" s="953"/>
      <c r="HKL175" s="953"/>
      <c r="HKM175" s="953"/>
      <c r="HKN175" s="953"/>
      <c r="HKO175" s="953"/>
      <c r="HKP175" s="953"/>
      <c r="HKQ175" s="953"/>
      <c r="HKR175" s="953"/>
      <c r="HKS175" s="953"/>
      <c r="HKT175" s="953"/>
      <c r="HKU175" s="953"/>
      <c r="HKV175" s="953"/>
      <c r="HKW175" s="953"/>
      <c r="HKX175" s="953"/>
      <c r="HKY175" s="953"/>
      <c r="HKZ175" s="953"/>
      <c r="HLA175" s="953"/>
      <c r="HLB175" s="953"/>
      <c r="HLC175" s="953"/>
      <c r="HLD175" s="953"/>
      <c r="HLE175" s="953"/>
      <c r="HLF175" s="953"/>
      <c r="HLG175" s="953"/>
      <c r="HLH175" s="953"/>
      <c r="HLI175" s="953"/>
      <c r="HLJ175" s="953"/>
      <c r="HLK175" s="953"/>
      <c r="HLL175" s="953"/>
      <c r="HLM175" s="953"/>
      <c r="HLN175" s="953"/>
      <c r="HLO175" s="953"/>
      <c r="HLP175" s="953"/>
      <c r="HLQ175" s="953"/>
      <c r="HLR175" s="953"/>
      <c r="HLS175" s="953"/>
      <c r="HLT175" s="953"/>
      <c r="HLU175" s="953"/>
      <c r="HLV175" s="953"/>
      <c r="HLW175" s="953"/>
      <c r="HLX175" s="953"/>
      <c r="HLY175" s="953"/>
      <c r="HLZ175" s="953"/>
      <c r="HMA175" s="953"/>
      <c r="HMB175" s="953"/>
      <c r="HMC175" s="953"/>
      <c r="HMD175" s="953"/>
      <c r="HME175" s="953"/>
      <c r="HMF175" s="953"/>
      <c r="HMG175" s="953"/>
      <c r="HMH175" s="953"/>
      <c r="HMI175" s="953"/>
      <c r="HMJ175" s="953"/>
      <c r="HMK175" s="953"/>
      <c r="HML175" s="953"/>
      <c r="HMM175" s="953"/>
      <c r="HMN175" s="953"/>
      <c r="HMO175" s="953"/>
      <c r="HMP175" s="953"/>
      <c r="HMQ175" s="953"/>
      <c r="HMR175" s="953"/>
      <c r="HMS175" s="953"/>
      <c r="HMT175" s="953"/>
      <c r="HMU175" s="953"/>
      <c r="HMV175" s="953"/>
      <c r="HMW175" s="953"/>
      <c r="HMX175" s="953"/>
      <c r="HMY175" s="953"/>
      <c r="HMZ175" s="953"/>
      <c r="HNA175" s="953"/>
      <c r="HNB175" s="953"/>
      <c r="HNC175" s="953"/>
      <c r="HND175" s="953"/>
      <c r="HNE175" s="953"/>
      <c r="HNF175" s="953"/>
      <c r="HNG175" s="953"/>
      <c r="HNH175" s="953"/>
      <c r="HNI175" s="953"/>
      <c r="HNJ175" s="953"/>
      <c r="HNK175" s="953"/>
      <c r="HNL175" s="953"/>
      <c r="HNM175" s="953"/>
      <c r="HNN175" s="953"/>
      <c r="HNO175" s="953"/>
      <c r="HNP175" s="953"/>
      <c r="HNQ175" s="953"/>
      <c r="HNR175" s="953"/>
      <c r="HNS175" s="953"/>
      <c r="HNT175" s="953"/>
      <c r="HNU175" s="953"/>
      <c r="HNV175" s="953"/>
      <c r="HNW175" s="953"/>
      <c r="HNX175" s="953"/>
      <c r="HNY175" s="953"/>
      <c r="HNZ175" s="953"/>
      <c r="HOA175" s="953"/>
      <c r="HOB175" s="953"/>
      <c r="HOC175" s="953"/>
      <c r="HOD175" s="953"/>
      <c r="HOE175" s="953"/>
      <c r="HOF175" s="953"/>
      <c r="HOG175" s="953"/>
      <c r="HOH175" s="953"/>
      <c r="HOI175" s="953"/>
      <c r="HOJ175" s="953"/>
      <c r="HOK175" s="953"/>
      <c r="HOL175" s="953"/>
      <c r="HOM175" s="953"/>
      <c r="HON175" s="953"/>
      <c r="HOO175" s="953"/>
      <c r="HOP175" s="953"/>
      <c r="HOQ175" s="953"/>
      <c r="HOR175" s="953"/>
      <c r="HOS175" s="953"/>
      <c r="HOT175" s="953"/>
      <c r="HOU175" s="953"/>
      <c r="HOV175" s="953"/>
      <c r="HOW175" s="953"/>
      <c r="HOX175" s="953"/>
      <c r="HOY175" s="953"/>
      <c r="HOZ175" s="953"/>
      <c r="HPA175" s="953"/>
      <c r="HPB175" s="953"/>
      <c r="HPC175" s="953"/>
      <c r="HPD175" s="953"/>
      <c r="HPE175" s="953"/>
      <c r="HPF175" s="953"/>
      <c r="HPG175" s="953"/>
      <c r="HPH175" s="953"/>
      <c r="HPI175" s="953"/>
      <c r="HPJ175" s="953"/>
      <c r="HPK175" s="953"/>
      <c r="HPL175" s="953"/>
      <c r="HPM175" s="953"/>
      <c r="HPN175" s="953"/>
      <c r="HPO175" s="953"/>
      <c r="HPP175" s="953"/>
      <c r="HPQ175" s="953"/>
      <c r="HPR175" s="953"/>
      <c r="HPS175" s="953"/>
      <c r="HPT175" s="953"/>
      <c r="HPU175" s="953"/>
      <c r="HPV175" s="953"/>
      <c r="HPW175" s="953"/>
      <c r="HPX175" s="953"/>
      <c r="HPY175" s="953"/>
      <c r="HPZ175" s="953"/>
      <c r="HQA175" s="953"/>
      <c r="HQB175" s="953"/>
      <c r="HQC175" s="953"/>
      <c r="HQD175" s="953"/>
      <c r="HQE175" s="953"/>
      <c r="HQF175" s="953"/>
      <c r="HQG175" s="953"/>
      <c r="HQH175" s="953"/>
      <c r="HQI175" s="953"/>
      <c r="HQJ175" s="953"/>
      <c r="HQK175" s="953"/>
      <c r="HQL175" s="953"/>
      <c r="HQM175" s="953"/>
      <c r="HQN175" s="953"/>
      <c r="HQO175" s="953"/>
      <c r="HQP175" s="953"/>
      <c r="HQQ175" s="953"/>
      <c r="HQR175" s="953"/>
      <c r="HQS175" s="953"/>
      <c r="HQT175" s="953"/>
      <c r="HQU175" s="953"/>
      <c r="HQV175" s="953"/>
      <c r="HQW175" s="953"/>
      <c r="HQX175" s="953"/>
      <c r="HQY175" s="953"/>
      <c r="HQZ175" s="953"/>
      <c r="HRA175" s="953"/>
      <c r="HRB175" s="953"/>
      <c r="HRC175" s="953"/>
      <c r="HRD175" s="953"/>
      <c r="HRE175" s="953"/>
      <c r="HRF175" s="953"/>
      <c r="HRG175" s="953"/>
      <c r="HRH175" s="953"/>
      <c r="HRI175" s="953"/>
      <c r="HRJ175" s="953"/>
      <c r="HRK175" s="953"/>
      <c r="HRL175" s="953"/>
      <c r="HRM175" s="953"/>
      <c r="HRN175" s="953"/>
      <c r="HRO175" s="953"/>
      <c r="HRP175" s="953"/>
      <c r="HRQ175" s="953"/>
      <c r="HRR175" s="953"/>
      <c r="HRS175" s="953"/>
      <c r="HRT175" s="953"/>
      <c r="HRU175" s="953"/>
      <c r="HRV175" s="953"/>
      <c r="HRW175" s="953"/>
      <c r="HRX175" s="953"/>
      <c r="HRY175" s="953"/>
      <c r="HRZ175" s="953"/>
      <c r="HSA175" s="953"/>
      <c r="HSB175" s="953"/>
      <c r="HSC175" s="953"/>
      <c r="HSD175" s="953"/>
      <c r="HSE175" s="953"/>
      <c r="HSF175" s="953"/>
      <c r="HSG175" s="953"/>
      <c r="HSH175" s="953"/>
      <c r="HSI175" s="953"/>
      <c r="HSJ175" s="953"/>
      <c r="HSK175" s="953"/>
      <c r="HSL175" s="953"/>
      <c r="HSM175" s="953"/>
      <c r="HSN175" s="953"/>
      <c r="HSO175" s="953"/>
      <c r="HSP175" s="953"/>
      <c r="HSQ175" s="953"/>
      <c r="HSR175" s="953"/>
      <c r="HSS175" s="953"/>
      <c r="HST175" s="953"/>
      <c r="HSU175" s="953"/>
      <c r="HSV175" s="953"/>
      <c r="HSW175" s="953"/>
      <c r="HSX175" s="953"/>
      <c r="HSY175" s="953"/>
      <c r="HSZ175" s="953"/>
      <c r="HTA175" s="953"/>
      <c r="HTB175" s="953"/>
      <c r="HTC175" s="953"/>
      <c r="HTD175" s="953"/>
      <c r="HTE175" s="953"/>
      <c r="HTF175" s="953"/>
      <c r="HTG175" s="953"/>
      <c r="HTH175" s="953"/>
      <c r="HTI175" s="953"/>
      <c r="HTJ175" s="953"/>
      <c r="HTK175" s="953"/>
      <c r="HTL175" s="953"/>
      <c r="HTM175" s="953"/>
      <c r="HTN175" s="953"/>
      <c r="HTO175" s="953"/>
      <c r="HTP175" s="953"/>
      <c r="HTQ175" s="953"/>
      <c r="HTR175" s="953"/>
      <c r="HTS175" s="953"/>
      <c r="HTT175" s="953"/>
      <c r="HTU175" s="953"/>
      <c r="HTV175" s="953"/>
      <c r="HTW175" s="953"/>
      <c r="HTX175" s="953"/>
      <c r="HTY175" s="953"/>
      <c r="HTZ175" s="953"/>
      <c r="HUA175" s="953"/>
      <c r="HUB175" s="953"/>
      <c r="HUC175" s="953"/>
      <c r="HUD175" s="953"/>
      <c r="HUE175" s="953"/>
      <c r="HUF175" s="953"/>
      <c r="HUG175" s="953"/>
      <c r="HUH175" s="953"/>
      <c r="HUI175" s="953"/>
      <c r="HUJ175" s="953"/>
      <c r="HUK175" s="953"/>
      <c r="HUL175" s="953"/>
      <c r="HUM175" s="953"/>
      <c r="HUN175" s="953"/>
      <c r="HUO175" s="953"/>
      <c r="HUP175" s="953"/>
      <c r="HUQ175" s="953"/>
      <c r="HUR175" s="953"/>
      <c r="HUS175" s="953"/>
      <c r="HUT175" s="953"/>
      <c r="HUU175" s="953"/>
      <c r="HUV175" s="953"/>
      <c r="HUW175" s="953"/>
      <c r="HUX175" s="953"/>
      <c r="HUY175" s="953"/>
      <c r="HUZ175" s="953"/>
      <c r="HVA175" s="953"/>
      <c r="HVB175" s="953"/>
      <c r="HVC175" s="953"/>
      <c r="HVD175" s="953"/>
      <c r="HVE175" s="953"/>
      <c r="HVF175" s="953"/>
      <c r="HVG175" s="953"/>
      <c r="HVH175" s="953"/>
      <c r="HVI175" s="953"/>
      <c r="HVJ175" s="953"/>
      <c r="HVK175" s="953"/>
      <c r="HVL175" s="953"/>
      <c r="HVM175" s="953"/>
      <c r="HVN175" s="953"/>
      <c r="HVO175" s="953"/>
      <c r="HVP175" s="953"/>
      <c r="HVQ175" s="953"/>
      <c r="HVR175" s="953"/>
      <c r="HVS175" s="953"/>
      <c r="HVT175" s="953"/>
      <c r="HVU175" s="953"/>
      <c r="HVV175" s="953"/>
      <c r="HVW175" s="953"/>
      <c r="HVX175" s="953"/>
      <c r="HVY175" s="953"/>
      <c r="HVZ175" s="953"/>
      <c r="HWA175" s="953"/>
      <c r="HWB175" s="953"/>
      <c r="HWC175" s="953"/>
      <c r="HWD175" s="953"/>
      <c r="HWE175" s="953"/>
      <c r="HWF175" s="953"/>
      <c r="HWG175" s="953"/>
      <c r="HWH175" s="953"/>
      <c r="HWI175" s="953"/>
      <c r="HWJ175" s="953"/>
      <c r="HWK175" s="953"/>
      <c r="HWL175" s="953"/>
      <c r="HWM175" s="953"/>
      <c r="HWN175" s="953"/>
      <c r="HWO175" s="953"/>
      <c r="HWP175" s="953"/>
      <c r="HWQ175" s="953"/>
      <c r="HWR175" s="953"/>
      <c r="HWS175" s="953"/>
      <c r="HWT175" s="953"/>
      <c r="HWU175" s="953"/>
      <c r="HWV175" s="953"/>
      <c r="HWW175" s="953"/>
      <c r="HWX175" s="953"/>
      <c r="HWY175" s="953"/>
      <c r="HWZ175" s="953"/>
      <c r="HXA175" s="953"/>
      <c r="HXB175" s="953"/>
      <c r="HXC175" s="953"/>
      <c r="HXD175" s="953"/>
      <c r="HXE175" s="953"/>
      <c r="HXF175" s="953"/>
      <c r="HXG175" s="953"/>
      <c r="HXH175" s="953"/>
      <c r="HXI175" s="953"/>
      <c r="HXJ175" s="953"/>
      <c r="HXK175" s="953"/>
      <c r="HXL175" s="953"/>
      <c r="HXM175" s="953"/>
      <c r="HXN175" s="953"/>
      <c r="HXO175" s="953"/>
      <c r="HXP175" s="953"/>
      <c r="HXQ175" s="953"/>
      <c r="HXR175" s="953"/>
      <c r="HXS175" s="953"/>
      <c r="HXT175" s="953"/>
      <c r="HXU175" s="953"/>
      <c r="HXV175" s="953"/>
      <c r="HXW175" s="953"/>
      <c r="HXX175" s="953"/>
      <c r="HXY175" s="953"/>
      <c r="HXZ175" s="953"/>
      <c r="HYA175" s="953"/>
      <c r="HYB175" s="953"/>
      <c r="HYC175" s="953"/>
      <c r="HYD175" s="953"/>
      <c r="HYE175" s="953"/>
      <c r="HYF175" s="953"/>
      <c r="HYG175" s="953"/>
      <c r="HYH175" s="953"/>
      <c r="HYI175" s="953"/>
      <c r="HYJ175" s="953"/>
      <c r="HYK175" s="953"/>
      <c r="HYL175" s="953"/>
      <c r="HYM175" s="953"/>
      <c r="HYN175" s="953"/>
      <c r="HYO175" s="953"/>
      <c r="HYP175" s="953"/>
      <c r="HYQ175" s="953"/>
      <c r="HYR175" s="953"/>
      <c r="HYS175" s="953"/>
      <c r="HYT175" s="953"/>
      <c r="HYU175" s="953"/>
      <c r="HYV175" s="953"/>
      <c r="HYW175" s="953"/>
      <c r="HYX175" s="953"/>
      <c r="HYY175" s="953"/>
      <c r="HYZ175" s="953"/>
      <c r="HZA175" s="953"/>
      <c r="HZB175" s="953"/>
      <c r="HZC175" s="953"/>
      <c r="HZD175" s="953"/>
      <c r="HZE175" s="953"/>
      <c r="HZF175" s="953"/>
      <c r="HZG175" s="953"/>
      <c r="HZH175" s="953"/>
      <c r="HZI175" s="953"/>
      <c r="HZJ175" s="953"/>
      <c r="HZK175" s="953"/>
      <c r="HZL175" s="953"/>
      <c r="HZM175" s="953"/>
      <c r="HZN175" s="953"/>
      <c r="HZO175" s="953"/>
      <c r="HZP175" s="953"/>
      <c r="HZQ175" s="953"/>
      <c r="HZR175" s="953"/>
      <c r="HZS175" s="953"/>
      <c r="HZT175" s="953"/>
      <c r="HZU175" s="953"/>
      <c r="HZV175" s="953"/>
      <c r="HZW175" s="953"/>
      <c r="HZX175" s="953"/>
      <c r="HZY175" s="953"/>
      <c r="HZZ175" s="953"/>
      <c r="IAA175" s="953"/>
      <c r="IAB175" s="953"/>
      <c r="IAC175" s="953"/>
      <c r="IAD175" s="953"/>
      <c r="IAE175" s="953"/>
      <c r="IAF175" s="953"/>
      <c r="IAG175" s="953"/>
      <c r="IAH175" s="953"/>
      <c r="IAI175" s="953"/>
      <c r="IAJ175" s="953"/>
      <c r="IAK175" s="953"/>
      <c r="IAL175" s="953"/>
      <c r="IAM175" s="953"/>
      <c r="IAN175" s="953"/>
      <c r="IAO175" s="953"/>
      <c r="IAP175" s="953"/>
      <c r="IAQ175" s="953"/>
      <c r="IAR175" s="953"/>
      <c r="IAS175" s="953"/>
      <c r="IAT175" s="953"/>
      <c r="IAU175" s="953"/>
      <c r="IAV175" s="953"/>
      <c r="IAW175" s="953"/>
      <c r="IAX175" s="953"/>
      <c r="IAY175" s="953"/>
      <c r="IAZ175" s="953"/>
      <c r="IBA175" s="953"/>
      <c r="IBB175" s="953"/>
      <c r="IBC175" s="953"/>
      <c r="IBD175" s="953"/>
      <c r="IBE175" s="953"/>
      <c r="IBF175" s="953"/>
      <c r="IBG175" s="953"/>
      <c r="IBH175" s="953"/>
      <c r="IBI175" s="953"/>
      <c r="IBJ175" s="953"/>
      <c r="IBK175" s="953"/>
      <c r="IBL175" s="953"/>
      <c r="IBM175" s="953"/>
      <c r="IBN175" s="953"/>
      <c r="IBO175" s="953"/>
      <c r="IBP175" s="953"/>
      <c r="IBQ175" s="953"/>
      <c r="IBR175" s="953"/>
      <c r="IBS175" s="953"/>
      <c r="IBT175" s="953"/>
      <c r="IBU175" s="953"/>
      <c r="IBV175" s="953"/>
      <c r="IBW175" s="953"/>
      <c r="IBX175" s="953"/>
      <c r="IBY175" s="953"/>
      <c r="IBZ175" s="953"/>
      <c r="ICA175" s="953"/>
      <c r="ICB175" s="953"/>
      <c r="ICC175" s="953"/>
      <c r="ICD175" s="953"/>
      <c r="ICE175" s="953"/>
      <c r="ICF175" s="953"/>
      <c r="ICG175" s="953"/>
      <c r="ICH175" s="953"/>
      <c r="ICI175" s="953"/>
      <c r="ICJ175" s="953"/>
      <c r="ICK175" s="953"/>
      <c r="ICL175" s="953"/>
      <c r="ICM175" s="953"/>
      <c r="ICN175" s="953"/>
      <c r="ICO175" s="953"/>
      <c r="ICP175" s="953"/>
      <c r="ICQ175" s="953"/>
      <c r="ICR175" s="953"/>
      <c r="ICS175" s="953"/>
      <c r="ICT175" s="953"/>
      <c r="ICU175" s="953"/>
      <c r="ICV175" s="953"/>
      <c r="ICW175" s="953"/>
      <c r="ICX175" s="953"/>
      <c r="ICY175" s="953"/>
      <c r="ICZ175" s="953"/>
      <c r="IDA175" s="953"/>
      <c r="IDB175" s="953"/>
      <c r="IDC175" s="953"/>
      <c r="IDD175" s="953"/>
      <c r="IDE175" s="953"/>
      <c r="IDF175" s="953"/>
      <c r="IDG175" s="953"/>
      <c r="IDH175" s="953"/>
      <c r="IDI175" s="953"/>
      <c r="IDJ175" s="953"/>
      <c r="IDK175" s="953"/>
      <c r="IDL175" s="953"/>
      <c r="IDM175" s="953"/>
      <c r="IDN175" s="953"/>
      <c r="IDO175" s="953"/>
      <c r="IDP175" s="953"/>
      <c r="IDQ175" s="953"/>
      <c r="IDR175" s="953"/>
      <c r="IDS175" s="953"/>
      <c r="IDT175" s="953"/>
      <c r="IDU175" s="953"/>
      <c r="IDV175" s="953"/>
      <c r="IDW175" s="953"/>
      <c r="IDX175" s="953"/>
      <c r="IDY175" s="953"/>
      <c r="IDZ175" s="953"/>
      <c r="IEA175" s="953"/>
      <c r="IEB175" s="953"/>
      <c r="IEC175" s="953"/>
      <c r="IED175" s="953"/>
      <c r="IEE175" s="953"/>
      <c r="IEF175" s="953"/>
      <c r="IEG175" s="953"/>
      <c r="IEH175" s="953"/>
      <c r="IEI175" s="953"/>
      <c r="IEJ175" s="953"/>
      <c r="IEK175" s="953"/>
      <c r="IEL175" s="953"/>
      <c r="IEM175" s="953"/>
      <c r="IEN175" s="953"/>
      <c r="IEO175" s="953"/>
      <c r="IEP175" s="953"/>
      <c r="IEQ175" s="953"/>
      <c r="IER175" s="953"/>
      <c r="IES175" s="953"/>
      <c r="IET175" s="953"/>
      <c r="IEU175" s="953"/>
      <c r="IEV175" s="953"/>
      <c r="IEW175" s="953"/>
      <c r="IEX175" s="953"/>
      <c r="IEY175" s="953"/>
      <c r="IEZ175" s="953"/>
      <c r="IFA175" s="953"/>
      <c r="IFB175" s="953"/>
      <c r="IFC175" s="953"/>
      <c r="IFD175" s="953"/>
      <c r="IFE175" s="953"/>
      <c r="IFF175" s="953"/>
      <c r="IFG175" s="953"/>
      <c r="IFH175" s="953"/>
      <c r="IFI175" s="953"/>
      <c r="IFJ175" s="953"/>
      <c r="IFK175" s="953"/>
      <c r="IFL175" s="953"/>
      <c r="IFM175" s="953"/>
      <c r="IFN175" s="953"/>
      <c r="IFO175" s="953"/>
      <c r="IFP175" s="953"/>
      <c r="IFQ175" s="953"/>
      <c r="IFR175" s="953"/>
      <c r="IFS175" s="953"/>
      <c r="IFT175" s="953"/>
      <c r="IFU175" s="953"/>
      <c r="IFV175" s="953"/>
      <c r="IFW175" s="953"/>
      <c r="IFX175" s="953"/>
      <c r="IFY175" s="953"/>
      <c r="IFZ175" s="953"/>
      <c r="IGA175" s="953"/>
      <c r="IGB175" s="953"/>
      <c r="IGC175" s="953"/>
      <c r="IGD175" s="953"/>
      <c r="IGE175" s="953"/>
      <c r="IGF175" s="953"/>
      <c r="IGG175" s="953"/>
      <c r="IGH175" s="953"/>
      <c r="IGI175" s="953"/>
      <c r="IGJ175" s="953"/>
      <c r="IGK175" s="953"/>
      <c r="IGL175" s="953"/>
      <c r="IGM175" s="953"/>
      <c r="IGN175" s="953"/>
      <c r="IGO175" s="953"/>
      <c r="IGP175" s="953"/>
      <c r="IGQ175" s="953"/>
      <c r="IGR175" s="953"/>
      <c r="IGS175" s="953"/>
      <c r="IGT175" s="953"/>
      <c r="IGU175" s="953"/>
      <c r="IGV175" s="953"/>
      <c r="IGW175" s="953"/>
      <c r="IGX175" s="953"/>
      <c r="IGY175" s="953"/>
      <c r="IGZ175" s="953"/>
      <c r="IHA175" s="953"/>
      <c r="IHB175" s="953"/>
      <c r="IHC175" s="953"/>
      <c r="IHD175" s="953"/>
      <c r="IHE175" s="953"/>
      <c r="IHF175" s="953"/>
      <c r="IHG175" s="953"/>
      <c r="IHH175" s="953"/>
      <c r="IHI175" s="953"/>
      <c r="IHJ175" s="953"/>
      <c r="IHK175" s="953"/>
      <c r="IHL175" s="953"/>
      <c r="IHM175" s="953"/>
      <c r="IHN175" s="953"/>
      <c r="IHO175" s="953"/>
      <c r="IHP175" s="953"/>
      <c r="IHQ175" s="953"/>
      <c r="IHR175" s="953"/>
      <c r="IHS175" s="953"/>
      <c r="IHT175" s="953"/>
      <c r="IHU175" s="953"/>
      <c r="IHV175" s="953"/>
      <c r="IHW175" s="953"/>
      <c r="IHX175" s="953"/>
      <c r="IHY175" s="953"/>
      <c r="IHZ175" s="953"/>
      <c r="IIA175" s="953"/>
      <c r="IIB175" s="953"/>
      <c r="IIC175" s="953"/>
      <c r="IID175" s="953"/>
      <c r="IIE175" s="953"/>
      <c r="IIF175" s="953"/>
      <c r="IIG175" s="953"/>
      <c r="IIH175" s="953"/>
      <c r="III175" s="953"/>
      <c r="IIJ175" s="953"/>
      <c r="IIK175" s="953"/>
      <c r="IIL175" s="953"/>
      <c r="IIM175" s="953"/>
      <c r="IIN175" s="953"/>
      <c r="IIO175" s="953"/>
      <c r="IIP175" s="953"/>
      <c r="IIQ175" s="953"/>
      <c r="IIR175" s="953"/>
      <c r="IIS175" s="953"/>
      <c r="IIT175" s="953"/>
      <c r="IIU175" s="953"/>
      <c r="IIV175" s="953"/>
      <c r="IIW175" s="953"/>
      <c r="IIX175" s="953"/>
      <c r="IIY175" s="953"/>
      <c r="IIZ175" s="953"/>
      <c r="IJA175" s="953"/>
      <c r="IJB175" s="953"/>
      <c r="IJC175" s="953"/>
      <c r="IJD175" s="953"/>
      <c r="IJE175" s="953"/>
      <c r="IJF175" s="953"/>
      <c r="IJG175" s="953"/>
      <c r="IJH175" s="953"/>
      <c r="IJI175" s="953"/>
      <c r="IJJ175" s="953"/>
      <c r="IJK175" s="953"/>
      <c r="IJL175" s="953"/>
      <c r="IJM175" s="953"/>
      <c r="IJN175" s="953"/>
      <c r="IJO175" s="953"/>
      <c r="IJP175" s="953"/>
      <c r="IJQ175" s="953"/>
      <c r="IJR175" s="953"/>
      <c r="IJS175" s="953"/>
      <c r="IJT175" s="953"/>
      <c r="IJU175" s="953"/>
      <c r="IJV175" s="953"/>
      <c r="IJW175" s="953"/>
      <c r="IJX175" s="953"/>
      <c r="IJY175" s="953"/>
      <c r="IJZ175" s="953"/>
      <c r="IKA175" s="953"/>
      <c r="IKB175" s="953"/>
      <c r="IKC175" s="953"/>
      <c r="IKD175" s="953"/>
      <c r="IKE175" s="953"/>
      <c r="IKF175" s="953"/>
      <c r="IKG175" s="953"/>
      <c r="IKH175" s="953"/>
      <c r="IKI175" s="953"/>
      <c r="IKJ175" s="953"/>
      <c r="IKK175" s="953"/>
      <c r="IKL175" s="953"/>
      <c r="IKM175" s="953"/>
      <c r="IKN175" s="953"/>
      <c r="IKO175" s="953"/>
      <c r="IKP175" s="953"/>
      <c r="IKQ175" s="953"/>
      <c r="IKR175" s="953"/>
      <c r="IKS175" s="953"/>
      <c r="IKT175" s="953"/>
      <c r="IKU175" s="953"/>
      <c r="IKV175" s="953"/>
      <c r="IKW175" s="953"/>
      <c r="IKX175" s="953"/>
      <c r="IKY175" s="953"/>
      <c r="IKZ175" s="953"/>
      <c r="ILA175" s="953"/>
      <c r="ILB175" s="953"/>
      <c r="ILC175" s="953"/>
      <c r="ILD175" s="953"/>
      <c r="ILE175" s="953"/>
      <c r="ILF175" s="953"/>
      <c r="ILG175" s="953"/>
      <c r="ILH175" s="953"/>
      <c r="ILI175" s="953"/>
      <c r="ILJ175" s="953"/>
      <c r="ILK175" s="953"/>
      <c r="ILL175" s="953"/>
      <c r="ILM175" s="953"/>
      <c r="ILN175" s="953"/>
      <c r="ILO175" s="953"/>
      <c r="ILP175" s="953"/>
      <c r="ILQ175" s="953"/>
      <c r="ILR175" s="953"/>
      <c r="ILS175" s="953"/>
      <c r="ILT175" s="953"/>
      <c r="ILU175" s="953"/>
      <c r="ILV175" s="953"/>
      <c r="ILW175" s="953"/>
      <c r="ILX175" s="953"/>
      <c r="ILY175" s="953"/>
      <c r="ILZ175" s="953"/>
      <c r="IMA175" s="953"/>
      <c r="IMB175" s="953"/>
      <c r="IMC175" s="953"/>
      <c r="IMD175" s="953"/>
      <c r="IME175" s="953"/>
      <c r="IMF175" s="953"/>
      <c r="IMG175" s="953"/>
      <c r="IMH175" s="953"/>
      <c r="IMI175" s="953"/>
      <c r="IMJ175" s="953"/>
      <c r="IMK175" s="953"/>
      <c r="IML175" s="953"/>
      <c r="IMM175" s="953"/>
      <c r="IMN175" s="953"/>
      <c r="IMO175" s="953"/>
      <c r="IMP175" s="953"/>
      <c r="IMQ175" s="953"/>
      <c r="IMR175" s="953"/>
      <c r="IMS175" s="953"/>
      <c r="IMT175" s="953"/>
      <c r="IMU175" s="953"/>
      <c r="IMV175" s="953"/>
      <c r="IMW175" s="953"/>
      <c r="IMX175" s="953"/>
      <c r="IMY175" s="953"/>
      <c r="IMZ175" s="953"/>
      <c r="INA175" s="953"/>
      <c r="INB175" s="953"/>
      <c r="INC175" s="953"/>
      <c r="IND175" s="953"/>
      <c r="INE175" s="953"/>
      <c r="INF175" s="953"/>
      <c r="ING175" s="953"/>
      <c r="INH175" s="953"/>
      <c r="INI175" s="953"/>
      <c r="INJ175" s="953"/>
      <c r="INK175" s="953"/>
      <c r="INL175" s="953"/>
      <c r="INM175" s="953"/>
      <c r="INN175" s="953"/>
      <c r="INO175" s="953"/>
      <c r="INP175" s="953"/>
      <c r="INQ175" s="953"/>
      <c r="INR175" s="953"/>
      <c r="INS175" s="953"/>
      <c r="INT175" s="953"/>
      <c r="INU175" s="953"/>
      <c r="INV175" s="953"/>
      <c r="INW175" s="953"/>
      <c r="INX175" s="953"/>
      <c r="INY175" s="953"/>
      <c r="INZ175" s="953"/>
      <c r="IOA175" s="953"/>
      <c r="IOB175" s="953"/>
      <c r="IOC175" s="953"/>
      <c r="IOD175" s="953"/>
      <c r="IOE175" s="953"/>
      <c r="IOF175" s="953"/>
      <c r="IOG175" s="953"/>
      <c r="IOH175" s="953"/>
      <c r="IOI175" s="953"/>
      <c r="IOJ175" s="953"/>
      <c r="IOK175" s="953"/>
      <c r="IOL175" s="953"/>
      <c r="IOM175" s="953"/>
      <c r="ION175" s="953"/>
      <c r="IOO175" s="953"/>
      <c r="IOP175" s="953"/>
      <c r="IOQ175" s="953"/>
      <c r="IOR175" s="953"/>
      <c r="IOS175" s="953"/>
      <c r="IOT175" s="953"/>
      <c r="IOU175" s="953"/>
      <c r="IOV175" s="953"/>
      <c r="IOW175" s="953"/>
      <c r="IOX175" s="953"/>
      <c r="IOY175" s="953"/>
      <c r="IOZ175" s="953"/>
      <c r="IPA175" s="953"/>
      <c r="IPB175" s="953"/>
      <c r="IPC175" s="953"/>
      <c r="IPD175" s="953"/>
      <c r="IPE175" s="953"/>
      <c r="IPF175" s="953"/>
      <c r="IPG175" s="953"/>
      <c r="IPH175" s="953"/>
      <c r="IPI175" s="953"/>
      <c r="IPJ175" s="953"/>
      <c r="IPK175" s="953"/>
      <c r="IPL175" s="953"/>
      <c r="IPM175" s="953"/>
      <c r="IPN175" s="953"/>
      <c r="IPO175" s="953"/>
      <c r="IPP175" s="953"/>
      <c r="IPQ175" s="953"/>
      <c r="IPR175" s="953"/>
      <c r="IPS175" s="953"/>
      <c r="IPT175" s="953"/>
      <c r="IPU175" s="953"/>
      <c r="IPV175" s="953"/>
      <c r="IPW175" s="953"/>
      <c r="IPX175" s="953"/>
      <c r="IPY175" s="953"/>
      <c r="IPZ175" s="953"/>
      <c r="IQA175" s="953"/>
      <c r="IQB175" s="953"/>
      <c r="IQC175" s="953"/>
      <c r="IQD175" s="953"/>
      <c r="IQE175" s="953"/>
      <c r="IQF175" s="953"/>
      <c r="IQG175" s="953"/>
      <c r="IQH175" s="953"/>
      <c r="IQI175" s="953"/>
      <c r="IQJ175" s="953"/>
      <c r="IQK175" s="953"/>
      <c r="IQL175" s="953"/>
      <c r="IQM175" s="953"/>
      <c r="IQN175" s="953"/>
      <c r="IQO175" s="953"/>
      <c r="IQP175" s="953"/>
      <c r="IQQ175" s="953"/>
      <c r="IQR175" s="953"/>
      <c r="IQS175" s="953"/>
      <c r="IQT175" s="953"/>
      <c r="IQU175" s="953"/>
      <c r="IQV175" s="953"/>
      <c r="IQW175" s="953"/>
      <c r="IQX175" s="953"/>
      <c r="IQY175" s="953"/>
      <c r="IQZ175" s="953"/>
      <c r="IRA175" s="953"/>
      <c r="IRB175" s="953"/>
      <c r="IRC175" s="953"/>
      <c r="IRD175" s="953"/>
      <c r="IRE175" s="953"/>
      <c r="IRF175" s="953"/>
      <c r="IRG175" s="953"/>
      <c r="IRH175" s="953"/>
      <c r="IRI175" s="953"/>
      <c r="IRJ175" s="953"/>
      <c r="IRK175" s="953"/>
      <c r="IRL175" s="953"/>
      <c r="IRM175" s="953"/>
      <c r="IRN175" s="953"/>
      <c r="IRO175" s="953"/>
      <c r="IRP175" s="953"/>
      <c r="IRQ175" s="953"/>
      <c r="IRR175" s="953"/>
      <c r="IRS175" s="953"/>
      <c r="IRT175" s="953"/>
      <c r="IRU175" s="953"/>
      <c r="IRV175" s="953"/>
      <c r="IRW175" s="953"/>
      <c r="IRX175" s="953"/>
      <c r="IRY175" s="953"/>
      <c r="IRZ175" s="953"/>
      <c r="ISA175" s="953"/>
      <c r="ISB175" s="953"/>
      <c r="ISC175" s="953"/>
      <c r="ISD175" s="953"/>
      <c r="ISE175" s="953"/>
      <c r="ISF175" s="953"/>
      <c r="ISG175" s="953"/>
      <c r="ISH175" s="953"/>
      <c r="ISI175" s="953"/>
      <c r="ISJ175" s="953"/>
      <c r="ISK175" s="953"/>
      <c r="ISL175" s="953"/>
      <c r="ISM175" s="953"/>
      <c r="ISN175" s="953"/>
      <c r="ISO175" s="953"/>
      <c r="ISP175" s="953"/>
      <c r="ISQ175" s="953"/>
      <c r="ISR175" s="953"/>
      <c r="ISS175" s="953"/>
      <c r="IST175" s="953"/>
      <c r="ISU175" s="953"/>
      <c r="ISV175" s="953"/>
      <c r="ISW175" s="953"/>
      <c r="ISX175" s="953"/>
      <c r="ISY175" s="953"/>
      <c r="ISZ175" s="953"/>
      <c r="ITA175" s="953"/>
      <c r="ITB175" s="953"/>
      <c r="ITC175" s="953"/>
      <c r="ITD175" s="953"/>
      <c r="ITE175" s="953"/>
      <c r="ITF175" s="953"/>
      <c r="ITG175" s="953"/>
      <c r="ITH175" s="953"/>
      <c r="ITI175" s="953"/>
      <c r="ITJ175" s="953"/>
      <c r="ITK175" s="953"/>
      <c r="ITL175" s="953"/>
      <c r="ITM175" s="953"/>
      <c r="ITN175" s="953"/>
      <c r="ITO175" s="953"/>
      <c r="ITP175" s="953"/>
      <c r="ITQ175" s="953"/>
      <c r="ITR175" s="953"/>
      <c r="ITS175" s="953"/>
      <c r="ITT175" s="953"/>
      <c r="ITU175" s="953"/>
      <c r="ITV175" s="953"/>
      <c r="ITW175" s="953"/>
      <c r="ITX175" s="953"/>
      <c r="ITY175" s="953"/>
      <c r="ITZ175" s="953"/>
      <c r="IUA175" s="953"/>
      <c r="IUB175" s="953"/>
      <c r="IUC175" s="953"/>
      <c r="IUD175" s="953"/>
      <c r="IUE175" s="953"/>
      <c r="IUF175" s="953"/>
      <c r="IUG175" s="953"/>
      <c r="IUH175" s="953"/>
      <c r="IUI175" s="953"/>
      <c r="IUJ175" s="953"/>
      <c r="IUK175" s="953"/>
      <c r="IUL175" s="953"/>
      <c r="IUM175" s="953"/>
      <c r="IUN175" s="953"/>
      <c r="IUO175" s="953"/>
      <c r="IUP175" s="953"/>
      <c r="IUQ175" s="953"/>
      <c r="IUR175" s="953"/>
      <c r="IUS175" s="953"/>
      <c r="IUT175" s="953"/>
      <c r="IUU175" s="953"/>
      <c r="IUV175" s="953"/>
      <c r="IUW175" s="953"/>
      <c r="IUX175" s="953"/>
      <c r="IUY175" s="953"/>
      <c r="IUZ175" s="953"/>
      <c r="IVA175" s="953"/>
      <c r="IVB175" s="953"/>
      <c r="IVC175" s="953"/>
      <c r="IVD175" s="953"/>
      <c r="IVE175" s="953"/>
      <c r="IVF175" s="953"/>
      <c r="IVG175" s="953"/>
      <c r="IVH175" s="953"/>
      <c r="IVI175" s="953"/>
      <c r="IVJ175" s="953"/>
      <c r="IVK175" s="953"/>
      <c r="IVL175" s="953"/>
      <c r="IVM175" s="953"/>
      <c r="IVN175" s="953"/>
      <c r="IVO175" s="953"/>
      <c r="IVP175" s="953"/>
      <c r="IVQ175" s="953"/>
      <c r="IVR175" s="953"/>
      <c r="IVS175" s="953"/>
      <c r="IVT175" s="953"/>
      <c r="IVU175" s="953"/>
      <c r="IVV175" s="953"/>
      <c r="IVW175" s="953"/>
      <c r="IVX175" s="953"/>
      <c r="IVY175" s="953"/>
      <c r="IVZ175" s="953"/>
      <c r="IWA175" s="953"/>
      <c r="IWB175" s="953"/>
      <c r="IWC175" s="953"/>
      <c r="IWD175" s="953"/>
      <c r="IWE175" s="953"/>
      <c r="IWF175" s="953"/>
      <c r="IWG175" s="953"/>
      <c r="IWH175" s="953"/>
      <c r="IWI175" s="953"/>
      <c r="IWJ175" s="953"/>
      <c r="IWK175" s="953"/>
      <c r="IWL175" s="953"/>
      <c r="IWM175" s="953"/>
      <c r="IWN175" s="953"/>
      <c r="IWO175" s="953"/>
      <c r="IWP175" s="953"/>
      <c r="IWQ175" s="953"/>
      <c r="IWR175" s="953"/>
      <c r="IWS175" s="953"/>
      <c r="IWT175" s="953"/>
      <c r="IWU175" s="953"/>
      <c r="IWV175" s="953"/>
      <c r="IWW175" s="953"/>
      <c r="IWX175" s="953"/>
      <c r="IWY175" s="953"/>
      <c r="IWZ175" s="953"/>
      <c r="IXA175" s="953"/>
      <c r="IXB175" s="953"/>
      <c r="IXC175" s="953"/>
      <c r="IXD175" s="953"/>
      <c r="IXE175" s="953"/>
      <c r="IXF175" s="953"/>
      <c r="IXG175" s="953"/>
      <c r="IXH175" s="953"/>
      <c r="IXI175" s="953"/>
      <c r="IXJ175" s="953"/>
      <c r="IXK175" s="953"/>
      <c r="IXL175" s="953"/>
      <c r="IXM175" s="953"/>
      <c r="IXN175" s="953"/>
      <c r="IXO175" s="953"/>
      <c r="IXP175" s="953"/>
      <c r="IXQ175" s="953"/>
      <c r="IXR175" s="953"/>
      <c r="IXS175" s="953"/>
      <c r="IXT175" s="953"/>
      <c r="IXU175" s="953"/>
      <c r="IXV175" s="953"/>
      <c r="IXW175" s="953"/>
      <c r="IXX175" s="953"/>
      <c r="IXY175" s="953"/>
      <c r="IXZ175" s="953"/>
      <c r="IYA175" s="953"/>
      <c r="IYB175" s="953"/>
      <c r="IYC175" s="953"/>
      <c r="IYD175" s="953"/>
      <c r="IYE175" s="953"/>
      <c r="IYF175" s="953"/>
      <c r="IYG175" s="953"/>
      <c r="IYH175" s="953"/>
      <c r="IYI175" s="953"/>
      <c r="IYJ175" s="953"/>
      <c r="IYK175" s="953"/>
      <c r="IYL175" s="953"/>
      <c r="IYM175" s="953"/>
      <c r="IYN175" s="953"/>
      <c r="IYO175" s="953"/>
      <c r="IYP175" s="953"/>
      <c r="IYQ175" s="953"/>
      <c r="IYR175" s="953"/>
      <c r="IYS175" s="953"/>
      <c r="IYT175" s="953"/>
      <c r="IYU175" s="953"/>
      <c r="IYV175" s="953"/>
      <c r="IYW175" s="953"/>
      <c r="IYX175" s="953"/>
      <c r="IYY175" s="953"/>
      <c r="IYZ175" s="953"/>
      <c r="IZA175" s="953"/>
      <c r="IZB175" s="953"/>
      <c r="IZC175" s="953"/>
      <c r="IZD175" s="953"/>
      <c r="IZE175" s="953"/>
      <c r="IZF175" s="953"/>
      <c r="IZG175" s="953"/>
      <c r="IZH175" s="953"/>
      <c r="IZI175" s="953"/>
      <c r="IZJ175" s="953"/>
      <c r="IZK175" s="953"/>
      <c r="IZL175" s="953"/>
      <c r="IZM175" s="953"/>
      <c r="IZN175" s="953"/>
      <c r="IZO175" s="953"/>
      <c r="IZP175" s="953"/>
      <c r="IZQ175" s="953"/>
      <c r="IZR175" s="953"/>
      <c r="IZS175" s="953"/>
      <c r="IZT175" s="953"/>
      <c r="IZU175" s="953"/>
      <c r="IZV175" s="953"/>
      <c r="IZW175" s="953"/>
      <c r="IZX175" s="953"/>
      <c r="IZY175" s="953"/>
      <c r="IZZ175" s="953"/>
      <c r="JAA175" s="953"/>
      <c r="JAB175" s="953"/>
      <c r="JAC175" s="953"/>
      <c r="JAD175" s="953"/>
      <c r="JAE175" s="953"/>
      <c r="JAF175" s="953"/>
      <c r="JAG175" s="953"/>
      <c r="JAH175" s="953"/>
      <c r="JAI175" s="953"/>
      <c r="JAJ175" s="953"/>
      <c r="JAK175" s="953"/>
      <c r="JAL175" s="953"/>
      <c r="JAM175" s="953"/>
      <c r="JAN175" s="953"/>
      <c r="JAO175" s="953"/>
      <c r="JAP175" s="953"/>
      <c r="JAQ175" s="953"/>
      <c r="JAR175" s="953"/>
      <c r="JAS175" s="953"/>
      <c r="JAT175" s="953"/>
      <c r="JAU175" s="953"/>
      <c r="JAV175" s="953"/>
      <c r="JAW175" s="953"/>
      <c r="JAX175" s="953"/>
      <c r="JAY175" s="953"/>
      <c r="JAZ175" s="953"/>
      <c r="JBA175" s="953"/>
      <c r="JBB175" s="953"/>
      <c r="JBC175" s="953"/>
      <c r="JBD175" s="953"/>
      <c r="JBE175" s="953"/>
      <c r="JBF175" s="953"/>
      <c r="JBG175" s="953"/>
      <c r="JBH175" s="953"/>
      <c r="JBI175" s="953"/>
      <c r="JBJ175" s="953"/>
      <c r="JBK175" s="953"/>
      <c r="JBL175" s="953"/>
      <c r="JBM175" s="953"/>
      <c r="JBN175" s="953"/>
      <c r="JBO175" s="953"/>
      <c r="JBP175" s="953"/>
      <c r="JBQ175" s="953"/>
      <c r="JBR175" s="953"/>
      <c r="JBS175" s="953"/>
      <c r="JBT175" s="953"/>
      <c r="JBU175" s="953"/>
      <c r="JBV175" s="953"/>
      <c r="JBW175" s="953"/>
      <c r="JBX175" s="953"/>
      <c r="JBY175" s="953"/>
      <c r="JBZ175" s="953"/>
      <c r="JCA175" s="953"/>
      <c r="JCB175" s="953"/>
      <c r="JCC175" s="953"/>
      <c r="JCD175" s="953"/>
      <c r="JCE175" s="953"/>
      <c r="JCF175" s="953"/>
      <c r="JCG175" s="953"/>
      <c r="JCH175" s="953"/>
      <c r="JCI175" s="953"/>
      <c r="JCJ175" s="953"/>
      <c r="JCK175" s="953"/>
      <c r="JCL175" s="953"/>
      <c r="JCM175" s="953"/>
      <c r="JCN175" s="953"/>
      <c r="JCO175" s="953"/>
      <c r="JCP175" s="953"/>
      <c r="JCQ175" s="953"/>
      <c r="JCR175" s="953"/>
      <c r="JCS175" s="953"/>
      <c r="JCT175" s="953"/>
      <c r="JCU175" s="953"/>
      <c r="JCV175" s="953"/>
      <c r="JCW175" s="953"/>
      <c r="JCX175" s="953"/>
      <c r="JCY175" s="953"/>
      <c r="JCZ175" s="953"/>
      <c r="JDA175" s="953"/>
      <c r="JDB175" s="953"/>
      <c r="JDC175" s="953"/>
      <c r="JDD175" s="953"/>
      <c r="JDE175" s="953"/>
      <c r="JDF175" s="953"/>
      <c r="JDG175" s="953"/>
      <c r="JDH175" s="953"/>
      <c r="JDI175" s="953"/>
      <c r="JDJ175" s="953"/>
      <c r="JDK175" s="953"/>
      <c r="JDL175" s="953"/>
      <c r="JDM175" s="953"/>
      <c r="JDN175" s="953"/>
      <c r="JDO175" s="953"/>
      <c r="JDP175" s="953"/>
      <c r="JDQ175" s="953"/>
      <c r="JDR175" s="953"/>
      <c r="JDS175" s="953"/>
      <c r="JDT175" s="953"/>
      <c r="JDU175" s="953"/>
      <c r="JDV175" s="953"/>
      <c r="JDW175" s="953"/>
      <c r="JDX175" s="953"/>
      <c r="JDY175" s="953"/>
      <c r="JDZ175" s="953"/>
      <c r="JEA175" s="953"/>
      <c r="JEB175" s="953"/>
      <c r="JEC175" s="953"/>
      <c r="JED175" s="953"/>
      <c r="JEE175" s="953"/>
      <c r="JEF175" s="953"/>
      <c r="JEG175" s="953"/>
      <c r="JEH175" s="953"/>
      <c r="JEI175" s="953"/>
      <c r="JEJ175" s="953"/>
      <c r="JEK175" s="953"/>
      <c r="JEL175" s="953"/>
      <c r="JEM175" s="953"/>
      <c r="JEN175" s="953"/>
      <c r="JEO175" s="953"/>
      <c r="JEP175" s="953"/>
      <c r="JEQ175" s="953"/>
      <c r="JER175" s="953"/>
      <c r="JES175" s="953"/>
      <c r="JET175" s="953"/>
      <c r="JEU175" s="953"/>
      <c r="JEV175" s="953"/>
      <c r="JEW175" s="953"/>
      <c r="JEX175" s="953"/>
      <c r="JEY175" s="953"/>
      <c r="JEZ175" s="953"/>
      <c r="JFA175" s="953"/>
      <c r="JFB175" s="953"/>
      <c r="JFC175" s="953"/>
      <c r="JFD175" s="953"/>
      <c r="JFE175" s="953"/>
      <c r="JFF175" s="953"/>
      <c r="JFG175" s="953"/>
      <c r="JFH175" s="953"/>
      <c r="JFI175" s="953"/>
      <c r="JFJ175" s="953"/>
      <c r="JFK175" s="953"/>
      <c r="JFL175" s="953"/>
      <c r="JFM175" s="953"/>
      <c r="JFN175" s="953"/>
      <c r="JFO175" s="953"/>
      <c r="JFP175" s="953"/>
      <c r="JFQ175" s="953"/>
      <c r="JFR175" s="953"/>
      <c r="JFS175" s="953"/>
      <c r="JFT175" s="953"/>
      <c r="JFU175" s="953"/>
      <c r="JFV175" s="953"/>
      <c r="JFW175" s="953"/>
      <c r="JFX175" s="953"/>
      <c r="JFY175" s="953"/>
      <c r="JFZ175" s="953"/>
      <c r="JGA175" s="953"/>
      <c r="JGB175" s="953"/>
      <c r="JGC175" s="953"/>
      <c r="JGD175" s="953"/>
      <c r="JGE175" s="953"/>
      <c r="JGF175" s="953"/>
      <c r="JGG175" s="953"/>
      <c r="JGH175" s="953"/>
      <c r="JGI175" s="953"/>
      <c r="JGJ175" s="953"/>
      <c r="JGK175" s="953"/>
      <c r="JGL175" s="953"/>
      <c r="JGM175" s="953"/>
      <c r="JGN175" s="953"/>
      <c r="JGO175" s="953"/>
      <c r="JGP175" s="953"/>
      <c r="JGQ175" s="953"/>
      <c r="JGR175" s="953"/>
      <c r="JGS175" s="953"/>
      <c r="JGT175" s="953"/>
      <c r="JGU175" s="953"/>
      <c r="JGV175" s="953"/>
      <c r="JGW175" s="953"/>
      <c r="JGX175" s="953"/>
      <c r="JGY175" s="953"/>
      <c r="JGZ175" s="953"/>
      <c r="JHA175" s="953"/>
      <c r="JHB175" s="953"/>
      <c r="JHC175" s="953"/>
      <c r="JHD175" s="953"/>
      <c r="JHE175" s="953"/>
      <c r="JHF175" s="953"/>
      <c r="JHG175" s="953"/>
      <c r="JHH175" s="953"/>
      <c r="JHI175" s="953"/>
      <c r="JHJ175" s="953"/>
      <c r="JHK175" s="953"/>
      <c r="JHL175" s="953"/>
      <c r="JHM175" s="953"/>
      <c r="JHN175" s="953"/>
      <c r="JHO175" s="953"/>
      <c r="JHP175" s="953"/>
      <c r="JHQ175" s="953"/>
      <c r="JHR175" s="953"/>
      <c r="JHS175" s="953"/>
      <c r="JHT175" s="953"/>
      <c r="JHU175" s="953"/>
      <c r="JHV175" s="953"/>
      <c r="JHW175" s="953"/>
      <c r="JHX175" s="953"/>
      <c r="JHY175" s="953"/>
      <c r="JHZ175" s="953"/>
      <c r="JIA175" s="953"/>
      <c r="JIB175" s="953"/>
      <c r="JIC175" s="953"/>
      <c r="JID175" s="953"/>
      <c r="JIE175" s="953"/>
      <c r="JIF175" s="953"/>
      <c r="JIG175" s="953"/>
      <c r="JIH175" s="953"/>
      <c r="JII175" s="953"/>
      <c r="JIJ175" s="953"/>
      <c r="JIK175" s="953"/>
      <c r="JIL175" s="953"/>
      <c r="JIM175" s="953"/>
      <c r="JIN175" s="953"/>
      <c r="JIO175" s="953"/>
      <c r="JIP175" s="953"/>
      <c r="JIQ175" s="953"/>
      <c r="JIR175" s="953"/>
      <c r="JIS175" s="953"/>
      <c r="JIT175" s="953"/>
      <c r="JIU175" s="953"/>
      <c r="JIV175" s="953"/>
      <c r="JIW175" s="953"/>
      <c r="JIX175" s="953"/>
      <c r="JIY175" s="953"/>
      <c r="JIZ175" s="953"/>
      <c r="JJA175" s="953"/>
      <c r="JJB175" s="953"/>
      <c r="JJC175" s="953"/>
      <c r="JJD175" s="953"/>
      <c r="JJE175" s="953"/>
      <c r="JJF175" s="953"/>
      <c r="JJG175" s="953"/>
      <c r="JJH175" s="953"/>
      <c r="JJI175" s="953"/>
      <c r="JJJ175" s="953"/>
      <c r="JJK175" s="953"/>
      <c r="JJL175" s="953"/>
      <c r="JJM175" s="953"/>
      <c r="JJN175" s="953"/>
      <c r="JJO175" s="953"/>
      <c r="JJP175" s="953"/>
      <c r="JJQ175" s="953"/>
      <c r="JJR175" s="953"/>
      <c r="JJS175" s="953"/>
      <c r="JJT175" s="953"/>
      <c r="JJU175" s="953"/>
      <c r="JJV175" s="953"/>
      <c r="JJW175" s="953"/>
      <c r="JJX175" s="953"/>
      <c r="JJY175" s="953"/>
      <c r="JJZ175" s="953"/>
      <c r="JKA175" s="953"/>
      <c r="JKB175" s="953"/>
      <c r="JKC175" s="953"/>
      <c r="JKD175" s="953"/>
      <c r="JKE175" s="953"/>
      <c r="JKF175" s="953"/>
      <c r="JKG175" s="953"/>
      <c r="JKH175" s="953"/>
      <c r="JKI175" s="953"/>
      <c r="JKJ175" s="953"/>
      <c r="JKK175" s="953"/>
      <c r="JKL175" s="953"/>
      <c r="JKM175" s="953"/>
      <c r="JKN175" s="953"/>
      <c r="JKO175" s="953"/>
      <c r="JKP175" s="953"/>
      <c r="JKQ175" s="953"/>
      <c r="JKR175" s="953"/>
      <c r="JKS175" s="953"/>
      <c r="JKT175" s="953"/>
      <c r="JKU175" s="953"/>
      <c r="JKV175" s="953"/>
      <c r="JKW175" s="953"/>
      <c r="JKX175" s="953"/>
      <c r="JKY175" s="953"/>
      <c r="JKZ175" s="953"/>
      <c r="JLA175" s="953"/>
      <c r="JLB175" s="953"/>
      <c r="JLC175" s="953"/>
      <c r="JLD175" s="953"/>
      <c r="JLE175" s="953"/>
      <c r="JLF175" s="953"/>
      <c r="JLG175" s="953"/>
      <c r="JLH175" s="953"/>
      <c r="JLI175" s="953"/>
      <c r="JLJ175" s="953"/>
      <c r="JLK175" s="953"/>
      <c r="JLL175" s="953"/>
      <c r="JLM175" s="953"/>
      <c r="JLN175" s="953"/>
      <c r="JLO175" s="953"/>
      <c r="JLP175" s="953"/>
      <c r="JLQ175" s="953"/>
      <c r="JLR175" s="953"/>
      <c r="JLS175" s="953"/>
      <c r="JLT175" s="953"/>
      <c r="JLU175" s="953"/>
      <c r="JLV175" s="953"/>
      <c r="JLW175" s="953"/>
      <c r="JLX175" s="953"/>
      <c r="JLY175" s="953"/>
      <c r="JLZ175" s="953"/>
      <c r="JMA175" s="953"/>
      <c r="JMB175" s="953"/>
      <c r="JMC175" s="953"/>
      <c r="JMD175" s="953"/>
      <c r="JME175" s="953"/>
      <c r="JMF175" s="953"/>
      <c r="JMG175" s="953"/>
      <c r="JMH175" s="953"/>
      <c r="JMI175" s="953"/>
      <c r="JMJ175" s="953"/>
      <c r="JMK175" s="953"/>
      <c r="JML175" s="953"/>
      <c r="JMM175" s="953"/>
      <c r="JMN175" s="953"/>
      <c r="JMO175" s="953"/>
      <c r="JMP175" s="953"/>
      <c r="JMQ175" s="953"/>
      <c r="JMR175" s="953"/>
      <c r="JMS175" s="953"/>
      <c r="JMT175" s="953"/>
      <c r="JMU175" s="953"/>
      <c r="JMV175" s="953"/>
      <c r="JMW175" s="953"/>
      <c r="JMX175" s="953"/>
      <c r="JMY175" s="953"/>
      <c r="JMZ175" s="953"/>
      <c r="JNA175" s="953"/>
      <c r="JNB175" s="953"/>
      <c r="JNC175" s="953"/>
      <c r="JND175" s="953"/>
      <c r="JNE175" s="953"/>
      <c r="JNF175" s="953"/>
      <c r="JNG175" s="953"/>
      <c r="JNH175" s="953"/>
      <c r="JNI175" s="953"/>
      <c r="JNJ175" s="953"/>
      <c r="JNK175" s="953"/>
      <c r="JNL175" s="953"/>
      <c r="JNM175" s="953"/>
      <c r="JNN175" s="953"/>
      <c r="JNO175" s="953"/>
      <c r="JNP175" s="953"/>
      <c r="JNQ175" s="953"/>
      <c r="JNR175" s="953"/>
      <c r="JNS175" s="953"/>
      <c r="JNT175" s="953"/>
      <c r="JNU175" s="953"/>
      <c r="JNV175" s="953"/>
      <c r="JNW175" s="953"/>
      <c r="JNX175" s="953"/>
      <c r="JNY175" s="953"/>
      <c r="JNZ175" s="953"/>
      <c r="JOA175" s="953"/>
      <c r="JOB175" s="953"/>
      <c r="JOC175" s="953"/>
      <c r="JOD175" s="953"/>
      <c r="JOE175" s="953"/>
      <c r="JOF175" s="953"/>
      <c r="JOG175" s="953"/>
      <c r="JOH175" s="953"/>
      <c r="JOI175" s="953"/>
      <c r="JOJ175" s="953"/>
      <c r="JOK175" s="953"/>
      <c r="JOL175" s="953"/>
      <c r="JOM175" s="953"/>
      <c r="JON175" s="953"/>
      <c r="JOO175" s="953"/>
      <c r="JOP175" s="953"/>
      <c r="JOQ175" s="953"/>
      <c r="JOR175" s="953"/>
      <c r="JOS175" s="953"/>
      <c r="JOT175" s="953"/>
      <c r="JOU175" s="953"/>
      <c r="JOV175" s="953"/>
      <c r="JOW175" s="953"/>
      <c r="JOX175" s="953"/>
      <c r="JOY175" s="953"/>
      <c r="JOZ175" s="953"/>
      <c r="JPA175" s="953"/>
      <c r="JPB175" s="953"/>
      <c r="JPC175" s="953"/>
      <c r="JPD175" s="953"/>
      <c r="JPE175" s="953"/>
      <c r="JPF175" s="953"/>
      <c r="JPG175" s="953"/>
      <c r="JPH175" s="953"/>
      <c r="JPI175" s="953"/>
      <c r="JPJ175" s="953"/>
      <c r="JPK175" s="953"/>
      <c r="JPL175" s="953"/>
      <c r="JPM175" s="953"/>
      <c r="JPN175" s="953"/>
      <c r="JPO175" s="953"/>
      <c r="JPP175" s="953"/>
      <c r="JPQ175" s="953"/>
      <c r="JPR175" s="953"/>
      <c r="JPS175" s="953"/>
      <c r="JPT175" s="953"/>
      <c r="JPU175" s="953"/>
      <c r="JPV175" s="953"/>
      <c r="JPW175" s="953"/>
      <c r="JPX175" s="953"/>
      <c r="JPY175" s="953"/>
      <c r="JPZ175" s="953"/>
      <c r="JQA175" s="953"/>
      <c r="JQB175" s="953"/>
      <c r="JQC175" s="953"/>
      <c r="JQD175" s="953"/>
      <c r="JQE175" s="953"/>
      <c r="JQF175" s="953"/>
      <c r="JQG175" s="953"/>
      <c r="JQH175" s="953"/>
      <c r="JQI175" s="953"/>
      <c r="JQJ175" s="953"/>
      <c r="JQK175" s="953"/>
      <c r="JQL175" s="953"/>
      <c r="JQM175" s="953"/>
      <c r="JQN175" s="953"/>
      <c r="JQO175" s="953"/>
      <c r="JQP175" s="953"/>
      <c r="JQQ175" s="953"/>
      <c r="JQR175" s="953"/>
      <c r="JQS175" s="953"/>
      <c r="JQT175" s="953"/>
      <c r="JQU175" s="953"/>
      <c r="JQV175" s="953"/>
      <c r="JQW175" s="953"/>
      <c r="JQX175" s="953"/>
      <c r="JQY175" s="953"/>
      <c r="JQZ175" s="953"/>
      <c r="JRA175" s="953"/>
      <c r="JRB175" s="953"/>
      <c r="JRC175" s="953"/>
      <c r="JRD175" s="953"/>
      <c r="JRE175" s="953"/>
      <c r="JRF175" s="953"/>
      <c r="JRG175" s="953"/>
      <c r="JRH175" s="953"/>
      <c r="JRI175" s="953"/>
      <c r="JRJ175" s="953"/>
      <c r="JRK175" s="953"/>
      <c r="JRL175" s="953"/>
      <c r="JRM175" s="953"/>
      <c r="JRN175" s="953"/>
      <c r="JRO175" s="953"/>
      <c r="JRP175" s="953"/>
      <c r="JRQ175" s="953"/>
      <c r="JRR175" s="953"/>
      <c r="JRS175" s="953"/>
      <c r="JRT175" s="953"/>
      <c r="JRU175" s="953"/>
      <c r="JRV175" s="953"/>
      <c r="JRW175" s="953"/>
      <c r="JRX175" s="953"/>
      <c r="JRY175" s="953"/>
      <c r="JRZ175" s="953"/>
      <c r="JSA175" s="953"/>
      <c r="JSB175" s="953"/>
      <c r="JSC175" s="953"/>
      <c r="JSD175" s="953"/>
      <c r="JSE175" s="953"/>
      <c r="JSF175" s="953"/>
      <c r="JSG175" s="953"/>
      <c r="JSH175" s="953"/>
      <c r="JSI175" s="953"/>
      <c r="JSJ175" s="953"/>
      <c r="JSK175" s="953"/>
      <c r="JSL175" s="953"/>
      <c r="JSM175" s="953"/>
      <c r="JSN175" s="953"/>
      <c r="JSO175" s="953"/>
      <c r="JSP175" s="953"/>
      <c r="JSQ175" s="953"/>
      <c r="JSR175" s="953"/>
      <c r="JSS175" s="953"/>
      <c r="JST175" s="953"/>
      <c r="JSU175" s="953"/>
      <c r="JSV175" s="953"/>
      <c r="JSW175" s="953"/>
      <c r="JSX175" s="953"/>
      <c r="JSY175" s="953"/>
      <c r="JSZ175" s="953"/>
      <c r="JTA175" s="953"/>
      <c r="JTB175" s="953"/>
      <c r="JTC175" s="953"/>
      <c r="JTD175" s="953"/>
      <c r="JTE175" s="953"/>
      <c r="JTF175" s="953"/>
      <c r="JTG175" s="953"/>
      <c r="JTH175" s="953"/>
      <c r="JTI175" s="953"/>
      <c r="JTJ175" s="953"/>
      <c r="JTK175" s="953"/>
      <c r="JTL175" s="953"/>
      <c r="JTM175" s="953"/>
      <c r="JTN175" s="953"/>
      <c r="JTO175" s="953"/>
      <c r="JTP175" s="953"/>
      <c r="JTQ175" s="953"/>
      <c r="JTR175" s="953"/>
      <c r="JTS175" s="953"/>
      <c r="JTT175" s="953"/>
      <c r="JTU175" s="953"/>
      <c r="JTV175" s="953"/>
      <c r="JTW175" s="953"/>
      <c r="JTX175" s="953"/>
      <c r="JTY175" s="953"/>
      <c r="JTZ175" s="953"/>
      <c r="JUA175" s="953"/>
      <c r="JUB175" s="953"/>
      <c r="JUC175" s="953"/>
      <c r="JUD175" s="953"/>
      <c r="JUE175" s="953"/>
      <c r="JUF175" s="953"/>
      <c r="JUG175" s="953"/>
      <c r="JUH175" s="953"/>
      <c r="JUI175" s="953"/>
      <c r="JUJ175" s="953"/>
      <c r="JUK175" s="953"/>
      <c r="JUL175" s="953"/>
      <c r="JUM175" s="953"/>
      <c r="JUN175" s="953"/>
      <c r="JUO175" s="953"/>
      <c r="JUP175" s="953"/>
      <c r="JUQ175" s="953"/>
      <c r="JUR175" s="953"/>
      <c r="JUS175" s="953"/>
      <c r="JUT175" s="953"/>
      <c r="JUU175" s="953"/>
      <c r="JUV175" s="953"/>
      <c r="JUW175" s="953"/>
      <c r="JUX175" s="953"/>
      <c r="JUY175" s="953"/>
      <c r="JUZ175" s="953"/>
      <c r="JVA175" s="953"/>
      <c r="JVB175" s="953"/>
      <c r="JVC175" s="953"/>
      <c r="JVD175" s="953"/>
      <c r="JVE175" s="953"/>
      <c r="JVF175" s="953"/>
      <c r="JVG175" s="953"/>
      <c r="JVH175" s="953"/>
      <c r="JVI175" s="953"/>
      <c r="JVJ175" s="953"/>
      <c r="JVK175" s="953"/>
      <c r="JVL175" s="953"/>
      <c r="JVM175" s="953"/>
      <c r="JVN175" s="953"/>
      <c r="JVO175" s="953"/>
      <c r="JVP175" s="953"/>
      <c r="JVQ175" s="953"/>
      <c r="JVR175" s="953"/>
      <c r="JVS175" s="953"/>
      <c r="JVT175" s="953"/>
      <c r="JVU175" s="953"/>
      <c r="JVV175" s="953"/>
      <c r="JVW175" s="953"/>
      <c r="JVX175" s="953"/>
      <c r="JVY175" s="953"/>
      <c r="JVZ175" s="953"/>
      <c r="JWA175" s="953"/>
      <c r="JWB175" s="953"/>
      <c r="JWC175" s="953"/>
      <c r="JWD175" s="953"/>
      <c r="JWE175" s="953"/>
      <c r="JWF175" s="953"/>
      <c r="JWG175" s="953"/>
      <c r="JWH175" s="953"/>
      <c r="JWI175" s="953"/>
      <c r="JWJ175" s="953"/>
      <c r="JWK175" s="953"/>
      <c r="JWL175" s="953"/>
      <c r="JWM175" s="953"/>
      <c r="JWN175" s="953"/>
      <c r="JWO175" s="953"/>
      <c r="JWP175" s="953"/>
      <c r="JWQ175" s="953"/>
      <c r="JWR175" s="953"/>
      <c r="JWS175" s="953"/>
      <c r="JWT175" s="953"/>
      <c r="JWU175" s="953"/>
      <c r="JWV175" s="953"/>
      <c r="JWW175" s="953"/>
      <c r="JWX175" s="953"/>
      <c r="JWY175" s="953"/>
      <c r="JWZ175" s="953"/>
      <c r="JXA175" s="953"/>
      <c r="JXB175" s="953"/>
      <c r="JXC175" s="953"/>
      <c r="JXD175" s="953"/>
      <c r="JXE175" s="953"/>
      <c r="JXF175" s="953"/>
      <c r="JXG175" s="953"/>
      <c r="JXH175" s="953"/>
      <c r="JXI175" s="953"/>
      <c r="JXJ175" s="953"/>
      <c r="JXK175" s="953"/>
      <c r="JXL175" s="953"/>
      <c r="JXM175" s="953"/>
      <c r="JXN175" s="953"/>
      <c r="JXO175" s="953"/>
      <c r="JXP175" s="953"/>
      <c r="JXQ175" s="953"/>
      <c r="JXR175" s="953"/>
      <c r="JXS175" s="953"/>
      <c r="JXT175" s="953"/>
      <c r="JXU175" s="953"/>
      <c r="JXV175" s="953"/>
      <c r="JXW175" s="953"/>
      <c r="JXX175" s="953"/>
      <c r="JXY175" s="953"/>
      <c r="JXZ175" s="953"/>
      <c r="JYA175" s="953"/>
      <c r="JYB175" s="953"/>
      <c r="JYC175" s="953"/>
      <c r="JYD175" s="953"/>
      <c r="JYE175" s="953"/>
      <c r="JYF175" s="953"/>
      <c r="JYG175" s="953"/>
      <c r="JYH175" s="953"/>
      <c r="JYI175" s="953"/>
      <c r="JYJ175" s="953"/>
      <c r="JYK175" s="953"/>
      <c r="JYL175" s="953"/>
      <c r="JYM175" s="953"/>
      <c r="JYN175" s="953"/>
      <c r="JYO175" s="953"/>
      <c r="JYP175" s="953"/>
      <c r="JYQ175" s="953"/>
      <c r="JYR175" s="953"/>
      <c r="JYS175" s="953"/>
      <c r="JYT175" s="953"/>
      <c r="JYU175" s="953"/>
      <c r="JYV175" s="953"/>
      <c r="JYW175" s="953"/>
      <c r="JYX175" s="953"/>
      <c r="JYY175" s="953"/>
      <c r="JYZ175" s="953"/>
      <c r="JZA175" s="953"/>
      <c r="JZB175" s="953"/>
      <c r="JZC175" s="953"/>
      <c r="JZD175" s="953"/>
      <c r="JZE175" s="953"/>
      <c r="JZF175" s="953"/>
      <c r="JZG175" s="953"/>
      <c r="JZH175" s="953"/>
      <c r="JZI175" s="953"/>
      <c r="JZJ175" s="953"/>
      <c r="JZK175" s="953"/>
      <c r="JZL175" s="953"/>
      <c r="JZM175" s="953"/>
      <c r="JZN175" s="953"/>
      <c r="JZO175" s="953"/>
      <c r="JZP175" s="953"/>
      <c r="JZQ175" s="953"/>
      <c r="JZR175" s="953"/>
      <c r="JZS175" s="953"/>
      <c r="JZT175" s="953"/>
      <c r="JZU175" s="953"/>
      <c r="JZV175" s="953"/>
      <c r="JZW175" s="953"/>
      <c r="JZX175" s="953"/>
      <c r="JZY175" s="953"/>
      <c r="JZZ175" s="953"/>
      <c r="KAA175" s="953"/>
      <c r="KAB175" s="953"/>
      <c r="KAC175" s="953"/>
      <c r="KAD175" s="953"/>
      <c r="KAE175" s="953"/>
      <c r="KAF175" s="953"/>
      <c r="KAG175" s="953"/>
      <c r="KAH175" s="953"/>
      <c r="KAI175" s="953"/>
      <c r="KAJ175" s="953"/>
      <c r="KAK175" s="953"/>
      <c r="KAL175" s="953"/>
      <c r="KAM175" s="953"/>
      <c r="KAN175" s="953"/>
      <c r="KAO175" s="953"/>
      <c r="KAP175" s="953"/>
      <c r="KAQ175" s="953"/>
      <c r="KAR175" s="953"/>
      <c r="KAS175" s="953"/>
      <c r="KAT175" s="953"/>
      <c r="KAU175" s="953"/>
      <c r="KAV175" s="953"/>
      <c r="KAW175" s="953"/>
      <c r="KAX175" s="953"/>
      <c r="KAY175" s="953"/>
      <c r="KAZ175" s="953"/>
      <c r="KBA175" s="953"/>
      <c r="KBB175" s="953"/>
      <c r="KBC175" s="953"/>
      <c r="KBD175" s="953"/>
      <c r="KBE175" s="953"/>
      <c r="KBF175" s="953"/>
      <c r="KBG175" s="953"/>
      <c r="KBH175" s="953"/>
      <c r="KBI175" s="953"/>
      <c r="KBJ175" s="953"/>
      <c r="KBK175" s="953"/>
      <c r="KBL175" s="953"/>
      <c r="KBM175" s="953"/>
      <c r="KBN175" s="953"/>
      <c r="KBO175" s="953"/>
      <c r="KBP175" s="953"/>
      <c r="KBQ175" s="953"/>
      <c r="KBR175" s="953"/>
      <c r="KBS175" s="953"/>
      <c r="KBT175" s="953"/>
      <c r="KBU175" s="953"/>
      <c r="KBV175" s="953"/>
      <c r="KBW175" s="953"/>
      <c r="KBX175" s="953"/>
      <c r="KBY175" s="953"/>
      <c r="KBZ175" s="953"/>
      <c r="KCA175" s="953"/>
      <c r="KCB175" s="953"/>
      <c r="KCC175" s="953"/>
      <c r="KCD175" s="953"/>
      <c r="KCE175" s="953"/>
      <c r="KCF175" s="953"/>
      <c r="KCG175" s="953"/>
      <c r="KCH175" s="953"/>
      <c r="KCI175" s="953"/>
      <c r="KCJ175" s="953"/>
      <c r="KCK175" s="953"/>
      <c r="KCL175" s="953"/>
      <c r="KCM175" s="953"/>
      <c r="KCN175" s="953"/>
      <c r="KCO175" s="953"/>
      <c r="KCP175" s="953"/>
      <c r="KCQ175" s="953"/>
      <c r="KCR175" s="953"/>
      <c r="KCS175" s="953"/>
      <c r="KCT175" s="953"/>
      <c r="KCU175" s="953"/>
      <c r="KCV175" s="953"/>
      <c r="KCW175" s="953"/>
      <c r="KCX175" s="953"/>
      <c r="KCY175" s="953"/>
      <c r="KCZ175" s="953"/>
      <c r="KDA175" s="953"/>
      <c r="KDB175" s="953"/>
      <c r="KDC175" s="953"/>
      <c r="KDD175" s="953"/>
      <c r="KDE175" s="953"/>
      <c r="KDF175" s="953"/>
      <c r="KDG175" s="953"/>
      <c r="KDH175" s="953"/>
      <c r="KDI175" s="953"/>
      <c r="KDJ175" s="953"/>
      <c r="KDK175" s="953"/>
      <c r="KDL175" s="953"/>
      <c r="KDM175" s="953"/>
      <c r="KDN175" s="953"/>
      <c r="KDO175" s="953"/>
      <c r="KDP175" s="953"/>
      <c r="KDQ175" s="953"/>
      <c r="KDR175" s="953"/>
      <c r="KDS175" s="953"/>
      <c r="KDT175" s="953"/>
      <c r="KDU175" s="953"/>
      <c r="KDV175" s="953"/>
      <c r="KDW175" s="953"/>
      <c r="KDX175" s="953"/>
      <c r="KDY175" s="953"/>
      <c r="KDZ175" s="953"/>
      <c r="KEA175" s="953"/>
      <c r="KEB175" s="953"/>
      <c r="KEC175" s="953"/>
      <c r="KED175" s="953"/>
      <c r="KEE175" s="953"/>
      <c r="KEF175" s="953"/>
      <c r="KEG175" s="953"/>
      <c r="KEH175" s="953"/>
      <c r="KEI175" s="953"/>
      <c r="KEJ175" s="953"/>
      <c r="KEK175" s="953"/>
      <c r="KEL175" s="953"/>
      <c r="KEM175" s="953"/>
      <c r="KEN175" s="953"/>
      <c r="KEO175" s="953"/>
      <c r="KEP175" s="953"/>
      <c r="KEQ175" s="953"/>
      <c r="KER175" s="953"/>
      <c r="KES175" s="953"/>
      <c r="KET175" s="953"/>
      <c r="KEU175" s="953"/>
      <c r="KEV175" s="953"/>
      <c r="KEW175" s="953"/>
      <c r="KEX175" s="953"/>
      <c r="KEY175" s="953"/>
      <c r="KEZ175" s="953"/>
      <c r="KFA175" s="953"/>
      <c r="KFB175" s="953"/>
      <c r="KFC175" s="953"/>
      <c r="KFD175" s="953"/>
      <c r="KFE175" s="953"/>
      <c r="KFF175" s="953"/>
      <c r="KFG175" s="953"/>
      <c r="KFH175" s="953"/>
      <c r="KFI175" s="953"/>
      <c r="KFJ175" s="953"/>
      <c r="KFK175" s="953"/>
      <c r="KFL175" s="953"/>
      <c r="KFM175" s="953"/>
      <c r="KFN175" s="953"/>
      <c r="KFO175" s="953"/>
      <c r="KFP175" s="953"/>
      <c r="KFQ175" s="953"/>
      <c r="KFR175" s="953"/>
      <c r="KFS175" s="953"/>
      <c r="KFT175" s="953"/>
      <c r="KFU175" s="953"/>
      <c r="KFV175" s="953"/>
      <c r="KFW175" s="953"/>
      <c r="KFX175" s="953"/>
      <c r="KFY175" s="953"/>
      <c r="KFZ175" s="953"/>
      <c r="KGA175" s="953"/>
      <c r="KGB175" s="953"/>
      <c r="KGC175" s="953"/>
      <c r="KGD175" s="953"/>
      <c r="KGE175" s="953"/>
      <c r="KGF175" s="953"/>
      <c r="KGG175" s="953"/>
      <c r="KGH175" s="953"/>
      <c r="KGI175" s="953"/>
      <c r="KGJ175" s="953"/>
      <c r="KGK175" s="953"/>
      <c r="KGL175" s="953"/>
      <c r="KGM175" s="953"/>
      <c r="KGN175" s="953"/>
      <c r="KGO175" s="953"/>
      <c r="KGP175" s="953"/>
      <c r="KGQ175" s="953"/>
      <c r="KGR175" s="953"/>
      <c r="KGS175" s="953"/>
      <c r="KGT175" s="953"/>
      <c r="KGU175" s="953"/>
      <c r="KGV175" s="953"/>
      <c r="KGW175" s="953"/>
      <c r="KGX175" s="953"/>
      <c r="KGY175" s="953"/>
      <c r="KGZ175" s="953"/>
      <c r="KHA175" s="953"/>
      <c r="KHB175" s="953"/>
      <c r="KHC175" s="953"/>
      <c r="KHD175" s="953"/>
      <c r="KHE175" s="953"/>
      <c r="KHF175" s="953"/>
      <c r="KHG175" s="953"/>
      <c r="KHH175" s="953"/>
      <c r="KHI175" s="953"/>
      <c r="KHJ175" s="953"/>
      <c r="KHK175" s="953"/>
      <c r="KHL175" s="953"/>
      <c r="KHM175" s="953"/>
      <c r="KHN175" s="953"/>
      <c r="KHO175" s="953"/>
      <c r="KHP175" s="953"/>
      <c r="KHQ175" s="953"/>
      <c r="KHR175" s="953"/>
      <c r="KHS175" s="953"/>
      <c r="KHT175" s="953"/>
      <c r="KHU175" s="953"/>
      <c r="KHV175" s="953"/>
      <c r="KHW175" s="953"/>
      <c r="KHX175" s="953"/>
      <c r="KHY175" s="953"/>
      <c r="KHZ175" s="953"/>
      <c r="KIA175" s="953"/>
      <c r="KIB175" s="953"/>
      <c r="KIC175" s="953"/>
      <c r="KID175" s="953"/>
      <c r="KIE175" s="953"/>
      <c r="KIF175" s="953"/>
      <c r="KIG175" s="953"/>
      <c r="KIH175" s="953"/>
      <c r="KII175" s="953"/>
      <c r="KIJ175" s="953"/>
      <c r="KIK175" s="953"/>
      <c r="KIL175" s="953"/>
      <c r="KIM175" s="953"/>
      <c r="KIN175" s="953"/>
      <c r="KIO175" s="953"/>
      <c r="KIP175" s="953"/>
      <c r="KIQ175" s="953"/>
      <c r="KIR175" s="953"/>
      <c r="KIS175" s="953"/>
      <c r="KIT175" s="953"/>
      <c r="KIU175" s="953"/>
      <c r="KIV175" s="953"/>
      <c r="KIW175" s="953"/>
      <c r="KIX175" s="953"/>
      <c r="KIY175" s="953"/>
      <c r="KIZ175" s="953"/>
      <c r="KJA175" s="953"/>
      <c r="KJB175" s="953"/>
      <c r="KJC175" s="953"/>
      <c r="KJD175" s="953"/>
      <c r="KJE175" s="953"/>
      <c r="KJF175" s="953"/>
      <c r="KJG175" s="953"/>
      <c r="KJH175" s="953"/>
      <c r="KJI175" s="953"/>
      <c r="KJJ175" s="953"/>
      <c r="KJK175" s="953"/>
      <c r="KJL175" s="953"/>
      <c r="KJM175" s="953"/>
      <c r="KJN175" s="953"/>
      <c r="KJO175" s="953"/>
      <c r="KJP175" s="953"/>
      <c r="KJQ175" s="953"/>
      <c r="KJR175" s="953"/>
      <c r="KJS175" s="953"/>
      <c r="KJT175" s="953"/>
      <c r="KJU175" s="953"/>
      <c r="KJV175" s="953"/>
      <c r="KJW175" s="953"/>
      <c r="KJX175" s="953"/>
      <c r="KJY175" s="953"/>
      <c r="KJZ175" s="953"/>
      <c r="KKA175" s="953"/>
      <c r="KKB175" s="953"/>
      <c r="KKC175" s="953"/>
      <c r="KKD175" s="953"/>
      <c r="KKE175" s="953"/>
      <c r="KKF175" s="953"/>
      <c r="KKG175" s="953"/>
      <c r="KKH175" s="953"/>
      <c r="KKI175" s="953"/>
      <c r="KKJ175" s="953"/>
      <c r="KKK175" s="953"/>
      <c r="KKL175" s="953"/>
      <c r="KKM175" s="953"/>
      <c r="KKN175" s="953"/>
      <c r="KKO175" s="953"/>
      <c r="KKP175" s="953"/>
      <c r="KKQ175" s="953"/>
      <c r="KKR175" s="953"/>
      <c r="KKS175" s="953"/>
      <c r="KKT175" s="953"/>
      <c r="KKU175" s="953"/>
      <c r="KKV175" s="953"/>
      <c r="KKW175" s="953"/>
      <c r="KKX175" s="953"/>
      <c r="KKY175" s="953"/>
      <c r="KKZ175" s="953"/>
      <c r="KLA175" s="953"/>
      <c r="KLB175" s="953"/>
      <c r="KLC175" s="953"/>
      <c r="KLD175" s="953"/>
      <c r="KLE175" s="953"/>
      <c r="KLF175" s="953"/>
      <c r="KLG175" s="953"/>
      <c r="KLH175" s="953"/>
      <c r="KLI175" s="953"/>
      <c r="KLJ175" s="953"/>
      <c r="KLK175" s="953"/>
      <c r="KLL175" s="953"/>
      <c r="KLM175" s="953"/>
      <c r="KLN175" s="953"/>
      <c r="KLO175" s="953"/>
      <c r="KLP175" s="953"/>
      <c r="KLQ175" s="953"/>
      <c r="KLR175" s="953"/>
      <c r="KLS175" s="953"/>
      <c r="KLT175" s="953"/>
      <c r="KLU175" s="953"/>
      <c r="KLV175" s="953"/>
      <c r="KLW175" s="953"/>
      <c r="KLX175" s="953"/>
      <c r="KLY175" s="953"/>
      <c r="KLZ175" s="953"/>
      <c r="KMA175" s="953"/>
      <c r="KMB175" s="953"/>
      <c r="KMC175" s="953"/>
      <c r="KMD175" s="953"/>
      <c r="KME175" s="953"/>
      <c r="KMF175" s="953"/>
      <c r="KMG175" s="953"/>
      <c r="KMH175" s="953"/>
      <c r="KMI175" s="953"/>
      <c r="KMJ175" s="953"/>
      <c r="KMK175" s="953"/>
      <c r="KML175" s="953"/>
      <c r="KMM175" s="953"/>
      <c r="KMN175" s="953"/>
      <c r="KMO175" s="953"/>
      <c r="KMP175" s="953"/>
      <c r="KMQ175" s="953"/>
      <c r="KMR175" s="953"/>
      <c r="KMS175" s="953"/>
      <c r="KMT175" s="953"/>
      <c r="KMU175" s="953"/>
      <c r="KMV175" s="953"/>
      <c r="KMW175" s="953"/>
      <c r="KMX175" s="953"/>
      <c r="KMY175" s="953"/>
      <c r="KMZ175" s="953"/>
      <c r="KNA175" s="953"/>
      <c r="KNB175" s="953"/>
      <c r="KNC175" s="953"/>
      <c r="KND175" s="953"/>
      <c r="KNE175" s="953"/>
      <c r="KNF175" s="953"/>
      <c r="KNG175" s="953"/>
      <c r="KNH175" s="953"/>
      <c r="KNI175" s="953"/>
      <c r="KNJ175" s="953"/>
      <c r="KNK175" s="953"/>
      <c r="KNL175" s="953"/>
      <c r="KNM175" s="953"/>
      <c r="KNN175" s="953"/>
      <c r="KNO175" s="953"/>
      <c r="KNP175" s="953"/>
      <c r="KNQ175" s="953"/>
      <c r="KNR175" s="953"/>
      <c r="KNS175" s="953"/>
      <c r="KNT175" s="953"/>
      <c r="KNU175" s="953"/>
      <c r="KNV175" s="953"/>
      <c r="KNW175" s="953"/>
      <c r="KNX175" s="953"/>
      <c r="KNY175" s="953"/>
      <c r="KNZ175" s="953"/>
      <c r="KOA175" s="953"/>
      <c r="KOB175" s="953"/>
      <c r="KOC175" s="953"/>
      <c r="KOD175" s="953"/>
      <c r="KOE175" s="953"/>
      <c r="KOF175" s="953"/>
      <c r="KOG175" s="953"/>
      <c r="KOH175" s="953"/>
      <c r="KOI175" s="953"/>
      <c r="KOJ175" s="953"/>
      <c r="KOK175" s="953"/>
      <c r="KOL175" s="953"/>
      <c r="KOM175" s="953"/>
      <c r="KON175" s="953"/>
      <c r="KOO175" s="953"/>
      <c r="KOP175" s="953"/>
      <c r="KOQ175" s="953"/>
      <c r="KOR175" s="953"/>
      <c r="KOS175" s="953"/>
      <c r="KOT175" s="953"/>
      <c r="KOU175" s="953"/>
      <c r="KOV175" s="953"/>
      <c r="KOW175" s="953"/>
      <c r="KOX175" s="953"/>
      <c r="KOY175" s="953"/>
      <c r="KOZ175" s="953"/>
      <c r="KPA175" s="953"/>
      <c r="KPB175" s="953"/>
      <c r="KPC175" s="953"/>
      <c r="KPD175" s="953"/>
      <c r="KPE175" s="953"/>
      <c r="KPF175" s="953"/>
      <c r="KPG175" s="953"/>
      <c r="KPH175" s="953"/>
      <c r="KPI175" s="953"/>
      <c r="KPJ175" s="953"/>
      <c r="KPK175" s="953"/>
      <c r="KPL175" s="953"/>
      <c r="KPM175" s="953"/>
      <c r="KPN175" s="953"/>
      <c r="KPO175" s="953"/>
      <c r="KPP175" s="953"/>
      <c r="KPQ175" s="953"/>
      <c r="KPR175" s="953"/>
      <c r="KPS175" s="953"/>
      <c r="KPT175" s="953"/>
      <c r="KPU175" s="953"/>
      <c r="KPV175" s="953"/>
      <c r="KPW175" s="953"/>
      <c r="KPX175" s="953"/>
      <c r="KPY175" s="953"/>
      <c r="KPZ175" s="953"/>
      <c r="KQA175" s="953"/>
      <c r="KQB175" s="953"/>
      <c r="KQC175" s="953"/>
      <c r="KQD175" s="953"/>
      <c r="KQE175" s="953"/>
      <c r="KQF175" s="953"/>
      <c r="KQG175" s="953"/>
      <c r="KQH175" s="953"/>
      <c r="KQI175" s="953"/>
      <c r="KQJ175" s="953"/>
      <c r="KQK175" s="953"/>
      <c r="KQL175" s="953"/>
      <c r="KQM175" s="953"/>
      <c r="KQN175" s="953"/>
      <c r="KQO175" s="953"/>
      <c r="KQP175" s="953"/>
      <c r="KQQ175" s="953"/>
      <c r="KQR175" s="953"/>
      <c r="KQS175" s="953"/>
      <c r="KQT175" s="953"/>
      <c r="KQU175" s="953"/>
      <c r="KQV175" s="953"/>
      <c r="KQW175" s="953"/>
      <c r="KQX175" s="953"/>
      <c r="KQY175" s="953"/>
      <c r="KQZ175" s="953"/>
      <c r="KRA175" s="953"/>
      <c r="KRB175" s="953"/>
      <c r="KRC175" s="953"/>
      <c r="KRD175" s="953"/>
      <c r="KRE175" s="953"/>
      <c r="KRF175" s="953"/>
      <c r="KRG175" s="953"/>
      <c r="KRH175" s="953"/>
      <c r="KRI175" s="953"/>
      <c r="KRJ175" s="953"/>
      <c r="KRK175" s="953"/>
      <c r="KRL175" s="953"/>
      <c r="KRM175" s="953"/>
      <c r="KRN175" s="953"/>
      <c r="KRO175" s="953"/>
      <c r="KRP175" s="953"/>
      <c r="KRQ175" s="953"/>
      <c r="KRR175" s="953"/>
      <c r="KRS175" s="953"/>
      <c r="KRT175" s="953"/>
      <c r="KRU175" s="953"/>
      <c r="KRV175" s="953"/>
      <c r="KRW175" s="953"/>
      <c r="KRX175" s="953"/>
      <c r="KRY175" s="953"/>
      <c r="KRZ175" s="953"/>
      <c r="KSA175" s="953"/>
      <c r="KSB175" s="953"/>
      <c r="KSC175" s="953"/>
      <c r="KSD175" s="953"/>
      <c r="KSE175" s="953"/>
      <c r="KSF175" s="953"/>
      <c r="KSG175" s="953"/>
      <c r="KSH175" s="953"/>
      <c r="KSI175" s="953"/>
      <c r="KSJ175" s="953"/>
      <c r="KSK175" s="953"/>
      <c r="KSL175" s="953"/>
      <c r="KSM175" s="953"/>
      <c r="KSN175" s="953"/>
      <c r="KSO175" s="953"/>
      <c r="KSP175" s="953"/>
      <c r="KSQ175" s="953"/>
      <c r="KSR175" s="953"/>
      <c r="KSS175" s="953"/>
      <c r="KST175" s="953"/>
      <c r="KSU175" s="953"/>
      <c r="KSV175" s="953"/>
      <c r="KSW175" s="953"/>
      <c r="KSX175" s="953"/>
      <c r="KSY175" s="953"/>
      <c r="KSZ175" s="953"/>
      <c r="KTA175" s="953"/>
      <c r="KTB175" s="953"/>
      <c r="KTC175" s="953"/>
      <c r="KTD175" s="953"/>
      <c r="KTE175" s="953"/>
      <c r="KTF175" s="953"/>
      <c r="KTG175" s="953"/>
      <c r="KTH175" s="953"/>
      <c r="KTI175" s="953"/>
      <c r="KTJ175" s="953"/>
      <c r="KTK175" s="953"/>
      <c r="KTL175" s="953"/>
      <c r="KTM175" s="953"/>
      <c r="KTN175" s="953"/>
      <c r="KTO175" s="953"/>
      <c r="KTP175" s="953"/>
      <c r="KTQ175" s="953"/>
      <c r="KTR175" s="953"/>
      <c r="KTS175" s="953"/>
      <c r="KTT175" s="953"/>
      <c r="KTU175" s="953"/>
      <c r="KTV175" s="953"/>
      <c r="KTW175" s="953"/>
      <c r="KTX175" s="953"/>
      <c r="KTY175" s="953"/>
      <c r="KTZ175" s="953"/>
      <c r="KUA175" s="953"/>
      <c r="KUB175" s="953"/>
      <c r="KUC175" s="953"/>
      <c r="KUD175" s="953"/>
      <c r="KUE175" s="953"/>
      <c r="KUF175" s="953"/>
      <c r="KUG175" s="953"/>
      <c r="KUH175" s="953"/>
      <c r="KUI175" s="953"/>
      <c r="KUJ175" s="953"/>
      <c r="KUK175" s="953"/>
      <c r="KUL175" s="953"/>
      <c r="KUM175" s="953"/>
      <c r="KUN175" s="953"/>
      <c r="KUO175" s="953"/>
      <c r="KUP175" s="953"/>
      <c r="KUQ175" s="953"/>
      <c r="KUR175" s="953"/>
      <c r="KUS175" s="953"/>
      <c r="KUT175" s="953"/>
      <c r="KUU175" s="953"/>
      <c r="KUV175" s="953"/>
      <c r="KUW175" s="953"/>
      <c r="KUX175" s="953"/>
      <c r="KUY175" s="953"/>
      <c r="KUZ175" s="953"/>
      <c r="KVA175" s="953"/>
      <c r="KVB175" s="953"/>
      <c r="KVC175" s="953"/>
      <c r="KVD175" s="953"/>
      <c r="KVE175" s="953"/>
      <c r="KVF175" s="953"/>
      <c r="KVG175" s="953"/>
      <c r="KVH175" s="953"/>
      <c r="KVI175" s="953"/>
      <c r="KVJ175" s="953"/>
      <c r="KVK175" s="953"/>
      <c r="KVL175" s="953"/>
      <c r="KVM175" s="953"/>
      <c r="KVN175" s="953"/>
      <c r="KVO175" s="953"/>
      <c r="KVP175" s="953"/>
      <c r="KVQ175" s="953"/>
      <c r="KVR175" s="953"/>
      <c r="KVS175" s="953"/>
      <c r="KVT175" s="953"/>
      <c r="KVU175" s="953"/>
      <c r="KVV175" s="953"/>
      <c r="KVW175" s="953"/>
      <c r="KVX175" s="953"/>
      <c r="KVY175" s="953"/>
      <c r="KVZ175" s="953"/>
      <c r="KWA175" s="953"/>
      <c r="KWB175" s="953"/>
      <c r="KWC175" s="953"/>
      <c r="KWD175" s="953"/>
      <c r="KWE175" s="953"/>
      <c r="KWF175" s="953"/>
      <c r="KWG175" s="953"/>
      <c r="KWH175" s="953"/>
      <c r="KWI175" s="953"/>
      <c r="KWJ175" s="953"/>
      <c r="KWK175" s="953"/>
      <c r="KWL175" s="953"/>
      <c r="KWM175" s="953"/>
      <c r="KWN175" s="953"/>
      <c r="KWO175" s="953"/>
      <c r="KWP175" s="953"/>
      <c r="KWQ175" s="953"/>
      <c r="KWR175" s="953"/>
      <c r="KWS175" s="953"/>
      <c r="KWT175" s="953"/>
      <c r="KWU175" s="953"/>
      <c r="KWV175" s="953"/>
      <c r="KWW175" s="953"/>
      <c r="KWX175" s="953"/>
      <c r="KWY175" s="953"/>
      <c r="KWZ175" s="953"/>
      <c r="KXA175" s="953"/>
      <c r="KXB175" s="953"/>
      <c r="KXC175" s="953"/>
      <c r="KXD175" s="953"/>
      <c r="KXE175" s="953"/>
      <c r="KXF175" s="953"/>
      <c r="KXG175" s="953"/>
      <c r="KXH175" s="953"/>
      <c r="KXI175" s="953"/>
      <c r="KXJ175" s="953"/>
      <c r="KXK175" s="953"/>
      <c r="KXL175" s="953"/>
      <c r="KXM175" s="953"/>
      <c r="KXN175" s="953"/>
      <c r="KXO175" s="953"/>
      <c r="KXP175" s="953"/>
      <c r="KXQ175" s="953"/>
      <c r="KXR175" s="953"/>
      <c r="KXS175" s="953"/>
      <c r="KXT175" s="953"/>
      <c r="KXU175" s="953"/>
      <c r="KXV175" s="953"/>
      <c r="KXW175" s="953"/>
      <c r="KXX175" s="953"/>
      <c r="KXY175" s="953"/>
      <c r="KXZ175" s="953"/>
      <c r="KYA175" s="953"/>
      <c r="KYB175" s="953"/>
      <c r="KYC175" s="953"/>
      <c r="KYD175" s="953"/>
      <c r="KYE175" s="953"/>
      <c r="KYF175" s="953"/>
      <c r="KYG175" s="953"/>
      <c r="KYH175" s="953"/>
      <c r="KYI175" s="953"/>
      <c r="KYJ175" s="953"/>
      <c r="KYK175" s="953"/>
      <c r="KYL175" s="953"/>
      <c r="KYM175" s="953"/>
      <c r="KYN175" s="953"/>
      <c r="KYO175" s="953"/>
      <c r="KYP175" s="953"/>
      <c r="KYQ175" s="953"/>
      <c r="KYR175" s="953"/>
      <c r="KYS175" s="953"/>
      <c r="KYT175" s="953"/>
      <c r="KYU175" s="953"/>
      <c r="KYV175" s="953"/>
      <c r="KYW175" s="953"/>
      <c r="KYX175" s="953"/>
      <c r="KYY175" s="953"/>
      <c r="KYZ175" s="953"/>
      <c r="KZA175" s="953"/>
      <c r="KZB175" s="953"/>
      <c r="KZC175" s="953"/>
      <c r="KZD175" s="953"/>
      <c r="KZE175" s="953"/>
      <c r="KZF175" s="953"/>
      <c r="KZG175" s="953"/>
      <c r="KZH175" s="953"/>
      <c r="KZI175" s="953"/>
      <c r="KZJ175" s="953"/>
      <c r="KZK175" s="953"/>
      <c r="KZL175" s="953"/>
      <c r="KZM175" s="953"/>
      <c r="KZN175" s="953"/>
      <c r="KZO175" s="953"/>
      <c r="KZP175" s="953"/>
      <c r="KZQ175" s="953"/>
      <c r="KZR175" s="953"/>
      <c r="KZS175" s="953"/>
      <c r="KZT175" s="953"/>
      <c r="KZU175" s="953"/>
      <c r="KZV175" s="953"/>
      <c r="KZW175" s="953"/>
      <c r="KZX175" s="953"/>
      <c r="KZY175" s="953"/>
      <c r="KZZ175" s="953"/>
      <c r="LAA175" s="953"/>
      <c r="LAB175" s="953"/>
      <c r="LAC175" s="953"/>
      <c r="LAD175" s="953"/>
      <c r="LAE175" s="953"/>
      <c r="LAF175" s="953"/>
      <c r="LAG175" s="953"/>
      <c r="LAH175" s="953"/>
      <c r="LAI175" s="953"/>
      <c r="LAJ175" s="953"/>
      <c r="LAK175" s="953"/>
      <c r="LAL175" s="953"/>
      <c r="LAM175" s="953"/>
      <c r="LAN175" s="953"/>
      <c r="LAO175" s="953"/>
      <c r="LAP175" s="953"/>
      <c r="LAQ175" s="953"/>
      <c r="LAR175" s="953"/>
      <c r="LAS175" s="953"/>
      <c r="LAT175" s="953"/>
      <c r="LAU175" s="953"/>
      <c r="LAV175" s="953"/>
      <c r="LAW175" s="953"/>
      <c r="LAX175" s="953"/>
      <c r="LAY175" s="953"/>
      <c r="LAZ175" s="953"/>
      <c r="LBA175" s="953"/>
      <c r="LBB175" s="953"/>
      <c r="LBC175" s="953"/>
      <c r="LBD175" s="953"/>
      <c r="LBE175" s="953"/>
      <c r="LBF175" s="953"/>
      <c r="LBG175" s="953"/>
      <c r="LBH175" s="953"/>
      <c r="LBI175" s="953"/>
      <c r="LBJ175" s="953"/>
      <c r="LBK175" s="953"/>
      <c r="LBL175" s="953"/>
      <c r="LBM175" s="953"/>
      <c r="LBN175" s="953"/>
      <c r="LBO175" s="953"/>
      <c r="LBP175" s="953"/>
      <c r="LBQ175" s="953"/>
      <c r="LBR175" s="953"/>
      <c r="LBS175" s="953"/>
      <c r="LBT175" s="953"/>
      <c r="LBU175" s="953"/>
      <c r="LBV175" s="953"/>
      <c r="LBW175" s="953"/>
      <c r="LBX175" s="953"/>
      <c r="LBY175" s="953"/>
      <c r="LBZ175" s="953"/>
      <c r="LCA175" s="953"/>
      <c r="LCB175" s="953"/>
      <c r="LCC175" s="953"/>
      <c r="LCD175" s="953"/>
      <c r="LCE175" s="953"/>
      <c r="LCF175" s="953"/>
      <c r="LCG175" s="953"/>
      <c r="LCH175" s="953"/>
      <c r="LCI175" s="953"/>
      <c r="LCJ175" s="953"/>
      <c r="LCK175" s="953"/>
      <c r="LCL175" s="953"/>
      <c r="LCM175" s="953"/>
      <c r="LCN175" s="953"/>
      <c r="LCO175" s="953"/>
      <c r="LCP175" s="953"/>
      <c r="LCQ175" s="953"/>
      <c r="LCR175" s="953"/>
      <c r="LCS175" s="953"/>
      <c r="LCT175" s="953"/>
      <c r="LCU175" s="953"/>
      <c r="LCV175" s="953"/>
      <c r="LCW175" s="953"/>
      <c r="LCX175" s="953"/>
      <c r="LCY175" s="953"/>
      <c r="LCZ175" s="953"/>
      <c r="LDA175" s="953"/>
      <c r="LDB175" s="953"/>
      <c r="LDC175" s="953"/>
      <c r="LDD175" s="953"/>
      <c r="LDE175" s="953"/>
      <c r="LDF175" s="953"/>
      <c r="LDG175" s="953"/>
      <c r="LDH175" s="953"/>
      <c r="LDI175" s="953"/>
      <c r="LDJ175" s="953"/>
      <c r="LDK175" s="953"/>
      <c r="LDL175" s="953"/>
      <c r="LDM175" s="953"/>
      <c r="LDN175" s="953"/>
      <c r="LDO175" s="953"/>
      <c r="LDP175" s="953"/>
      <c r="LDQ175" s="953"/>
      <c r="LDR175" s="953"/>
      <c r="LDS175" s="953"/>
      <c r="LDT175" s="953"/>
      <c r="LDU175" s="953"/>
      <c r="LDV175" s="953"/>
      <c r="LDW175" s="953"/>
      <c r="LDX175" s="953"/>
      <c r="LDY175" s="953"/>
      <c r="LDZ175" s="953"/>
      <c r="LEA175" s="953"/>
      <c r="LEB175" s="953"/>
      <c r="LEC175" s="953"/>
      <c r="LED175" s="953"/>
      <c r="LEE175" s="953"/>
      <c r="LEF175" s="953"/>
      <c r="LEG175" s="953"/>
      <c r="LEH175" s="953"/>
      <c r="LEI175" s="953"/>
      <c r="LEJ175" s="953"/>
      <c r="LEK175" s="953"/>
      <c r="LEL175" s="953"/>
      <c r="LEM175" s="953"/>
      <c r="LEN175" s="953"/>
      <c r="LEO175" s="953"/>
      <c r="LEP175" s="953"/>
      <c r="LEQ175" s="953"/>
      <c r="LER175" s="953"/>
      <c r="LES175" s="953"/>
      <c r="LET175" s="953"/>
      <c r="LEU175" s="953"/>
      <c r="LEV175" s="953"/>
      <c r="LEW175" s="953"/>
      <c r="LEX175" s="953"/>
      <c r="LEY175" s="953"/>
      <c r="LEZ175" s="953"/>
      <c r="LFA175" s="953"/>
      <c r="LFB175" s="953"/>
      <c r="LFC175" s="953"/>
      <c r="LFD175" s="953"/>
      <c r="LFE175" s="953"/>
      <c r="LFF175" s="953"/>
      <c r="LFG175" s="953"/>
      <c r="LFH175" s="953"/>
      <c r="LFI175" s="953"/>
      <c r="LFJ175" s="953"/>
      <c r="LFK175" s="953"/>
      <c r="LFL175" s="953"/>
      <c r="LFM175" s="953"/>
      <c r="LFN175" s="953"/>
      <c r="LFO175" s="953"/>
      <c r="LFP175" s="953"/>
      <c r="LFQ175" s="953"/>
      <c r="LFR175" s="953"/>
      <c r="LFS175" s="953"/>
      <c r="LFT175" s="953"/>
      <c r="LFU175" s="953"/>
      <c r="LFV175" s="953"/>
      <c r="LFW175" s="953"/>
      <c r="LFX175" s="953"/>
      <c r="LFY175" s="953"/>
      <c r="LFZ175" s="953"/>
      <c r="LGA175" s="953"/>
      <c r="LGB175" s="953"/>
      <c r="LGC175" s="953"/>
      <c r="LGD175" s="953"/>
      <c r="LGE175" s="953"/>
      <c r="LGF175" s="953"/>
      <c r="LGG175" s="953"/>
      <c r="LGH175" s="953"/>
      <c r="LGI175" s="953"/>
      <c r="LGJ175" s="953"/>
      <c r="LGK175" s="953"/>
      <c r="LGL175" s="953"/>
      <c r="LGM175" s="953"/>
      <c r="LGN175" s="953"/>
      <c r="LGO175" s="953"/>
      <c r="LGP175" s="953"/>
      <c r="LGQ175" s="953"/>
      <c r="LGR175" s="953"/>
      <c r="LGS175" s="953"/>
      <c r="LGT175" s="953"/>
      <c r="LGU175" s="953"/>
      <c r="LGV175" s="953"/>
      <c r="LGW175" s="953"/>
      <c r="LGX175" s="953"/>
      <c r="LGY175" s="953"/>
      <c r="LGZ175" s="953"/>
      <c r="LHA175" s="953"/>
      <c r="LHB175" s="953"/>
      <c r="LHC175" s="953"/>
      <c r="LHD175" s="953"/>
      <c r="LHE175" s="953"/>
      <c r="LHF175" s="953"/>
      <c r="LHG175" s="953"/>
      <c r="LHH175" s="953"/>
      <c r="LHI175" s="953"/>
      <c r="LHJ175" s="953"/>
      <c r="LHK175" s="953"/>
      <c r="LHL175" s="953"/>
      <c r="LHM175" s="953"/>
      <c r="LHN175" s="953"/>
      <c r="LHO175" s="953"/>
      <c r="LHP175" s="953"/>
      <c r="LHQ175" s="953"/>
      <c r="LHR175" s="953"/>
      <c r="LHS175" s="953"/>
      <c r="LHT175" s="953"/>
      <c r="LHU175" s="953"/>
      <c r="LHV175" s="953"/>
      <c r="LHW175" s="953"/>
      <c r="LHX175" s="953"/>
      <c r="LHY175" s="953"/>
      <c r="LHZ175" s="953"/>
      <c r="LIA175" s="953"/>
      <c r="LIB175" s="953"/>
      <c r="LIC175" s="953"/>
      <c r="LID175" s="953"/>
      <c r="LIE175" s="953"/>
      <c r="LIF175" s="953"/>
      <c r="LIG175" s="953"/>
      <c r="LIH175" s="953"/>
      <c r="LII175" s="953"/>
      <c r="LIJ175" s="953"/>
      <c r="LIK175" s="953"/>
      <c r="LIL175" s="953"/>
      <c r="LIM175" s="953"/>
      <c r="LIN175" s="953"/>
      <c r="LIO175" s="953"/>
      <c r="LIP175" s="953"/>
      <c r="LIQ175" s="953"/>
      <c r="LIR175" s="953"/>
      <c r="LIS175" s="953"/>
      <c r="LIT175" s="953"/>
      <c r="LIU175" s="953"/>
      <c r="LIV175" s="953"/>
      <c r="LIW175" s="953"/>
      <c r="LIX175" s="953"/>
      <c r="LIY175" s="953"/>
      <c r="LIZ175" s="953"/>
      <c r="LJA175" s="953"/>
      <c r="LJB175" s="953"/>
      <c r="LJC175" s="953"/>
      <c r="LJD175" s="953"/>
      <c r="LJE175" s="953"/>
      <c r="LJF175" s="953"/>
      <c r="LJG175" s="953"/>
      <c r="LJH175" s="953"/>
      <c r="LJI175" s="953"/>
      <c r="LJJ175" s="953"/>
      <c r="LJK175" s="953"/>
      <c r="LJL175" s="953"/>
      <c r="LJM175" s="953"/>
      <c r="LJN175" s="953"/>
      <c r="LJO175" s="953"/>
      <c r="LJP175" s="953"/>
      <c r="LJQ175" s="953"/>
      <c r="LJR175" s="953"/>
      <c r="LJS175" s="953"/>
      <c r="LJT175" s="953"/>
      <c r="LJU175" s="953"/>
      <c r="LJV175" s="953"/>
      <c r="LJW175" s="953"/>
      <c r="LJX175" s="953"/>
      <c r="LJY175" s="953"/>
      <c r="LJZ175" s="953"/>
      <c r="LKA175" s="953"/>
      <c r="LKB175" s="953"/>
      <c r="LKC175" s="953"/>
      <c r="LKD175" s="953"/>
      <c r="LKE175" s="953"/>
      <c r="LKF175" s="953"/>
      <c r="LKG175" s="953"/>
      <c r="LKH175" s="953"/>
      <c r="LKI175" s="953"/>
      <c r="LKJ175" s="953"/>
      <c r="LKK175" s="953"/>
      <c r="LKL175" s="953"/>
      <c r="LKM175" s="953"/>
      <c r="LKN175" s="953"/>
      <c r="LKO175" s="953"/>
      <c r="LKP175" s="953"/>
      <c r="LKQ175" s="953"/>
      <c r="LKR175" s="953"/>
      <c r="LKS175" s="953"/>
      <c r="LKT175" s="953"/>
      <c r="LKU175" s="953"/>
      <c r="LKV175" s="953"/>
      <c r="LKW175" s="953"/>
      <c r="LKX175" s="953"/>
      <c r="LKY175" s="953"/>
      <c r="LKZ175" s="953"/>
      <c r="LLA175" s="953"/>
      <c r="LLB175" s="953"/>
      <c r="LLC175" s="953"/>
      <c r="LLD175" s="953"/>
      <c r="LLE175" s="953"/>
      <c r="LLF175" s="953"/>
      <c r="LLG175" s="953"/>
      <c r="LLH175" s="953"/>
      <c r="LLI175" s="953"/>
      <c r="LLJ175" s="953"/>
      <c r="LLK175" s="953"/>
      <c r="LLL175" s="953"/>
      <c r="LLM175" s="953"/>
      <c r="LLN175" s="953"/>
      <c r="LLO175" s="953"/>
      <c r="LLP175" s="953"/>
      <c r="LLQ175" s="953"/>
      <c r="LLR175" s="953"/>
      <c r="LLS175" s="953"/>
      <c r="LLT175" s="953"/>
      <c r="LLU175" s="953"/>
      <c r="LLV175" s="953"/>
      <c r="LLW175" s="953"/>
      <c r="LLX175" s="953"/>
      <c r="LLY175" s="953"/>
      <c r="LLZ175" s="953"/>
      <c r="LMA175" s="953"/>
      <c r="LMB175" s="953"/>
      <c r="LMC175" s="953"/>
      <c r="LMD175" s="953"/>
      <c r="LME175" s="953"/>
      <c r="LMF175" s="953"/>
      <c r="LMG175" s="953"/>
      <c r="LMH175" s="953"/>
      <c r="LMI175" s="953"/>
      <c r="LMJ175" s="953"/>
      <c r="LMK175" s="953"/>
      <c r="LML175" s="953"/>
      <c r="LMM175" s="953"/>
      <c r="LMN175" s="953"/>
      <c r="LMO175" s="953"/>
      <c r="LMP175" s="953"/>
      <c r="LMQ175" s="953"/>
      <c r="LMR175" s="953"/>
      <c r="LMS175" s="953"/>
      <c r="LMT175" s="953"/>
      <c r="LMU175" s="953"/>
      <c r="LMV175" s="953"/>
      <c r="LMW175" s="953"/>
      <c r="LMX175" s="953"/>
      <c r="LMY175" s="953"/>
      <c r="LMZ175" s="953"/>
      <c r="LNA175" s="953"/>
      <c r="LNB175" s="953"/>
      <c r="LNC175" s="953"/>
      <c r="LND175" s="953"/>
      <c r="LNE175" s="953"/>
      <c r="LNF175" s="953"/>
      <c r="LNG175" s="953"/>
      <c r="LNH175" s="953"/>
      <c r="LNI175" s="953"/>
      <c r="LNJ175" s="953"/>
      <c r="LNK175" s="953"/>
      <c r="LNL175" s="953"/>
      <c r="LNM175" s="953"/>
      <c r="LNN175" s="953"/>
      <c r="LNO175" s="953"/>
      <c r="LNP175" s="953"/>
      <c r="LNQ175" s="953"/>
      <c r="LNR175" s="953"/>
      <c r="LNS175" s="953"/>
      <c r="LNT175" s="953"/>
      <c r="LNU175" s="953"/>
      <c r="LNV175" s="953"/>
      <c r="LNW175" s="953"/>
      <c r="LNX175" s="953"/>
      <c r="LNY175" s="953"/>
      <c r="LNZ175" s="953"/>
      <c r="LOA175" s="953"/>
      <c r="LOB175" s="953"/>
      <c r="LOC175" s="953"/>
      <c r="LOD175" s="953"/>
      <c r="LOE175" s="953"/>
      <c r="LOF175" s="953"/>
      <c r="LOG175" s="953"/>
      <c r="LOH175" s="953"/>
      <c r="LOI175" s="953"/>
      <c r="LOJ175" s="953"/>
      <c r="LOK175" s="953"/>
      <c r="LOL175" s="953"/>
      <c r="LOM175" s="953"/>
      <c r="LON175" s="953"/>
      <c r="LOO175" s="953"/>
      <c r="LOP175" s="953"/>
      <c r="LOQ175" s="953"/>
      <c r="LOR175" s="953"/>
      <c r="LOS175" s="953"/>
      <c r="LOT175" s="953"/>
      <c r="LOU175" s="953"/>
      <c r="LOV175" s="953"/>
      <c r="LOW175" s="953"/>
      <c r="LOX175" s="953"/>
      <c r="LOY175" s="953"/>
      <c r="LOZ175" s="953"/>
      <c r="LPA175" s="953"/>
      <c r="LPB175" s="953"/>
      <c r="LPC175" s="953"/>
      <c r="LPD175" s="953"/>
      <c r="LPE175" s="953"/>
      <c r="LPF175" s="953"/>
      <c r="LPG175" s="953"/>
      <c r="LPH175" s="953"/>
      <c r="LPI175" s="953"/>
      <c r="LPJ175" s="953"/>
      <c r="LPK175" s="953"/>
      <c r="LPL175" s="953"/>
      <c r="LPM175" s="953"/>
      <c r="LPN175" s="953"/>
      <c r="LPO175" s="953"/>
      <c r="LPP175" s="953"/>
      <c r="LPQ175" s="953"/>
      <c r="LPR175" s="953"/>
      <c r="LPS175" s="953"/>
      <c r="LPT175" s="953"/>
      <c r="LPU175" s="953"/>
      <c r="LPV175" s="953"/>
      <c r="LPW175" s="953"/>
      <c r="LPX175" s="953"/>
      <c r="LPY175" s="953"/>
      <c r="LPZ175" s="953"/>
      <c r="LQA175" s="953"/>
      <c r="LQB175" s="953"/>
      <c r="LQC175" s="953"/>
      <c r="LQD175" s="953"/>
      <c r="LQE175" s="953"/>
      <c r="LQF175" s="953"/>
      <c r="LQG175" s="953"/>
      <c r="LQH175" s="953"/>
      <c r="LQI175" s="953"/>
      <c r="LQJ175" s="953"/>
      <c r="LQK175" s="953"/>
      <c r="LQL175" s="953"/>
      <c r="LQM175" s="953"/>
      <c r="LQN175" s="953"/>
      <c r="LQO175" s="953"/>
      <c r="LQP175" s="953"/>
      <c r="LQQ175" s="953"/>
      <c r="LQR175" s="953"/>
      <c r="LQS175" s="953"/>
      <c r="LQT175" s="953"/>
      <c r="LQU175" s="953"/>
      <c r="LQV175" s="953"/>
      <c r="LQW175" s="953"/>
      <c r="LQX175" s="953"/>
      <c r="LQY175" s="953"/>
      <c r="LQZ175" s="953"/>
      <c r="LRA175" s="953"/>
      <c r="LRB175" s="953"/>
      <c r="LRC175" s="953"/>
      <c r="LRD175" s="953"/>
      <c r="LRE175" s="953"/>
      <c r="LRF175" s="953"/>
      <c r="LRG175" s="953"/>
      <c r="LRH175" s="953"/>
      <c r="LRI175" s="953"/>
      <c r="LRJ175" s="953"/>
      <c r="LRK175" s="953"/>
      <c r="LRL175" s="953"/>
      <c r="LRM175" s="953"/>
      <c r="LRN175" s="953"/>
      <c r="LRO175" s="953"/>
      <c r="LRP175" s="953"/>
      <c r="LRQ175" s="953"/>
      <c r="LRR175" s="953"/>
      <c r="LRS175" s="953"/>
      <c r="LRT175" s="953"/>
      <c r="LRU175" s="953"/>
      <c r="LRV175" s="953"/>
      <c r="LRW175" s="953"/>
      <c r="LRX175" s="953"/>
      <c r="LRY175" s="953"/>
      <c r="LRZ175" s="953"/>
      <c r="LSA175" s="953"/>
      <c r="LSB175" s="953"/>
      <c r="LSC175" s="953"/>
      <c r="LSD175" s="953"/>
      <c r="LSE175" s="953"/>
      <c r="LSF175" s="953"/>
      <c r="LSG175" s="953"/>
      <c r="LSH175" s="953"/>
      <c r="LSI175" s="953"/>
      <c r="LSJ175" s="953"/>
      <c r="LSK175" s="953"/>
      <c r="LSL175" s="953"/>
      <c r="LSM175" s="953"/>
      <c r="LSN175" s="953"/>
      <c r="LSO175" s="953"/>
      <c r="LSP175" s="953"/>
      <c r="LSQ175" s="953"/>
      <c r="LSR175" s="953"/>
      <c r="LSS175" s="953"/>
      <c r="LST175" s="953"/>
      <c r="LSU175" s="953"/>
      <c r="LSV175" s="953"/>
      <c r="LSW175" s="953"/>
      <c r="LSX175" s="953"/>
      <c r="LSY175" s="953"/>
      <c r="LSZ175" s="953"/>
      <c r="LTA175" s="953"/>
      <c r="LTB175" s="953"/>
      <c r="LTC175" s="953"/>
      <c r="LTD175" s="953"/>
      <c r="LTE175" s="953"/>
      <c r="LTF175" s="953"/>
      <c r="LTG175" s="953"/>
      <c r="LTH175" s="953"/>
      <c r="LTI175" s="953"/>
      <c r="LTJ175" s="953"/>
      <c r="LTK175" s="953"/>
      <c r="LTL175" s="953"/>
      <c r="LTM175" s="953"/>
      <c r="LTN175" s="953"/>
      <c r="LTO175" s="953"/>
      <c r="LTP175" s="953"/>
      <c r="LTQ175" s="953"/>
      <c r="LTR175" s="953"/>
      <c r="LTS175" s="953"/>
      <c r="LTT175" s="953"/>
      <c r="LTU175" s="953"/>
      <c r="LTV175" s="953"/>
      <c r="LTW175" s="953"/>
      <c r="LTX175" s="953"/>
      <c r="LTY175" s="953"/>
      <c r="LTZ175" s="953"/>
      <c r="LUA175" s="953"/>
      <c r="LUB175" s="953"/>
      <c r="LUC175" s="953"/>
      <c r="LUD175" s="953"/>
      <c r="LUE175" s="953"/>
      <c r="LUF175" s="953"/>
      <c r="LUG175" s="953"/>
      <c r="LUH175" s="953"/>
      <c r="LUI175" s="953"/>
      <c r="LUJ175" s="953"/>
      <c r="LUK175" s="953"/>
      <c r="LUL175" s="953"/>
      <c r="LUM175" s="953"/>
      <c r="LUN175" s="953"/>
      <c r="LUO175" s="953"/>
      <c r="LUP175" s="953"/>
      <c r="LUQ175" s="953"/>
      <c r="LUR175" s="953"/>
      <c r="LUS175" s="953"/>
      <c r="LUT175" s="953"/>
      <c r="LUU175" s="953"/>
      <c r="LUV175" s="953"/>
      <c r="LUW175" s="953"/>
      <c r="LUX175" s="953"/>
      <c r="LUY175" s="953"/>
      <c r="LUZ175" s="953"/>
      <c r="LVA175" s="953"/>
      <c r="LVB175" s="953"/>
      <c r="LVC175" s="953"/>
      <c r="LVD175" s="953"/>
      <c r="LVE175" s="953"/>
      <c r="LVF175" s="953"/>
      <c r="LVG175" s="953"/>
      <c r="LVH175" s="953"/>
      <c r="LVI175" s="953"/>
      <c r="LVJ175" s="953"/>
      <c r="LVK175" s="953"/>
      <c r="LVL175" s="953"/>
      <c r="LVM175" s="953"/>
      <c r="LVN175" s="953"/>
      <c r="LVO175" s="953"/>
      <c r="LVP175" s="953"/>
      <c r="LVQ175" s="953"/>
      <c r="LVR175" s="953"/>
      <c r="LVS175" s="953"/>
      <c r="LVT175" s="953"/>
      <c r="LVU175" s="953"/>
      <c r="LVV175" s="953"/>
      <c r="LVW175" s="953"/>
      <c r="LVX175" s="953"/>
      <c r="LVY175" s="953"/>
      <c r="LVZ175" s="953"/>
      <c r="LWA175" s="953"/>
      <c r="LWB175" s="953"/>
      <c r="LWC175" s="953"/>
      <c r="LWD175" s="953"/>
      <c r="LWE175" s="953"/>
      <c r="LWF175" s="953"/>
      <c r="LWG175" s="953"/>
      <c r="LWH175" s="953"/>
      <c r="LWI175" s="953"/>
      <c r="LWJ175" s="953"/>
      <c r="LWK175" s="953"/>
      <c r="LWL175" s="953"/>
      <c r="LWM175" s="953"/>
      <c r="LWN175" s="953"/>
      <c r="LWO175" s="953"/>
      <c r="LWP175" s="953"/>
      <c r="LWQ175" s="953"/>
      <c r="LWR175" s="953"/>
      <c r="LWS175" s="953"/>
      <c r="LWT175" s="953"/>
      <c r="LWU175" s="953"/>
      <c r="LWV175" s="953"/>
      <c r="LWW175" s="953"/>
      <c r="LWX175" s="953"/>
      <c r="LWY175" s="953"/>
      <c r="LWZ175" s="953"/>
      <c r="LXA175" s="953"/>
      <c r="LXB175" s="953"/>
      <c r="LXC175" s="953"/>
      <c r="LXD175" s="953"/>
      <c r="LXE175" s="953"/>
      <c r="LXF175" s="953"/>
      <c r="LXG175" s="953"/>
      <c r="LXH175" s="953"/>
      <c r="LXI175" s="953"/>
      <c r="LXJ175" s="953"/>
      <c r="LXK175" s="953"/>
      <c r="LXL175" s="953"/>
      <c r="LXM175" s="953"/>
      <c r="LXN175" s="953"/>
      <c r="LXO175" s="953"/>
      <c r="LXP175" s="953"/>
      <c r="LXQ175" s="953"/>
      <c r="LXR175" s="953"/>
      <c r="LXS175" s="953"/>
      <c r="LXT175" s="953"/>
      <c r="LXU175" s="953"/>
      <c r="LXV175" s="953"/>
      <c r="LXW175" s="953"/>
      <c r="LXX175" s="953"/>
      <c r="LXY175" s="953"/>
      <c r="LXZ175" s="953"/>
      <c r="LYA175" s="953"/>
      <c r="LYB175" s="953"/>
      <c r="LYC175" s="953"/>
      <c r="LYD175" s="953"/>
      <c r="LYE175" s="953"/>
      <c r="LYF175" s="953"/>
      <c r="LYG175" s="953"/>
      <c r="LYH175" s="953"/>
      <c r="LYI175" s="953"/>
      <c r="LYJ175" s="953"/>
      <c r="LYK175" s="953"/>
      <c r="LYL175" s="953"/>
      <c r="LYM175" s="953"/>
      <c r="LYN175" s="953"/>
      <c r="LYO175" s="953"/>
      <c r="LYP175" s="953"/>
      <c r="LYQ175" s="953"/>
      <c r="LYR175" s="953"/>
      <c r="LYS175" s="953"/>
      <c r="LYT175" s="953"/>
      <c r="LYU175" s="953"/>
      <c r="LYV175" s="953"/>
      <c r="LYW175" s="953"/>
      <c r="LYX175" s="953"/>
      <c r="LYY175" s="953"/>
      <c r="LYZ175" s="953"/>
      <c r="LZA175" s="953"/>
      <c r="LZB175" s="953"/>
      <c r="LZC175" s="953"/>
      <c r="LZD175" s="953"/>
      <c r="LZE175" s="953"/>
      <c r="LZF175" s="953"/>
      <c r="LZG175" s="953"/>
      <c r="LZH175" s="953"/>
      <c r="LZI175" s="953"/>
      <c r="LZJ175" s="953"/>
      <c r="LZK175" s="953"/>
      <c r="LZL175" s="953"/>
      <c r="LZM175" s="953"/>
      <c r="LZN175" s="953"/>
      <c r="LZO175" s="953"/>
      <c r="LZP175" s="953"/>
      <c r="LZQ175" s="953"/>
      <c r="LZR175" s="953"/>
      <c r="LZS175" s="953"/>
      <c r="LZT175" s="953"/>
      <c r="LZU175" s="953"/>
      <c r="LZV175" s="953"/>
      <c r="LZW175" s="953"/>
      <c r="LZX175" s="953"/>
      <c r="LZY175" s="953"/>
      <c r="LZZ175" s="953"/>
      <c r="MAA175" s="953"/>
      <c r="MAB175" s="953"/>
      <c r="MAC175" s="953"/>
      <c r="MAD175" s="953"/>
      <c r="MAE175" s="953"/>
      <c r="MAF175" s="953"/>
      <c r="MAG175" s="953"/>
      <c r="MAH175" s="953"/>
      <c r="MAI175" s="953"/>
      <c r="MAJ175" s="953"/>
      <c r="MAK175" s="953"/>
      <c r="MAL175" s="953"/>
      <c r="MAM175" s="953"/>
      <c r="MAN175" s="953"/>
      <c r="MAO175" s="953"/>
      <c r="MAP175" s="953"/>
      <c r="MAQ175" s="953"/>
      <c r="MAR175" s="953"/>
      <c r="MAS175" s="953"/>
      <c r="MAT175" s="953"/>
      <c r="MAU175" s="953"/>
      <c r="MAV175" s="953"/>
      <c r="MAW175" s="953"/>
      <c r="MAX175" s="953"/>
      <c r="MAY175" s="953"/>
      <c r="MAZ175" s="953"/>
      <c r="MBA175" s="953"/>
      <c r="MBB175" s="953"/>
      <c r="MBC175" s="953"/>
      <c r="MBD175" s="953"/>
      <c r="MBE175" s="953"/>
      <c r="MBF175" s="953"/>
      <c r="MBG175" s="953"/>
      <c r="MBH175" s="953"/>
      <c r="MBI175" s="953"/>
      <c r="MBJ175" s="953"/>
      <c r="MBK175" s="953"/>
      <c r="MBL175" s="953"/>
      <c r="MBM175" s="953"/>
      <c r="MBN175" s="953"/>
      <c r="MBO175" s="953"/>
      <c r="MBP175" s="953"/>
      <c r="MBQ175" s="953"/>
      <c r="MBR175" s="953"/>
      <c r="MBS175" s="953"/>
      <c r="MBT175" s="953"/>
      <c r="MBU175" s="953"/>
      <c r="MBV175" s="953"/>
      <c r="MBW175" s="953"/>
      <c r="MBX175" s="953"/>
      <c r="MBY175" s="953"/>
      <c r="MBZ175" s="953"/>
      <c r="MCA175" s="953"/>
      <c r="MCB175" s="953"/>
      <c r="MCC175" s="953"/>
      <c r="MCD175" s="953"/>
      <c r="MCE175" s="953"/>
      <c r="MCF175" s="953"/>
      <c r="MCG175" s="953"/>
      <c r="MCH175" s="953"/>
      <c r="MCI175" s="953"/>
      <c r="MCJ175" s="953"/>
      <c r="MCK175" s="953"/>
      <c r="MCL175" s="953"/>
      <c r="MCM175" s="953"/>
      <c r="MCN175" s="953"/>
      <c r="MCO175" s="953"/>
      <c r="MCP175" s="953"/>
      <c r="MCQ175" s="953"/>
      <c r="MCR175" s="953"/>
      <c r="MCS175" s="953"/>
      <c r="MCT175" s="953"/>
      <c r="MCU175" s="953"/>
      <c r="MCV175" s="953"/>
      <c r="MCW175" s="953"/>
      <c r="MCX175" s="953"/>
      <c r="MCY175" s="953"/>
      <c r="MCZ175" s="953"/>
      <c r="MDA175" s="953"/>
      <c r="MDB175" s="953"/>
      <c r="MDC175" s="953"/>
      <c r="MDD175" s="953"/>
      <c r="MDE175" s="953"/>
      <c r="MDF175" s="953"/>
      <c r="MDG175" s="953"/>
      <c r="MDH175" s="953"/>
      <c r="MDI175" s="953"/>
      <c r="MDJ175" s="953"/>
      <c r="MDK175" s="953"/>
      <c r="MDL175" s="953"/>
      <c r="MDM175" s="953"/>
      <c r="MDN175" s="953"/>
      <c r="MDO175" s="953"/>
      <c r="MDP175" s="953"/>
      <c r="MDQ175" s="953"/>
      <c r="MDR175" s="953"/>
      <c r="MDS175" s="953"/>
      <c r="MDT175" s="953"/>
      <c r="MDU175" s="953"/>
      <c r="MDV175" s="953"/>
      <c r="MDW175" s="953"/>
      <c r="MDX175" s="953"/>
      <c r="MDY175" s="953"/>
      <c r="MDZ175" s="953"/>
      <c r="MEA175" s="953"/>
      <c r="MEB175" s="953"/>
      <c r="MEC175" s="953"/>
      <c r="MED175" s="953"/>
      <c r="MEE175" s="953"/>
      <c r="MEF175" s="953"/>
      <c r="MEG175" s="953"/>
      <c r="MEH175" s="953"/>
      <c r="MEI175" s="953"/>
      <c r="MEJ175" s="953"/>
      <c r="MEK175" s="953"/>
      <c r="MEL175" s="953"/>
      <c r="MEM175" s="953"/>
      <c r="MEN175" s="953"/>
      <c r="MEO175" s="953"/>
      <c r="MEP175" s="953"/>
      <c r="MEQ175" s="953"/>
      <c r="MER175" s="953"/>
      <c r="MES175" s="953"/>
      <c r="MET175" s="953"/>
      <c r="MEU175" s="953"/>
      <c r="MEV175" s="953"/>
      <c r="MEW175" s="953"/>
      <c r="MEX175" s="953"/>
      <c r="MEY175" s="953"/>
      <c r="MEZ175" s="953"/>
      <c r="MFA175" s="953"/>
      <c r="MFB175" s="953"/>
      <c r="MFC175" s="953"/>
      <c r="MFD175" s="953"/>
      <c r="MFE175" s="953"/>
      <c r="MFF175" s="953"/>
      <c r="MFG175" s="953"/>
      <c r="MFH175" s="953"/>
      <c r="MFI175" s="953"/>
      <c r="MFJ175" s="953"/>
      <c r="MFK175" s="953"/>
      <c r="MFL175" s="953"/>
      <c r="MFM175" s="953"/>
      <c r="MFN175" s="953"/>
      <c r="MFO175" s="953"/>
      <c r="MFP175" s="953"/>
      <c r="MFQ175" s="953"/>
      <c r="MFR175" s="953"/>
      <c r="MFS175" s="953"/>
      <c r="MFT175" s="953"/>
      <c r="MFU175" s="953"/>
      <c r="MFV175" s="953"/>
      <c r="MFW175" s="953"/>
      <c r="MFX175" s="953"/>
      <c r="MFY175" s="953"/>
      <c r="MFZ175" s="953"/>
      <c r="MGA175" s="953"/>
      <c r="MGB175" s="953"/>
      <c r="MGC175" s="953"/>
      <c r="MGD175" s="953"/>
      <c r="MGE175" s="953"/>
      <c r="MGF175" s="953"/>
      <c r="MGG175" s="953"/>
      <c r="MGH175" s="953"/>
      <c r="MGI175" s="953"/>
      <c r="MGJ175" s="953"/>
      <c r="MGK175" s="953"/>
      <c r="MGL175" s="953"/>
      <c r="MGM175" s="953"/>
      <c r="MGN175" s="953"/>
      <c r="MGO175" s="953"/>
      <c r="MGP175" s="953"/>
      <c r="MGQ175" s="953"/>
      <c r="MGR175" s="953"/>
      <c r="MGS175" s="953"/>
      <c r="MGT175" s="953"/>
      <c r="MGU175" s="953"/>
      <c r="MGV175" s="953"/>
      <c r="MGW175" s="953"/>
      <c r="MGX175" s="953"/>
      <c r="MGY175" s="953"/>
      <c r="MGZ175" s="953"/>
      <c r="MHA175" s="953"/>
      <c r="MHB175" s="953"/>
      <c r="MHC175" s="953"/>
      <c r="MHD175" s="953"/>
      <c r="MHE175" s="953"/>
      <c r="MHF175" s="953"/>
      <c r="MHG175" s="953"/>
      <c r="MHH175" s="953"/>
      <c r="MHI175" s="953"/>
      <c r="MHJ175" s="953"/>
      <c r="MHK175" s="953"/>
      <c r="MHL175" s="953"/>
      <c r="MHM175" s="953"/>
      <c r="MHN175" s="953"/>
      <c r="MHO175" s="953"/>
      <c r="MHP175" s="953"/>
      <c r="MHQ175" s="953"/>
      <c r="MHR175" s="953"/>
      <c r="MHS175" s="953"/>
      <c r="MHT175" s="953"/>
      <c r="MHU175" s="953"/>
      <c r="MHV175" s="953"/>
      <c r="MHW175" s="953"/>
      <c r="MHX175" s="953"/>
      <c r="MHY175" s="953"/>
      <c r="MHZ175" s="953"/>
      <c r="MIA175" s="953"/>
      <c r="MIB175" s="953"/>
      <c r="MIC175" s="953"/>
      <c r="MID175" s="953"/>
      <c r="MIE175" s="953"/>
      <c r="MIF175" s="953"/>
      <c r="MIG175" s="953"/>
      <c r="MIH175" s="953"/>
      <c r="MII175" s="953"/>
      <c r="MIJ175" s="953"/>
      <c r="MIK175" s="953"/>
      <c r="MIL175" s="953"/>
      <c r="MIM175" s="953"/>
      <c r="MIN175" s="953"/>
      <c r="MIO175" s="953"/>
      <c r="MIP175" s="953"/>
      <c r="MIQ175" s="953"/>
      <c r="MIR175" s="953"/>
      <c r="MIS175" s="953"/>
      <c r="MIT175" s="953"/>
      <c r="MIU175" s="953"/>
      <c r="MIV175" s="953"/>
      <c r="MIW175" s="953"/>
      <c r="MIX175" s="953"/>
      <c r="MIY175" s="953"/>
      <c r="MIZ175" s="953"/>
      <c r="MJA175" s="953"/>
      <c r="MJB175" s="953"/>
      <c r="MJC175" s="953"/>
      <c r="MJD175" s="953"/>
      <c r="MJE175" s="953"/>
      <c r="MJF175" s="953"/>
      <c r="MJG175" s="953"/>
      <c r="MJH175" s="953"/>
      <c r="MJI175" s="953"/>
      <c r="MJJ175" s="953"/>
      <c r="MJK175" s="953"/>
      <c r="MJL175" s="953"/>
      <c r="MJM175" s="953"/>
      <c r="MJN175" s="953"/>
      <c r="MJO175" s="953"/>
      <c r="MJP175" s="953"/>
      <c r="MJQ175" s="953"/>
      <c r="MJR175" s="953"/>
      <c r="MJS175" s="953"/>
      <c r="MJT175" s="953"/>
      <c r="MJU175" s="953"/>
      <c r="MJV175" s="953"/>
      <c r="MJW175" s="953"/>
      <c r="MJX175" s="953"/>
      <c r="MJY175" s="953"/>
      <c r="MJZ175" s="953"/>
      <c r="MKA175" s="953"/>
      <c r="MKB175" s="953"/>
      <c r="MKC175" s="953"/>
      <c r="MKD175" s="953"/>
      <c r="MKE175" s="953"/>
      <c r="MKF175" s="953"/>
      <c r="MKG175" s="953"/>
      <c r="MKH175" s="953"/>
      <c r="MKI175" s="953"/>
      <c r="MKJ175" s="953"/>
      <c r="MKK175" s="953"/>
      <c r="MKL175" s="953"/>
      <c r="MKM175" s="953"/>
      <c r="MKN175" s="953"/>
      <c r="MKO175" s="953"/>
      <c r="MKP175" s="953"/>
      <c r="MKQ175" s="953"/>
      <c r="MKR175" s="953"/>
      <c r="MKS175" s="953"/>
      <c r="MKT175" s="953"/>
      <c r="MKU175" s="953"/>
      <c r="MKV175" s="953"/>
      <c r="MKW175" s="953"/>
      <c r="MKX175" s="953"/>
      <c r="MKY175" s="953"/>
      <c r="MKZ175" s="953"/>
      <c r="MLA175" s="953"/>
      <c r="MLB175" s="953"/>
      <c r="MLC175" s="953"/>
      <c r="MLD175" s="953"/>
      <c r="MLE175" s="953"/>
      <c r="MLF175" s="953"/>
      <c r="MLG175" s="953"/>
      <c r="MLH175" s="953"/>
      <c r="MLI175" s="953"/>
      <c r="MLJ175" s="953"/>
      <c r="MLK175" s="953"/>
      <c r="MLL175" s="953"/>
      <c r="MLM175" s="953"/>
      <c r="MLN175" s="953"/>
      <c r="MLO175" s="953"/>
      <c r="MLP175" s="953"/>
      <c r="MLQ175" s="953"/>
      <c r="MLR175" s="953"/>
      <c r="MLS175" s="953"/>
      <c r="MLT175" s="953"/>
      <c r="MLU175" s="953"/>
      <c r="MLV175" s="953"/>
      <c r="MLW175" s="953"/>
      <c r="MLX175" s="953"/>
      <c r="MLY175" s="953"/>
      <c r="MLZ175" s="953"/>
      <c r="MMA175" s="953"/>
      <c r="MMB175" s="953"/>
      <c r="MMC175" s="953"/>
      <c r="MMD175" s="953"/>
      <c r="MME175" s="953"/>
      <c r="MMF175" s="953"/>
      <c r="MMG175" s="953"/>
      <c r="MMH175" s="953"/>
      <c r="MMI175" s="953"/>
      <c r="MMJ175" s="953"/>
      <c r="MMK175" s="953"/>
      <c r="MML175" s="953"/>
      <c r="MMM175" s="953"/>
      <c r="MMN175" s="953"/>
      <c r="MMO175" s="953"/>
      <c r="MMP175" s="953"/>
      <c r="MMQ175" s="953"/>
      <c r="MMR175" s="953"/>
      <c r="MMS175" s="953"/>
      <c r="MMT175" s="953"/>
      <c r="MMU175" s="953"/>
      <c r="MMV175" s="953"/>
      <c r="MMW175" s="953"/>
      <c r="MMX175" s="953"/>
      <c r="MMY175" s="953"/>
      <c r="MMZ175" s="953"/>
      <c r="MNA175" s="953"/>
      <c r="MNB175" s="953"/>
      <c r="MNC175" s="953"/>
      <c r="MND175" s="953"/>
      <c r="MNE175" s="953"/>
      <c r="MNF175" s="953"/>
      <c r="MNG175" s="953"/>
      <c r="MNH175" s="953"/>
      <c r="MNI175" s="953"/>
      <c r="MNJ175" s="953"/>
      <c r="MNK175" s="953"/>
      <c r="MNL175" s="953"/>
      <c r="MNM175" s="953"/>
      <c r="MNN175" s="953"/>
      <c r="MNO175" s="953"/>
      <c r="MNP175" s="953"/>
      <c r="MNQ175" s="953"/>
      <c r="MNR175" s="953"/>
      <c r="MNS175" s="953"/>
      <c r="MNT175" s="953"/>
      <c r="MNU175" s="953"/>
      <c r="MNV175" s="953"/>
      <c r="MNW175" s="953"/>
      <c r="MNX175" s="953"/>
      <c r="MNY175" s="953"/>
      <c r="MNZ175" s="953"/>
      <c r="MOA175" s="953"/>
      <c r="MOB175" s="953"/>
      <c r="MOC175" s="953"/>
      <c r="MOD175" s="953"/>
      <c r="MOE175" s="953"/>
      <c r="MOF175" s="953"/>
      <c r="MOG175" s="953"/>
      <c r="MOH175" s="953"/>
      <c r="MOI175" s="953"/>
      <c r="MOJ175" s="953"/>
      <c r="MOK175" s="953"/>
      <c r="MOL175" s="953"/>
      <c r="MOM175" s="953"/>
      <c r="MON175" s="953"/>
      <c r="MOO175" s="953"/>
      <c r="MOP175" s="953"/>
      <c r="MOQ175" s="953"/>
      <c r="MOR175" s="953"/>
      <c r="MOS175" s="953"/>
      <c r="MOT175" s="953"/>
      <c r="MOU175" s="953"/>
      <c r="MOV175" s="953"/>
      <c r="MOW175" s="953"/>
      <c r="MOX175" s="953"/>
      <c r="MOY175" s="953"/>
      <c r="MOZ175" s="953"/>
      <c r="MPA175" s="953"/>
      <c r="MPB175" s="953"/>
      <c r="MPC175" s="953"/>
      <c r="MPD175" s="953"/>
      <c r="MPE175" s="953"/>
      <c r="MPF175" s="953"/>
      <c r="MPG175" s="953"/>
      <c r="MPH175" s="953"/>
      <c r="MPI175" s="953"/>
      <c r="MPJ175" s="953"/>
      <c r="MPK175" s="953"/>
      <c r="MPL175" s="953"/>
      <c r="MPM175" s="953"/>
      <c r="MPN175" s="953"/>
      <c r="MPO175" s="953"/>
      <c r="MPP175" s="953"/>
      <c r="MPQ175" s="953"/>
      <c r="MPR175" s="953"/>
      <c r="MPS175" s="953"/>
      <c r="MPT175" s="953"/>
      <c r="MPU175" s="953"/>
      <c r="MPV175" s="953"/>
      <c r="MPW175" s="953"/>
      <c r="MPX175" s="953"/>
      <c r="MPY175" s="953"/>
      <c r="MPZ175" s="953"/>
      <c r="MQA175" s="953"/>
      <c r="MQB175" s="953"/>
      <c r="MQC175" s="953"/>
      <c r="MQD175" s="953"/>
      <c r="MQE175" s="953"/>
      <c r="MQF175" s="953"/>
      <c r="MQG175" s="953"/>
      <c r="MQH175" s="953"/>
      <c r="MQI175" s="953"/>
      <c r="MQJ175" s="953"/>
      <c r="MQK175" s="953"/>
      <c r="MQL175" s="953"/>
      <c r="MQM175" s="953"/>
      <c r="MQN175" s="953"/>
      <c r="MQO175" s="953"/>
      <c r="MQP175" s="953"/>
      <c r="MQQ175" s="953"/>
      <c r="MQR175" s="953"/>
      <c r="MQS175" s="953"/>
      <c r="MQT175" s="953"/>
      <c r="MQU175" s="953"/>
      <c r="MQV175" s="953"/>
      <c r="MQW175" s="953"/>
      <c r="MQX175" s="953"/>
      <c r="MQY175" s="953"/>
      <c r="MQZ175" s="953"/>
      <c r="MRA175" s="953"/>
      <c r="MRB175" s="953"/>
      <c r="MRC175" s="953"/>
      <c r="MRD175" s="953"/>
      <c r="MRE175" s="953"/>
      <c r="MRF175" s="953"/>
      <c r="MRG175" s="953"/>
      <c r="MRH175" s="953"/>
      <c r="MRI175" s="953"/>
      <c r="MRJ175" s="953"/>
      <c r="MRK175" s="953"/>
      <c r="MRL175" s="953"/>
      <c r="MRM175" s="953"/>
      <c r="MRN175" s="953"/>
      <c r="MRO175" s="953"/>
      <c r="MRP175" s="953"/>
      <c r="MRQ175" s="953"/>
      <c r="MRR175" s="953"/>
      <c r="MRS175" s="953"/>
      <c r="MRT175" s="953"/>
      <c r="MRU175" s="953"/>
      <c r="MRV175" s="953"/>
      <c r="MRW175" s="953"/>
      <c r="MRX175" s="953"/>
      <c r="MRY175" s="953"/>
      <c r="MRZ175" s="953"/>
      <c r="MSA175" s="953"/>
      <c r="MSB175" s="953"/>
      <c r="MSC175" s="953"/>
      <c r="MSD175" s="953"/>
      <c r="MSE175" s="953"/>
      <c r="MSF175" s="953"/>
      <c r="MSG175" s="953"/>
      <c r="MSH175" s="953"/>
      <c r="MSI175" s="953"/>
      <c r="MSJ175" s="953"/>
      <c r="MSK175" s="953"/>
      <c r="MSL175" s="953"/>
      <c r="MSM175" s="953"/>
      <c r="MSN175" s="953"/>
      <c r="MSO175" s="953"/>
      <c r="MSP175" s="953"/>
      <c r="MSQ175" s="953"/>
      <c r="MSR175" s="953"/>
      <c r="MSS175" s="953"/>
      <c r="MST175" s="953"/>
      <c r="MSU175" s="953"/>
      <c r="MSV175" s="953"/>
      <c r="MSW175" s="953"/>
      <c r="MSX175" s="953"/>
      <c r="MSY175" s="953"/>
      <c r="MSZ175" s="953"/>
      <c r="MTA175" s="953"/>
      <c r="MTB175" s="953"/>
      <c r="MTC175" s="953"/>
      <c r="MTD175" s="953"/>
      <c r="MTE175" s="953"/>
      <c r="MTF175" s="953"/>
      <c r="MTG175" s="953"/>
      <c r="MTH175" s="953"/>
      <c r="MTI175" s="953"/>
      <c r="MTJ175" s="953"/>
      <c r="MTK175" s="953"/>
      <c r="MTL175" s="953"/>
      <c r="MTM175" s="953"/>
      <c r="MTN175" s="953"/>
      <c r="MTO175" s="953"/>
      <c r="MTP175" s="953"/>
      <c r="MTQ175" s="953"/>
      <c r="MTR175" s="953"/>
      <c r="MTS175" s="953"/>
      <c r="MTT175" s="953"/>
      <c r="MTU175" s="953"/>
      <c r="MTV175" s="953"/>
      <c r="MTW175" s="953"/>
      <c r="MTX175" s="953"/>
      <c r="MTY175" s="953"/>
      <c r="MTZ175" s="953"/>
      <c r="MUA175" s="953"/>
      <c r="MUB175" s="953"/>
      <c r="MUC175" s="953"/>
      <c r="MUD175" s="953"/>
      <c r="MUE175" s="953"/>
      <c r="MUF175" s="953"/>
      <c r="MUG175" s="953"/>
      <c r="MUH175" s="953"/>
      <c r="MUI175" s="953"/>
      <c r="MUJ175" s="953"/>
      <c r="MUK175" s="953"/>
      <c r="MUL175" s="953"/>
      <c r="MUM175" s="953"/>
      <c r="MUN175" s="953"/>
      <c r="MUO175" s="953"/>
      <c r="MUP175" s="953"/>
      <c r="MUQ175" s="953"/>
      <c r="MUR175" s="953"/>
      <c r="MUS175" s="953"/>
      <c r="MUT175" s="953"/>
      <c r="MUU175" s="953"/>
      <c r="MUV175" s="953"/>
      <c r="MUW175" s="953"/>
      <c r="MUX175" s="953"/>
      <c r="MUY175" s="953"/>
      <c r="MUZ175" s="953"/>
      <c r="MVA175" s="953"/>
      <c r="MVB175" s="953"/>
      <c r="MVC175" s="953"/>
      <c r="MVD175" s="953"/>
      <c r="MVE175" s="953"/>
      <c r="MVF175" s="953"/>
      <c r="MVG175" s="953"/>
      <c r="MVH175" s="953"/>
      <c r="MVI175" s="953"/>
      <c r="MVJ175" s="953"/>
      <c r="MVK175" s="953"/>
      <c r="MVL175" s="953"/>
      <c r="MVM175" s="953"/>
      <c r="MVN175" s="953"/>
      <c r="MVO175" s="953"/>
      <c r="MVP175" s="953"/>
      <c r="MVQ175" s="953"/>
      <c r="MVR175" s="953"/>
      <c r="MVS175" s="953"/>
      <c r="MVT175" s="953"/>
      <c r="MVU175" s="953"/>
      <c r="MVV175" s="953"/>
      <c r="MVW175" s="953"/>
      <c r="MVX175" s="953"/>
      <c r="MVY175" s="953"/>
      <c r="MVZ175" s="953"/>
      <c r="MWA175" s="953"/>
      <c r="MWB175" s="953"/>
      <c r="MWC175" s="953"/>
      <c r="MWD175" s="953"/>
      <c r="MWE175" s="953"/>
      <c r="MWF175" s="953"/>
      <c r="MWG175" s="953"/>
      <c r="MWH175" s="953"/>
      <c r="MWI175" s="953"/>
      <c r="MWJ175" s="953"/>
      <c r="MWK175" s="953"/>
      <c r="MWL175" s="953"/>
      <c r="MWM175" s="953"/>
      <c r="MWN175" s="953"/>
      <c r="MWO175" s="953"/>
      <c r="MWP175" s="953"/>
      <c r="MWQ175" s="953"/>
      <c r="MWR175" s="953"/>
      <c r="MWS175" s="953"/>
      <c r="MWT175" s="953"/>
      <c r="MWU175" s="953"/>
      <c r="MWV175" s="953"/>
      <c r="MWW175" s="953"/>
      <c r="MWX175" s="953"/>
      <c r="MWY175" s="953"/>
      <c r="MWZ175" s="953"/>
      <c r="MXA175" s="953"/>
      <c r="MXB175" s="953"/>
      <c r="MXC175" s="953"/>
      <c r="MXD175" s="953"/>
      <c r="MXE175" s="953"/>
      <c r="MXF175" s="953"/>
      <c r="MXG175" s="953"/>
      <c r="MXH175" s="953"/>
      <c r="MXI175" s="953"/>
      <c r="MXJ175" s="953"/>
      <c r="MXK175" s="953"/>
      <c r="MXL175" s="953"/>
      <c r="MXM175" s="953"/>
      <c r="MXN175" s="953"/>
      <c r="MXO175" s="953"/>
      <c r="MXP175" s="953"/>
      <c r="MXQ175" s="953"/>
      <c r="MXR175" s="953"/>
      <c r="MXS175" s="953"/>
      <c r="MXT175" s="953"/>
      <c r="MXU175" s="953"/>
      <c r="MXV175" s="953"/>
      <c r="MXW175" s="953"/>
      <c r="MXX175" s="953"/>
      <c r="MXY175" s="953"/>
      <c r="MXZ175" s="953"/>
      <c r="MYA175" s="953"/>
      <c r="MYB175" s="953"/>
      <c r="MYC175" s="953"/>
      <c r="MYD175" s="953"/>
      <c r="MYE175" s="953"/>
      <c r="MYF175" s="953"/>
      <c r="MYG175" s="953"/>
      <c r="MYH175" s="953"/>
      <c r="MYI175" s="953"/>
      <c r="MYJ175" s="953"/>
      <c r="MYK175" s="953"/>
      <c r="MYL175" s="953"/>
      <c r="MYM175" s="953"/>
      <c r="MYN175" s="953"/>
      <c r="MYO175" s="953"/>
      <c r="MYP175" s="953"/>
      <c r="MYQ175" s="953"/>
      <c r="MYR175" s="953"/>
      <c r="MYS175" s="953"/>
      <c r="MYT175" s="953"/>
      <c r="MYU175" s="953"/>
      <c r="MYV175" s="953"/>
      <c r="MYW175" s="953"/>
      <c r="MYX175" s="953"/>
      <c r="MYY175" s="953"/>
      <c r="MYZ175" s="953"/>
      <c r="MZA175" s="953"/>
      <c r="MZB175" s="953"/>
      <c r="MZC175" s="953"/>
      <c r="MZD175" s="953"/>
      <c r="MZE175" s="953"/>
      <c r="MZF175" s="953"/>
      <c r="MZG175" s="953"/>
      <c r="MZH175" s="953"/>
      <c r="MZI175" s="953"/>
      <c r="MZJ175" s="953"/>
      <c r="MZK175" s="953"/>
      <c r="MZL175" s="953"/>
      <c r="MZM175" s="953"/>
      <c r="MZN175" s="953"/>
      <c r="MZO175" s="953"/>
      <c r="MZP175" s="953"/>
      <c r="MZQ175" s="953"/>
      <c r="MZR175" s="953"/>
      <c r="MZS175" s="953"/>
      <c r="MZT175" s="953"/>
      <c r="MZU175" s="953"/>
      <c r="MZV175" s="953"/>
      <c r="MZW175" s="953"/>
      <c r="MZX175" s="953"/>
      <c r="MZY175" s="953"/>
      <c r="MZZ175" s="953"/>
      <c r="NAA175" s="953"/>
      <c r="NAB175" s="953"/>
      <c r="NAC175" s="953"/>
      <c r="NAD175" s="953"/>
      <c r="NAE175" s="953"/>
      <c r="NAF175" s="953"/>
      <c r="NAG175" s="953"/>
      <c r="NAH175" s="953"/>
      <c r="NAI175" s="953"/>
      <c r="NAJ175" s="953"/>
      <c r="NAK175" s="953"/>
      <c r="NAL175" s="953"/>
      <c r="NAM175" s="953"/>
      <c r="NAN175" s="953"/>
      <c r="NAO175" s="953"/>
      <c r="NAP175" s="953"/>
      <c r="NAQ175" s="953"/>
      <c r="NAR175" s="953"/>
      <c r="NAS175" s="953"/>
      <c r="NAT175" s="953"/>
      <c r="NAU175" s="953"/>
      <c r="NAV175" s="953"/>
      <c r="NAW175" s="953"/>
      <c r="NAX175" s="953"/>
      <c r="NAY175" s="953"/>
      <c r="NAZ175" s="953"/>
      <c r="NBA175" s="953"/>
      <c r="NBB175" s="953"/>
      <c r="NBC175" s="953"/>
      <c r="NBD175" s="953"/>
      <c r="NBE175" s="953"/>
      <c r="NBF175" s="953"/>
      <c r="NBG175" s="953"/>
      <c r="NBH175" s="953"/>
      <c r="NBI175" s="953"/>
      <c r="NBJ175" s="953"/>
      <c r="NBK175" s="953"/>
      <c r="NBL175" s="953"/>
      <c r="NBM175" s="953"/>
      <c r="NBN175" s="953"/>
      <c r="NBO175" s="953"/>
      <c r="NBP175" s="953"/>
      <c r="NBQ175" s="953"/>
      <c r="NBR175" s="953"/>
      <c r="NBS175" s="953"/>
      <c r="NBT175" s="953"/>
      <c r="NBU175" s="953"/>
      <c r="NBV175" s="953"/>
      <c r="NBW175" s="953"/>
      <c r="NBX175" s="953"/>
      <c r="NBY175" s="953"/>
      <c r="NBZ175" s="953"/>
      <c r="NCA175" s="953"/>
      <c r="NCB175" s="953"/>
      <c r="NCC175" s="953"/>
      <c r="NCD175" s="953"/>
      <c r="NCE175" s="953"/>
      <c r="NCF175" s="953"/>
      <c r="NCG175" s="953"/>
      <c r="NCH175" s="953"/>
      <c r="NCI175" s="953"/>
      <c r="NCJ175" s="953"/>
      <c r="NCK175" s="953"/>
      <c r="NCL175" s="953"/>
      <c r="NCM175" s="953"/>
      <c r="NCN175" s="953"/>
      <c r="NCO175" s="953"/>
      <c r="NCP175" s="953"/>
      <c r="NCQ175" s="953"/>
      <c r="NCR175" s="953"/>
      <c r="NCS175" s="953"/>
      <c r="NCT175" s="953"/>
      <c r="NCU175" s="953"/>
      <c r="NCV175" s="953"/>
      <c r="NCW175" s="953"/>
      <c r="NCX175" s="953"/>
      <c r="NCY175" s="953"/>
      <c r="NCZ175" s="953"/>
      <c r="NDA175" s="953"/>
      <c r="NDB175" s="953"/>
      <c r="NDC175" s="953"/>
      <c r="NDD175" s="953"/>
      <c r="NDE175" s="953"/>
      <c r="NDF175" s="953"/>
      <c r="NDG175" s="953"/>
      <c r="NDH175" s="953"/>
      <c r="NDI175" s="953"/>
      <c r="NDJ175" s="953"/>
      <c r="NDK175" s="953"/>
      <c r="NDL175" s="953"/>
      <c r="NDM175" s="953"/>
      <c r="NDN175" s="953"/>
      <c r="NDO175" s="953"/>
      <c r="NDP175" s="953"/>
      <c r="NDQ175" s="953"/>
      <c r="NDR175" s="953"/>
      <c r="NDS175" s="953"/>
      <c r="NDT175" s="953"/>
      <c r="NDU175" s="953"/>
      <c r="NDV175" s="953"/>
      <c r="NDW175" s="953"/>
      <c r="NDX175" s="953"/>
      <c r="NDY175" s="953"/>
      <c r="NDZ175" s="953"/>
      <c r="NEA175" s="953"/>
      <c r="NEB175" s="953"/>
      <c r="NEC175" s="953"/>
      <c r="NED175" s="953"/>
      <c r="NEE175" s="953"/>
      <c r="NEF175" s="953"/>
      <c r="NEG175" s="953"/>
      <c r="NEH175" s="953"/>
      <c r="NEI175" s="953"/>
      <c r="NEJ175" s="953"/>
      <c r="NEK175" s="953"/>
      <c r="NEL175" s="953"/>
      <c r="NEM175" s="953"/>
      <c r="NEN175" s="953"/>
      <c r="NEO175" s="953"/>
      <c r="NEP175" s="953"/>
      <c r="NEQ175" s="953"/>
      <c r="NER175" s="953"/>
      <c r="NES175" s="953"/>
      <c r="NET175" s="953"/>
      <c r="NEU175" s="953"/>
      <c r="NEV175" s="953"/>
      <c r="NEW175" s="953"/>
      <c r="NEX175" s="953"/>
      <c r="NEY175" s="953"/>
      <c r="NEZ175" s="953"/>
      <c r="NFA175" s="953"/>
      <c r="NFB175" s="953"/>
      <c r="NFC175" s="953"/>
      <c r="NFD175" s="953"/>
      <c r="NFE175" s="953"/>
      <c r="NFF175" s="953"/>
      <c r="NFG175" s="953"/>
      <c r="NFH175" s="953"/>
      <c r="NFI175" s="953"/>
      <c r="NFJ175" s="953"/>
      <c r="NFK175" s="953"/>
      <c r="NFL175" s="953"/>
      <c r="NFM175" s="953"/>
      <c r="NFN175" s="953"/>
      <c r="NFO175" s="953"/>
      <c r="NFP175" s="953"/>
      <c r="NFQ175" s="953"/>
      <c r="NFR175" s="953"/>
      <c r="NFS175" s="953"/>
      <c r="NFT175" s="953"/>
      <c r="NFU175" s="953"/>
      <c r="NFV175" s="953"/>
      <c r="NFW175" s="953"/>
      <c r="NFX175" s="953"/>
      <c r="NFY175" s="953"/>
      <c r="NFZ175" s="953"/>
      <c r="NGA175" s="953"/>
      <c r="NGB175" s="953"/>
      <c r="NGC175" s="953"/>
      <c r="NGD175" s="953"/>
      <c r="NGE175" s="953"/>
      <c r="NGF175" s="953"/>
      <c r="NGG175" s="953"/>
      <c r="NGH175" s="953"/>
      <c r="NGI175" s="953"/>
      <c r="NGJ175" s="953"/>
      <c r="NGK175" s="953"/>
      <c r="NGL175" s="953"/>
      <c r="NGM175" s="953"/>
      <c r="NGN175" s="953"/>
      <c r="NGO175" s="953"/>
      <c r="NGP175" s="953"/>
      <c r="NGQ175" s="953"/>
      <c r="NGR175" s="953"/>
      <c r="NGS175" s="953"/>
      <c r="NGT175" s="953"/>
      <c r="NGU175" s="953"/>
      <c r="NGV175" s="953"/>
      <c r="NGW175" s="953"/>
      <c r="NGX175" s="953"/>
      <c r="NGY175" s="953"/>
      <c r="NGZ175" s="953"/>
      <c r="NHA175" s="953"/>
      <c r="NHB175" s="953"/>
      <c r="NHC175" s="953"/>
      <c r="NHD175" s="953"/>
      <c r="NHE175" s="953"/>
      <c r="NHF175" s="953"/>
      <c r="NHG175" s="953"/>
      <c r="NHH175" s="953"/>
      <c r="NHI175" s="953"/>
      <c r="NHJ175" s="953"/>
      <c r="NHK175" s="953"/>
      <c r="NHL175" s="953"/>
      <c r="NHM175" s="953"/>
      <c r="NHN175" s="953"/>
      <c r="NHO175" s="953"/>
      <c r="NHP175" s="953"/>
      <c r="NHQ175" s="953"/>
      <c r="NHR175" s="953"/>
      <c r="NHS175" s="953"/>
      <c r="NHT175" s="953"/>
      <c r="NHU175" s="953"/>
      <c r="NHV175" s="953"/>
      <c r="NHW175" s="953"/>
      <c r="NHX175" s="953"/>
      <c r="NHY175" s="953"/>
      <c r="NHZ175" s="953"/>
      <c r="NIA175" s="953"/>
      <c r="NIB175" s="953"/>
      <c r="NIC175" s="953"/>
      <c r="NID175" s="953"/>
      <c r="NIE175" s="953"/>
      <c r="NIF175" s="953"/>
      <c r="NIG175" s="953"/>
      <c r="NIH175" s="953"/>
      <c r="NII175" s="953"/>
      <c r="NIJ175" s="953"/>
      <c r="NIK175" s="953"/>
      <c r="NIL175" s="953"/>
      <c r="NIM175" s="953"/>
      <c r="NIN175" s="953"/>
      <c r="NIO175" s="953"/>
      <c r="NIP175" s="953"/>
      <c r="NIQ175" s="953"/>
      <c r="NIR175" s="953"/>
      <c r="NIS175" s="953"/>
      <c r="NIT175" s="953"/>
      <c r="NIU175" s="953"/>
      <c r="NIV175" s="953"/>
      <c r="NIW175" s="953"/>
      <c r="NIX175" s="953"/>
      <c r="NIY175" s="953"/>
      <c r="NIZ175" s="953"/>
      <c r="NJA175" s="953"/>
      <c r="NJB175" s="953"/>
      <c r="NJC175" s="953"/>
      <c r="NJD175" s="953"/>
      <c r="NJE175" s="953"/>
      <c r="NJF175" s="953"/>
      <c r="NJG175" s="953"/>
      <c r="NJH175" s="953"/>
      <c r="NJI175" s="953"/>
      <c r="NJJ175" s="953"/>
      <c r="NJK175" s="953"/>
      <c r="NJL175" s="953"/>
      <c r="NJM175" s="953"/>
      <c r="NJN175" s="953"/>
      <c r="NJO175" s="953"/>
      <c r="NJP175" s="953"/>
      <c r="NJQ175" s="953"/>
      <c r="NJR175" s="953"/>
      <c r="NJS175" s="953"/>
      <c r="NJT175" s="953"/>
      <c r="NJU175" s="953"/>
      <c r="NJV175" s="953"/>
      <c r="NJW175" s="953"/>
      <c r="NJX175" s="953"/>
      <c r="NJY175" s="953"/>
      <c r="NJZ175" s="953"/>
      <c r="NKA175" s="953"/>
      <c r="NKB175" s="953"/>
      <c r="NKC175" s="953"/>
      <c r="NKD175" s="953"/>
      <c r="NKE175" s="953"/>
      <c r="NKF175" s="953"/>
      <c r="NKG175" s="953"/>
      <c r="NKH175" s="953"/>
      <c r="NKI175" s="953"/>
      <c r="NKJ175" s="953"/>
      <c r="NKK175" s="953"/>
      <c r="NKL175" s="953"/>
      <c r="NKM175" s="953"/>
      <c r="NKN175" s="953"/>
      <c r="NKO175" s="953"/>
      <c r="NKP175" s="953"/>
      <c r="NKQ175" s="953"/>
      <c r="NKR175" s="953"/>
      <c r="NKS175" s="953"/>
      <c r="NKT175" s="953"/>
      <c r="NKU175" s="953"/>
      <c r="NKV175" s="953"/>
      <c r="NKW175" s="953"/>
      <c r="NKX175" s="953"/>
      <c r="NKY175" s="953"/>
      <c r="NKZ175" s="953"/>
      <c r="NLA175" s="953"/>
      <c r="NLB175" s="953"/>
      <c r="NLC175" s="953"/>
      <c r="NLD175" s="953"/>
      <c r="NLE175" s="953"/>
      <c r="NLF175" s="953"/>
      <c r="NLG175" s="953"/>
      <c r="NLH175" s="953"/>
      <c r="NLI175" s="953"/>
      <c r="NLJ175" s="953"/>
      <c r="NLK175" s="953"/>
      <c r="NLL175" s="953"/>
      <c r="NLM175" s="953"/>
      <c r="NLN175" s="953"/>
      <c r="NLO175" s="953"/>
      <c r="NLP175" s="953"/>
      <c r="NLQ175" s="953"/>
      <c r="NLR175" s="953"/>
      <c r="NLS175" s="953"/>
      <c r="NLT175" s="953"/>
      <c r="NLU175" s="953"/>
      <c r="NLV175" s="953"/>
      <c r="NLW175" s="953"/>
      <c r="NLX175" s="953"/>
      <c r="NLY175" s="953"/>
      <c r="NLZ175" s="953"/>
      <c r="NMA175" s="953"/>
      <c r="NMB175" s="953"/>
      <c r="NMC175" s="953"/>
      <c r="NMD175" s="953"/>
      <c r="NME175" s="953"/>
      <c r="NMF175" s="953"/>
      <c r="NMG175" s="953"/>
      <c r="NMH175" s="953"/>
      <c r="NMI175" s="953"/>
      <c r="NMJ175" s="953"/>
      <c r="NMK175" s="953"/>
      <c r="NML175" s="953"/>
      <c r="NMM175" s="953"/>
      <c r="NMN175" s="953"/>
      <c r="NMO175" s="953"/>
      <c r="NMP175" s="953"/>
      <c r="NMQ175" s="953"/>
      <c r="NMR175" s="953"/>
      <c r="NMS175" s="953"/>
      <c r="NMT175" s="953"/>
      <c r="NMU175" s="953"/>
      <c r="NMV175" s="953"/>
      <c r="NMW175" s="953"/>
      <c r="NMX175" s="953"/>
      <c r="NMY175" s="953"/>
      <c r="NMZ175" s="953"/>
      <c r="NNA175" s="953"/>
      <c r="NNB175" s="953"/>
      <c r="NNC175" s="953"/>
      <c r="NND175" s="953"/>
      <c r="NNE175" s="953"/>
      <c r="NNF175" s="953"/>
      <c r="NNG175" s="953"/>
      <c r="NNH175" s="953"/>
      <c r="NNI175" s="953"/>
      <c r="NNJ175" s="953"/>
      <c r="NNK175" s="953"/>
      <c r="NNL175" s="953"/>
      <c r="NNM175" s="953"/>
      <c r="NNN175" s="953"/>
      <c r="NNO175" s="953"/>
      <c r="NNP175" s="953"/>
      <c r="NNQ175" s="953"/>
      <c r="NNR175" s="953"/>
      <c r="NNS175" s="953"/>
      <c r="NNT175" s="953"/>
      <c r="NNU175" s="953"/>
      <c r="NNV175" s="953"/>
      <c r="NNW175" s="953"/>
      <c r="NNX175" s="953"/>
      <c r="NNY175" s="953"/>
      <c r="NNZ175" s="953"/>
      <c r="NOA175" s="953"/>
      <c r="NOB175" s="953"/>
      <c r="NOC175" s="953"/>
      <c r="NOD175" s="953"/>
      <c r="NOE175" s="953"/>
      <c r="NOF175" s="953"/>
      <c r="NOG175" s="953"/>
      <c r="NOH175" s="953"/>
      <c r="NOI175" s="953"/>
      <c r="NOJ175" s="953"/>
      <c r="NOK175" s="953"/>
      <c r="NOL175" s="953"/>
      <c r="NOM175" s="953"/>
      <c r="NON175" s="953"/>
      <c r="NOO175" s="953"/>
      <c r="NOP175" s="953"/>
      <c r="NOQ175" s="953"/>
      <c r="NOR175" s="953"/>
      <c r="NOS175" s="953"/>
      <c r="NOT175" s="953"/>
      <c r="NOU175" s="953"/>
      <c r="NOV175" s="953"/>
      <c r="NOW175" s="953"/>
      <c r="NOX175" s="953"/>
      <c r="NOY175" s="953"/>
      <c r="NOZ175" s="953"/>
      <c r="NPA175" s="953"/>
      <c r="NPB175" s="953"/>
      <c r="NPC175" s="953"/>
      <c r="NPD175" s="953"/>
      <c r="NPE175" s="953"/>
      <c r="NPF175" s="953"/>
      <c r="NPG175" s="953"/>
      <c r="NPH175" s="953"/>
      <c r="NPI175" s="953"/>
      <c r="NPJ175" s="953"/>
      <c r="NPK175" s="953"/>
      <c r="NPL175" s="953"/>
      <c r="NPM175" s="953"/>
      <c r="NPN175" s="953"/>
      <c r="NPO175" s="953"/>
      <c r="NPP175" s="953"/>
      <c r="NPQ175" s="953"/>
      <c r="NPR175" s="953"/>
      <c r="NPS175" s="953"/>
      <c r="NPT175" s="953"/>
      <c r="NPU175" s="953"/>
      <c r="NPV175" s="953"/>
      <c r="NPW175" s="953"/>
      <c r="NPX175" s="953"/>
      <c r="NPY175" s="953"/>
      <c r="NPZ175" s="953"/>
      <c r="NQA175" s="953"/>
      <c r="NQB175" s="953"/>
      <c r="NQC175" s="953"/>
      <c r="NQD175" s="953"/>
      <c r="NQE175" s="953"/>
      <c r="NQF175" s="953"/>
      <c r="NQG175" s="953"/>
      <c r="NQH175" s="953"/>
      <c r="NQI175" s="953"/>
      <c r="NQJ175" s="953"/>
      <c r="NQK175" s="953"/>
      <c r="NQL175" s="953"/>
      <c r="NQM175" s="953"/>
      <c r="NQN175" s="953"/>
      <c r="NQO175" s="953"/>
      <c r="NQP175" s="953"/>
      <c r="NQQ175" s="953"/>
      <c r="NQR175" s="953"/>
      <c r="NQS175" s="953"/>
      <c r="NQT175" s="953"/>
      <c r="NQU175" s="953"/>
      <c r="NQV175" s="953"/>
      <c r="NQW175" s="953"/>
      <c r="NQX175" s="953"/>
      <c r="NQY175" s="953"/>
      <c r="NQZ175" s="953"/>
      <c r="NRA175" s="953"/>
      <c r="NRB175" s="953"/>
      <c r="NRC175" s="953"/>
      <c r="NRD175" s="953"/>
      <c r="NRE175" s="953"/>
      <c r="NRF175" s="953"/>
      <c r="NRG175" s="953"/>
      <c r="NRH175" s="953"/>
      <c r="NRI175" s="953"/>
      <c r="NRJ175" s="953"/>
      <c r="NRK175" s="953"/>
      <c r="NRL175" s="953"/>
      <c r="NRM175" s="953"/>
      <c r="NRN175" s="953"/>
      <c r="NRO175" s="953"/>
      <c r="NRP175" s="953"/>
      <c r="NRQ175" s="953"/>
      <c r="NRR175" s="953"/>
      <c r="NRS175" s="953"/>
      <c r="NRT175" s="953"/>
      <c r="NRU175" s="953"/>
      <c r="NRV175" s="953"/>
      <c r="NRW175" s="953"/>
      <c r="NRX175" s="953"/>
      <c r="NRY175" s="953"/>
      <c r="NRZ175" s="953"/>
      <c r="NSA175" s="953"/>
      <c r="NSB175" s="953"/>
      <c r="NSC175" s="953"/>
      <c r="NSD175" s="953"/>
      <c r="NSE175" s="953"/>
      <c r="NSF175" s="953"/>
      <c r="NSG175" s="953"/>
      <c r="NSH175" s="953"/>
      <c r="NSI175" s="953"/>
      <c r="NSJ175" s="953"/>
      <c r="NSK175" s="953"/>
      <c r="NSL175" s="953"/>
      <c r="NSM175" s="953"/>
      <c r="NSN175" s="953"/>
      <c r="NSO175" s="953"/>
      <c r="NSP175" s="953"/>
      <c r="NSQ175" s="953"/>
      <c r="NSR175" s="953"/>
      <c r="NSS175" s="953"/>
      <c r="NST175" s="953"/>
      <c r="NSU175" s="953"/>
      <c r="NSV175" s="953"/>
      <c r="NSW175" s="953"/>
      <c r="NSX175" s="953"/>
      <c r="NSY175" s="953"/>
      <c r="NSZ175" s="953"/>
      <c r="NTA175" s="953"/>
      <c r="NTB175" s="953"/>
      <c r="NTC175" s="953"/>
      <c r="NTD175" s="953"/>
      <c r="NTE175" s="953"/>
      <c r="NTF175" s="953"/>
      <c r="NTG175" s="953"/>
      <c r="NTH175" s="953"/>
      <c r="NTI175" s="953"/>
      <c r="NTJ175" s="953"/>
      <c r="NTK175" s="953"/>
      <c r="NTL175" s="953"/>
      <c r="NTM175" s="953"/>
      <c r="NTN175" s="953"/>
      <c r="NTO175" s="953"/>
      <c r="NTP175" s="953"/>
      <c r="NTQ175" s="953"/>
      <c r="NTR175" s="953"/>
      <c r="NTS175" s="953"/>
      <c r="NTT175" s="953"/>
      <c r="NTU175" s="953"/>
      <c r="NTV175" s="953"/>
      <c r="NTW175" s="953"/>
      <c r="NTX175" s="953"/>
      <c r="NTY175" s="953"/>
      <c r="NTZ175" s="953"/>
      <c r="NUA175" s="953"/>
      <c r="NUB175" s="953"/>
      <c r="NUC175" s="953"/>
      <c r="NUD175" s="953"/>
      <c r="NUE175" s="953"/>
      <c r="NUF175" s="953"/>
      <c r="NUG175" s="953"/>
      <c r="NUH175" s="953"/>
      <c r="NUI175" s="953"/>
      <c r="NUJ175" s="953"/>
      <c r="NUK175" s="953"/>
      <c r="NUL175" s="953"/>
      <c r="NUM175" s="953"/>
      <c r="NUN175" s="953"/>
      <c r="NUO175" s="953"/>
      <c r="NUP175" s="953"/>
      <c r="NUQ175" s="953"/>
      <c r="NUR175" s="953"/>
      <c r="NUS175" s="953"/>
      <c r="NUT175" s="953"/>
      <c r="NUU175" s="953"/>
      <c r="NUV175" s="953"/>
      <c r="NUW175" s="953"/>
      <c r="NUX175" s="953"/>
      <c r="NUY175" s="953"/>
      <c r="NUZ175" s="953"/>
      <c r="NVA175" s="953"/>
      <c r="NVB175" s="953"/>
      <c r="NVC175" s="953"/>
      <c r="NVD175" s="953"/>
      <c r="NVE175" s="953"/>
      <c r="NVF175" s="953"/>
      <c r="NVG175" s="953"/>
      <c r="NVH175" s="953"/>
      <c r="NVI175" s="953"/>
      <c r="NVJ175" s="953"/>
      <c r="NVK175" s="953"/>
      <c r="NVL175" s="953"/>
      <c r="NVM175" s="953"/>
      <c r="NVN175" s="953"/>
      <c r="NVO175" s="953"/>
      <c r="NVP175" s="953"/>
      <c r="NVQ175" s="953"/>
      <c r="NVR175" s="953"/>
      <c r="NVS175" s="953"/>
      <c r="NVT175" s="953"/>
      <c r="NVU175" s="953"/>
      <c r="NVV175" s="953"/>
      <c r="NVW175" s="953"/>
      <c r="NVX175" s="953"/>
      <c r="NVY175" s="953"/>
      <c r="NVZ175" s="953"/>
      <c r="NWA175" s="953"/>
      <c r="NWB175" s="953"/>
      <c r="NWC175" s="953"/>
      <c r="NWD175" s="953"/>
      <c r="NWE175" s="953"/>
      <c r="NWF175" s="953"/>
      <c r="NWG175" s="953"/>
      <c r="NWH175" s="953"/>
      <c r="NWI175" s="953"/>
      <c r="NWJ175" s="953"/>
      <c r="NWK175" s="953"/>
      <c r="NWL175" s="953"/>
      <c r="NWM175" s="953"/>
      <c r="NWN175" s="953"/>
      <c r="NWO175" s="953"/>
      <c r="NWP175" s="953"/>
      <c r="NWQ175" s="953"/>
      <c r="NWR175" s="953"/>
      <c r="NWS175" s="953"/>
      <c r="NWT175" s="953"/>
      <c r="NWU175" s="953"/>
      <c r="NWV175" s="953"/>
      <c r="NWW175" s="953"/>
      <c r="NWX175" s="953"/>
      <c r="NWY175" s="953"/>
      <c r="NWZ175" s="953"/>
      <c r="NXA175" s="953"/>
      <c r="NXB175" s="953"/>
      <c r="NXC175" s="953"/>
      <c r="NXD175" s="953"/>
      <c r="NXE175" s="953"/>
      <c r="NXF175" s="953"/>
      <c r="NXG175" s="953"/>
      <c r="NXH175" s="953"/>
      <c r="NXI175" s="953"/>
      <c r="NXJ175" s="953"/>
      <c r="NXK175" s="953"/>
      <c r="NXL175" s="953"/>
      <c r="NXM175" s="953"/>
      <c r="NXN175" s="953"/>
      <c r="NXO175" s="953"/>
      <c r="NXP175" s="953"/>
      <c r="NXQ175" s="953"/>
      <c r="NXR175" s="953"/>
      <c r="NXS175" s="953"/>
      <c r="NXT175" s="953"/>
      <c r="NXU175" s="953"/>
      <c r="NXV175" s="953"/>
      <c r="NXW175" s="953"/>
      <c r="NXX175" s="953"/>
      <c r="NXY175" s="953"/>
      <c r="NXZ175" s="953"/>
      <c r="NYA175" s="953"/>
      <c r="NYB175" s="953"/>
      <c r="NYC175" s="953"/>
      <c r="NYD175" s="953"/>
      <c r="NYE175" s="953"/>
      <c r="NYF175" s="953"/>
      <c r="NYG175" s="953"/>
      <c r="NYH175" s="953"/>
      <c r="NYI175" s="953"/>
      <c r="NYJ175" s="953"/>
      <c r="NYK175" s="953"/>
      <c r="NYL175" s="953"/>
      <c r="NYM175" s="953"/>
      <c r="NYN175" s="953"/>
      <c r="NYO175" s="953"/>
      <c r="NYP175" s="953"/>
      <c r="NYQ175" s="953"/>
      <c r="NYR175" s="953"/>
      <c r="NYS175" s="953"/>
      <c r="NYT175" s="953"/>
      <c r="NYU175" s="953"/>
      <c r="NYV175" s="953"/>
      <c r="NYW175" s="953"/>
      <c r="NYX175" s="953"/>
      <c r="NYY175" s="953"/>
      <c r="NYZ175" s="953"/>
      <c r="NZA175" s="953"/>
      <c r="NZB175" s="953"/>
      <c r="NZC175" s="953"/>
      <c r="NZD175" s="953"/>
      <c r="NZE175" s="953"/>
      <c r="NZF175" s="953"/>
      <c r="NZG175" s="953"/>
      <c r="NZH175" s="953"/>
      <c r="NZI175" s="953"/>
      <c r="NZJ175" s="953"/>
      <c r="NZK175" s="953"/>
      <c r="NZL175" s="953"/>
      <c r="NZM175" s="953"/>
      <c r="NZN175" s="953"/>
      <c r="NZO175" s="953"/>
      <c r="NZP175" s="953"/>
      <c r="NZQ175" s="953"/>
      <c r="NZR175" s="953"/>
      <c r="NZS175" s="953"/>
      <c r="NZT175" s="953"/>
      <c r="NZU175" s="953"/>
      <c r="NZV175" s="953"/>
      <c r="NZW175" s="953"/>
      <c r="NZX175" s="953"/>
      <c r="NZY175" s="953"/>
      <c r="NZZ175" s="953"/>
      <c r="OAA175" s="953"/>
      <c r="OAB175" s="953"/>
      <c r="OAC175" s="953"/>
      <c r="OAD175" s="953"/>
      <c r="OAE175" s="953"/>
      <c r="OAF175" s="953"/>
      <c r="OAG175" s="953"/>
      <c r="OAH175" s="953"/>
      <c r="OAI175" s="953"/>
      <c r="OAJ175" s="953"/>
      <c r="OAK175" s="953"/>
      <c r="OAL175" s="953"/>
      <c r="OAM175" s="953"/>
      <c r="OAN175" s="953"/>
      <c r="OAO175" s="953"/>
      <c r="OAP175" s="953"/>
      <c r="OAQ175" s="953"/>
      <c r="OAR175" s="953"/>
      <c r="OAS175" s="953"/>
      <c r="OAT175" s="953"/>
      <c r="OAU175" s="953"/>
      <c r="OAV175" s="953"/>
      <c r="OAW175" s="953"/>
      <c r="OAX175" s="953"/>
      <c r="OAY175" s="953"/>
      <c r="OAZ175" s="953"/>
      <c r="OBA175" s="953"/>
      <c r="OBB175" s="953"/>
      <c r="OBC175" s="953"/>
      <c r="OBD175" s="953"/>
      <c r="OBE175" s="953"/>
      <c r="OBF175" s="953"/>
      <c r="OBG175" s="953"/>
      <c r="OBH175" s="953"/>
      <c r="OBI175" s="953"/>
      <c r="OBJ175" s="953"/>
      <c r="OBK175" s="953"/>
      <c r="OBL175" s="953"/>
      <c r="OBM175" s="953"/>
      <c r="OBN175" s="953"/>
      <c r="OBO175" s="953"/>
      <c r="OBP175" s="953"/>
      <c r="OBQ175" s="953"/>
      <c r="OBR175" s="953"/>
      <c r="OBS175" s="953"/>
      <c r="OBT175" s="953"/>
      <c r="OBU175" s="953"/>
      <c r="OBV175" s="953"/>
      <c r="OBW175" s="953"/>
      <c r="OBX175" s="953"/>
      <c r="OBY175" s="953"/>
      <c r="OBZ175" s="953"/>
      <c r="OCA175" s="953"/>
      <c r="OCB175" s="953"/>
      <c r="OCC175" s="953"/>
      <c r="OCD175" s="953"/>
      <c r="OCE175" s="953"/>
      <c r="OCF175" s="953"/>
      <c r="OCG175" s="953"/>
      <c r="OCH175" s="953"/>
      <c r="OCI175" s="953"/>
      <c r="OCJ175" s="953"/>
      <c r="OCK175" s="953"/>
      <c r="OCL175" s="953"/>
      <c r="OCM175" s="953"/>
      <c r="OCN175" s="953"/>
      <c r="OCO175" s="953"/>
      <c r="OCP175" s="953"/>
      <c r="OCQ175" s="953"/>
      <c r="OCR175" s="953"/>
      <c r="OCS175" s="953"/>
      <c r="OCT175" s="953"/>
      <c r="OCU175" s="953"/>
      <c r="OCV175" s="953"/>
      <c r="OCW175" s="953"/>
      <c r="OCX175" s="953"/>
      <c r="OCY175" s="953"/>
      <c r="OCZ175" s="953"/>
      <c r="ODA175" s="953"/>
      <c r="ODB175" s="953"/>
      <c r="ODC175" s="953"/>
      <c r="ODD175" s="953"/>
      <c r="ODE175" s="953"/>
      <c r="ODF175" s="953"/>
      <c r="ODG175" s="953"/>
      <c r="ODH175" s="953"/>
      <c r="ODI175" s="953"/>
      <c r="ODJ175" s="953"/>
      <c r="ODK175" s="953"/>
      <c r="ODL175" s="953"/>
      <c r="ODM175" s="953"/>
      <c r="ODN175" s="953"/>
      <c r="ODO175" s="953"/>
      <c r="ODP175" s="953"/>
      <c r="ODQ175" s="953"/>
      <c r="ODR175" s="953"/>
      <c r="ODS175" s="953"/>
      <c r="ODT175" s="953"/>
      <c r="ODU175" s="953"/>
      <c r="ODV175" s="953"/>
      <c r="ODW175" s="953"/>
      <c r="ODX175" s="953"/>
      <c r="ODY175" s="953"/>
      <c r="ODZ175" s="953"/>
      <c r="OEA175" s="953"/>
      <c r="OEB175" s="953"/>
      <c r="OEC175" s="953"/>
      <c r="OED175" s="953"/>
      <c r="OEE175" s="953"/>
      <c r="OEF175" s="953"/>
      <c r="OEG175" s="953"/>
      <c r="OEH175" s="953"/>
      <c r="OEI175" s="953"/>
      <c r="OEJ175" s="953"/>
      <c r="OEK175" s="953"/>
      <c r="OEL175" s="953"/>
      <c r="OEM175" s="953"/>
      <c r="OEN175" s="953"/>
      <c r="OEO175" s="953"/>
      <c r="OEP175" s="953"/>
      <c r="OEQ175" s="953"/>
      <c r="OER175" s="953"/>
      <c r="OES175" s="953"/>
      <c r="OET175" s="953"/>
      <c r="OEU175" s="953"/>
      <c r="OEV175" s="953"/>
      <c r="OEW175" s="953"/>
      <c r="OEX175" s="953"/>
      <c r="OEY175" s="953"/>
      <c r="OEZ175" s="953"/>
      <c r="OFA175" s="953"/>
      <c r="OFB175" s="953"/>
      <c r="OFC175" s="953"/>
      <c r="OFD175" s="953"/>
      <c r="OFE175" s="953"/>
      <c r="OFF175" s="953"/>
      <c r="OFG175" s="953"/>
      <c r="OFH175" s="953"/>
      <c r="OFI175" s="953"/>
      <c r="OFJ175" s="953"/>
      <c r="OFK175" s="953"/>
      <c r="OFL175" s="953"/>
      <c r="OFM175" s="953"/>
      <c r="OFN175" s="953"/>
      <c r="OFO175" s="953"/>
      <c r="OFP175" s="953"/>
      <c r="OFQ175" s="953"/>
      <c r="OFR175" s="953"/>
      <c r="OFS175" s="953"/>
      <c r="OFT175" s="953"/>
      <c r="OFU175" s="953"/>
      <c r="OFV175" s="953"/>
      <c r="OFW175" s="953"/>
      <c r="OFX175" s="953"/>
      <c r="OFY175" s="953"/>
      <c r="OFZ175" s="953"/>
      <c r="OGA175" s="953"/>
      <c r="OGB175" s="953"/>
      <c r="OGC175" s="953"/>
      <c r="OGD175" s="953"/>
      <c r="OGE175" s="953"/>
      <c r="OGF175" s="953"/>
      <c r="OGG175" s="953"/>
      <c r="OGH175" s="953"/>
      <c r="OGI175" s="953"/>
      <c r="OGJ175" s="953"/>
      <c r="OGK175" s="953"/>
      <c r="OGL175" s="953"/>
      <c r="OGM175" s="953"/>
      <c r="OGN175" s="953"/>
      <c r="OGO175" s="953"/>
      <c r="OGP175" s="953"/>
      <c r="OGQ175" s="953"/>
      <c r="OGR175" s="953"/>
      <c r="OGS175" s="953"/>
      <c r="OGT175" s="953"/>
      <c r="OGU175" s="953"/>
      <c r="OGV175" s="953"/>
      <c r="OGW175" s="953"/>
      <c r="OGX175" s="953"/>
      <c r="OGY175" s="953"/>
      <c r="OGZ175" s="953"/>
      <c r="OHA175" s="953"/>
      <c r="OHB175" s="953"/>
      <c r="OHC175" s="953"/>
      <c r="OHD175" s="953"/>
      <c r="OHE175" s="953"/>
      <c r="OHF175" s="953"/>
      <c r="OHG175" s="953"/>
      <c r="OHH175" s="953"/>
      <c r="OHI175" s="953"/>
      <c r="OHJ175" s="953"/>
      <c r="OHK175" s="953"/>
      <c r="OHL175" s="953"/>
      <c r="OHM175" s="953"/>
      <c r="OHN175" s="953"/>
      <c r="OHO175" s="953"/>
      <c r="OHP175" s="953"/>
      <c r="OHQ175" s="953"/>
      <c r="OHR175" s="953"/>
      <c r="OHS175" s="953"/>
      <c r="OHT175" s="953"/>
      <c r="OHU175" s="953"/>
      <c r="OHV175" s="953"/>
      <c r="OHW175" s="953"/>
      <c r="OHX175" s="953"/>
      <c r="OHY175" s="953"/>
      <c r="OHZ175" s="953"/>
      <c r="OIA175" s="953"/>
      <c r="OIB175" s="953"/>
      <c r="OIC175" s="953"/>
      <c r="OID175" s="953"/>
      <c r="OIE175" s="953"/>
      <c r="OIF175" s="953"/>
      <c r="OIG175" s="953"/>
      <c r="OIH175" s="953"/>
      <c r="OII175" s="953"/>
      <c r="OIJ175" s="953"/>
      <c r="OIK175" s="953"/>
      <c r="OIL175" s="953"/>
      <c r="OIM175" s="953"/>
      <c r="OIN175" s="953"/>
      <c r="OIO175" s="953"/>
      <c r="OIP175" s="953"/>
      <c r="OIQ175" s="953"/>
      <c r="OIR175" s="953"/>
      <c r="OIS175" s="953"/>
      <c r="OIT175" s="953"/>
      <c r="OIU175" s="953"/>
      <c r="OIV175" s="953"/>
      <c r="OIW175" s="953"/>
      <c r="OIX175" s="953"/>
      <c r="OIY175" s="953"/>
      <c r="OIZ175" s="953"/>
      <c r="OJA175" s="953"/>
      <c r="OJB175" s="953"/>
      <c r="OJC175" s="953"/>
      <c r="OJD175" s="953"/>
      <c r="OJE175" s="953"/>
      <c r="OJF175" s="953"/>
      <c r="OJG175" s="953"/>
      <c r="OJH175" s="953"/>
      <c r="OJI175" s="953"/>
      <c r="OJJ175" s="953"/>
      <c r="OJK175" s="953"/>
      <c r="OJL175" s="953"/>
      <c r="OJM175" s="953"/>
      <c r="OJN175" s="953"/>
      <c r="OJO175" s="953"/>
      <c r="OJP175" s="953"/>
      <c r="OJQ175" s="953"/>
      <c r="OJR175" s="953"/>
      <c r="OJS175" s="953"/>
      <c r="OJT175" s="953"/>
      <c r="OJU175" s="953"/>
      <c r="OJV175" s="953"/>
      <c r="OJW175" s="953"/>
      <c r="OJX175" s="953"/>
      <c r="OJY175" s="953"/>
      <c r="OJZ175" s="953"/>
      <c r="OKA175" s="953"/>
      <c r="OKB175" s="953"/>
      <c r="OKC175" s="953"/>
      <c r="OKD175" s="953"/>
      <c r="OKE175" s="953"/>
      <c r="OKF175" s="953"/>
      <c r="OKG175" s="953"/>
      <c r="OKH175" s="953"/>
      <c r="OKI175" s="953"/>
      <c r="OKJ175" s="953"/>
      <c r="OKK175" s="953"/>
      <c r="OKL175" s="953"/>
      <c r="OKM175" s="953"/>
      <c r="OKN175" s="953"/>
      <c r="OKO175" s="953"/>
      <c r="OKP175" s="953"/>
      <c r="OKQ175" s="953"/>
      <c r="OKR175" s="953"/>
      <c r="OKS175" s="953"/>
      <c r="OKT175" s="953"/>
      <c r="OKU175" s="953"/>
      <c r="OKV175" s="953"/>
      <c r="OKW175" s="953"/>
      <c r="OKX175" s="953"/>
      <c r="OKY175" s="953"/>
      <c r="OKZ175" s="953"/>
      <c r="OLA175" s="953"/>
      <c r="OLB175" s="953"/>
      <c r="OLC175" s="953"/>
      <c r="OLD175" s="953"/>
      <c r="OLE175" s="953"/>
      <c r="OLF175" s="953"/>
      <c r="OLG175" s="953"/>
      <c r="OLH175" s="953"/>
      <c r="OLI175" s="953"/>
      <c r="OLJ175" s="953"/>
      <c r="OLK175" s="953"/>
      <c r="OLL175" s="953"/>
      <c r="OLM175" s="953"/>
      <c r="OLN175" s="953"/>
      <c r="OLO175" s="953"/>
      <c r="OLP175" s="953"/>
      <c r="OLQ175" s="953"/>
      <c r="OLR175" s="953"/>
      <c r="OLS175" s="953"/>
      <c r="OLT175" s="953"/>
      <c r="OLU175" s="953"/>
      <c r="OLV175" s="953"/>
      <c r="OLW175" s="953"/>
      <c r="OLX175" s="953"/>
      <c r="OLY175" s="953"/>
      <c r="OLZ175" s="953"/>
      <c r="OMA175" s="953"/>
      <c r="OMB175" s="953"/>
      <c r="OMC175" s="953"/>
      <c r="OMD175" s="953"/>
      <c r="OME175" s="953"/>
      <c r="OMF175" s="953"/>
      <c r="OMG175" s="953"/>
      <c r="OMH175" s="953"/>
      <c r="OMI175" s="953"/>
      <c r="OMJ175" s="953"/>
      <c r="OMK175" s="953"/>
      <c r="OML175" s="953"/>
      <c r="OMM175" s="953"/>
      <c r="OMN175" s="953"/>
      <c r="OMO175" s="953"/>
      <c r="OMP175" s="953"/>
      <c r="OMQ175" s="953"/>
      <c r="OMR175" s="953"/>
      <c r="OMS175" s="953"/>
      <c r="OMT175" s="953"/>
      <c r="OMU175" s="953"/>
      <c r="OMV175" s="953"/>
      <c r="OMW175" s="953"/>
      <c r="OMX175" s="953"/>
      <c r="OMY175" s="953"/>
      <c r="OMZ175" s="953"/>
      <c r="ONA175" s="953"/>
      <c r="ONB175" s="953"/>
      <c r="ONC175" s="953"/>
      <c r="OND175" s="953"/>
      <c r="ONE175" s="953"/>
      <c r="ONF175" s="953"/>
      <c r="ONG175" s="953"/>
      <c r="ONH175" s="953"/>
      <c r="ONI175" s="953"/>
      <c r="ONJ175" s="953"/>
      <c r="ONK175" s="953"/>
      <c r="ONL175" s="953"/>
      <c r="ONM175" s="953"/>
      <c r="ONN175" s="953"/>
      <c r="ONO175" s="953"/>
      <c r="ONP175" s="953"/>
      <c r="ONQ175" s="953"/>
      <c r="ONR175" s="953"/>
      <c r="ONS175" s="953"/>
      <c r="ONT175" s="953"/>
      <c r="ONU175" s="953"/>
      <c r="ONV175" s="953"/>
      <c r="ONW175" s="953"/>
      <c r="ONX175" s="953"/>
      <c r="ONY175" s="953"/>
      <c r="ONZ175" s="953"/>
      <c r="OOA175" s="953"/>
      <c r="OOB175" s="953"/>
      <c r="OOC175" s="953"/>
      <c r="OOD175" s="953"/>
      <c r="OOE175" s="953"/>
      <c r="OOF175" s="953"/>
      <c r="OOG175" s="953"/>
      <c r="OOH175" s="953"/>
      <c r="OOI175" s="953"/>
      <c r="OOJ175" s="953"/>
      <c r="OOK175" s="953"/>
      <c r="OOL175" s="953"/>
      <c r="OOM175" s="953"/>
      <c r="OON175" s="953"/>
      <c r="OOO175" s="953"/>
      <c r="OOP175" s="953"/>
      <c r="OOQ175" s="953"/>
      <c r="OOR175" s="953"/>
      <c r="OOS175" s="953"/>
      <c r="OOT175" s="953"/>
      <c r="OOU175" s="953"/>
      <c r="OOV175" s="953"/>
      <c r="OOW175" s="953"/>
      <c r="OOX175" s="953"/>
      <c r="OOY175" s="953"/>
      <c r="OOZ175" s="953"/>
      <c r="OPA175" s="953"/>
      <c r="OPB175" s="953"/>
      <c r="OPC175" s="953"/>
      <c r="OPD175" s="953"/>
      <c r="OPE175" s="953"/>
      <c r="OPF175" s="953"/>
      <c r="OPG175" s="953"/>
      <c r="OPH175" s="953"/>
      <c r="OPI175" s="953"/>
      <c r="OPJ175" s="953"/>
      <c r="OPK175" s="953"/>
      <c r="OPL175" s="953"/>
      <c r="OPM175" s="953"/>
      <c r="OPN175" s="953"/>
      <c r="OPO175" s="953"/>
      <c r="OPP175" s="953"/>
      <c r="OPQ175" s="953"/>
      <c r="OPR175" s="953"/>
      <c r="OPS175" s="953"/>
      <c r="OPT175" s="953"/>
      <c r="OPU175" s="953"/>
      <c r="OPV175" s="953"/>
      <c r="OPW175" s="953"/>
      <c r="OPX175" s="953"/>
      <c r="OPY175" s="953"/>
      <c r="OPZ175" s="953"/>
      <c r="OQA175" s="953"/>
      <c r="OQB175" s="953"/>
      <c r="OQC175" s="953"/>
      <c r="OQD175" s="953"/>
      <c r="OQE175" s="953"/>
      <c r="OQF175" s="953"/>
      <c r="OQG175" s="953"/>
      <c r="OQH175" s="953"/>
      <c r="OQI175" s="953"/>
      <c r="OQJ175" s="953"/>
      <c r="OQK175" s="953"/>
      <c r="OQL175" s="953"/>
      <c r="OQM175" s="953"/>
      <c r="OQN175" s="953"/>
      <c r="OQO175" s="953"/>
      <c r="OQP175" s="953"/>
      <c r="OQQ175" s="953"/>
      <c r="OQR175" s="953"/>
      <c r="OQS175" s="953"/>
      <c r="OQT175" s="953"/>
      <c r="OQU175" s="953"/>
      <c r="OQV175" s="953"/>
      <c r="OQW175" s="953"/>
      <c r="OQX175" s="953"/>
      <c r="OQY175" s="953"/>
      <c r="OQZ175" s="953"/>
      <c r="ORA175" s="953"/>
      <c r="ORB175" s="953"/>
      <c r="ORC175" s="953"/>
      <c r="ORD175" s="953"/>
      <c r="ORE175" s="953"/>
      <c r="ORF175" s="953"/>
      <c r="ORG175" s="953"/>
      <c r="ORH175" s="953"/>
      <c r="ORI175" s="953"/>
      <c r="ORJ175" s="953"/>
      <c r="ORK175" s="953"/>
      <c r="ORL175" s="953"/>
      <c r="ORM175" s="953"/>
      <c r="ORN175" s="953"/>
      <c r="ORO175" s="953"/>
      <c r="ORP175" s="953"/>
      <c r="ORQ175" s="953"/>
      <c r="ORR175" s="953"/>
      <c r="ORS175" s="953"/>
      <c r="ORT175" s="953"/>
      <c r="ORU175" s="953"/>
      <c r="ORV175" s="953"/>
      <c r="ORW175" s="953"/>
      <c r="ORX175" s="953"/>
      <c r="ORY175" s="953"/>
      <c r="ORZ175" s="953"/>
      <c r="OSA175" s="953"/>
      <c r="OSB175" s="953"/>
      <c r="OSC175" s="953"/>
      <c r="OSD175" s="953"/>
      <c r="OSE175" s="953"/>
      <c r="OSF175" s="953"/>
      <c r="OSG175" s="953"/>
      <c r="OSH175" s="953"/>
      <c r="OSI175" s="953"/>
      <c r="OSJ175" s="953"/>
      <c r="OSK175" s="953"/>
      <c r="OSL175" s="953"/>
      <c r="OSM175" s="953"/>
      <c r="OSN175" s="953"/>
      <c r="OSO175" s="953"/>
      <c r="OSP175" s="953"/>
      <c r="OSQ175" s="953"/>
      <c r="OSR175" s="953"/>
      <c r="OSS175" s="953"/>
      <c r="OST175" s="953"/>
      <c r="OSU175" s="953"/>
      <c r="OSV175" s="953"/>
      <c r="OSW175" s="953"/>
      <c r="OSX175" s="953"/>
      <c r="OSY175" s="953"/>
      <c r="OSZ175" s="953"/>
      <c r="OTA175" s="953"/>
      <c r="OTB175" s="953"/>
      <c r="OTC175" s="953"/>
      <c r="OTD175" s="953"/>
      <c r="OTE175" s="953"/>
      <c r="OTF175" s="953"/>
      <c r="OTG175" s="953"/>
      <c r="OTH175" s="953"/>
      <c r="OTI175" s="953"/>
      <c r="OTJ175" s="953"/>
      <c r="OTK175" s="953"/>
      <c r="OTL175" s="953"/>
      <c r="OTM175" s="953"/>
      <c r="OTN175" s="953"/>
      <c r="OTO175" s="953"/>
      <c r="OTP175" s="953"/>
      <c r="OTQ175" s="953"/>
      <c r="OTR175" s="953"/>
      <c r="OTS175" s="953"/>
      <c r="OTT175" s="953"/>
      <c r="OTU175" s="953"/>
      <c r="OTV175" s="953"/>
      <c r="OTW175" s="953"/>
      <c r="OTX175" s="953"/>
      <c r="OTY175" s="953"/>
      <c r="OTZ175" s="953"/>
      <c r="OUA175" s="953"/>
      <c r="OUB175" s="953"/>
      <c r="OUC175" s="953"/>
      <c r="OUD175" s="953"/>
      <c r="OUE175" s="953"/>
      <c r="OUF175" s="953"/>
      <c r="OUG175" s="953"/>
      <c r="OUH175" s="953"/>
      <c r="OUI175" s="953"/>
      <c r="OUJ175" s="953"/>
      <c r="OUK175" s="953"/>
      <c r="OUL175" s="953"/>
      <c r="OUM175" s="953"/>
      <c r="OUN175" s="953"/>
      <c r="OUO175" s="953"/>
      <c r="OUP175" s="953"/>
      <c r="OUQ175" s="953"/>
      <c r="OUR175" s="953"/>
      <c r="OUS175" s="953"/>
      <c r="OUT175" s="953"/>
      <c r="OUU175" s="953"/>
      <c r="OUV175" s="953"/>
      <c r="OUW175" s="953"/>
      <c r="OUX175" s="953"/>
      <c r="OUY175" s="953"/>
      <c r="OUZ175" s="953"/>
      <c r="OVA175" s="953"/>
      <c r="OVB175" s="953"/>
      <c r="OVC175" s="953"/>
      <c r="OVD175" s="953"/>
      <c r="OVE175" s="953"/>
      <c r="OVF175" s="953"/>
      <c r="OVG175" s="953"/>
      <c r="OVH175" s="953"/>
      <c r="OVI175" s="953"/>
      <c r="OVJ175" s="953"/>
      <c r="OVK175" s="953"/>
      <c r="OVL175" s="953"/>
      <c r="OVM175" s="953"/>
      <c r="OVN175" s="953"/>
      <c r="OVO175" s="953"/>
      <c r="OVP175" s="953"/>
      <c r="OVQ175" s="953"/>
      <c r="OVR175" s="953"/>
      <c r="OVS175" s="953"/>
      <c r="OVT175" s="953"/>
      <c r="OVU175" s="953"/>
      <c r="OVV175" s="953"/>
      <c r="OVW175" s="953"/>
      <c r="OVX175" s="953"/>
      <c r="OVY175" s="953"/>
      <c r="OVZ175" s="953"/>
      <c r="OWA175" s="953"/>
      <c r="OWB175" s="953"/>
      <c r="OWC175" s="953"/>
      <c r="OWD175" s="953"/>
      <c r="OWE175" s="953"/>
      <c r="OWF175" s="953"/>
      <c r="OWG175" s="953"/>
      <c r="OWH175" s="953"/>
      <c r="OWI175" s="953"/>
      <c r="OWJ175" s="953"/>
      <c r="OWK175" s="953"/>
      <c r="OWL175" s="953"/>
      <c r="OWM175" s="953"/>
      <c r="OWN175" s="953"/>
      <c r="OWO175" s="953"/>
      <c r="OWP175" s="953"/>
      <c r="OWQ175" s="953"/>
      <c r="OWR175" s="953"/>
      <c r="OWS175" s="953"/>
      <c r="OWT175" s="953"/>
      <c r="OWU175" s="953"/>
      <c r="OWV175" s="953"/>
      <c r="OWW175" s="953"/>
      <c r="OWX175" s="953"/>
      <c r="OWY175" s="953"/>
      <c r="OWZ175" s="953"/>
      <c r="OXA175" s="953"/>
      <c r="OXB175" s="953"/>
      <c r="OXC175" s="953"/>
      <c r="OXD175" s="953"/>
      <c r="OXE175" s="953"/>
      <c r="OXF175" s="953"/>
      <c r="OXG175" s="953"/>
      <c r="OXH175" s="953"/>
      <c r="OXI175" s="953"/>
      <c r="OXJ175" s="953"/>
      <c r="OXK175" s="953"/>
      <c r="OXL175" s="953"/>
      <c r="OXM175" s="953"/>
      <c r="OXN175" s="953"/>
      <c r="OXO175" s="953"/>
      <c r="OXP175" s="953"/>
      <c r="OXQ175" s="953"/>
      <c r="OXR175" s="953"/>
      <c r="OXS175" s="953"/>
      <c r="OXT175" s="953"/>
      <c r="OXU175" s="953"/>
      <c r="OXV175" s="953"/>
      <c r="OXW175" s="953"/>
      <c r="OXX175" s="953"/>
      <c r="OXY175" s="953"/>
      <c r="OXZ175" s="953"/>
      <c r="OYA175" s="953"/>
      <c r="OYB175" s="953"/>
      <c r="OYC175" s="953"/>
      <c r="OYD175" s="953"/>
      <c r="OYE175" s="953"/>
      <c r="OYF175" s="953"/>
      <c r="OYG175" s="953"/>
      <c r="OYH175" s="953"/>
      <c r="OYI175" s="953"/>
      <c r="OYJ175" s="953"/>
      <c r="OYK175" s="953"/>
      <c r="OYL175" s="953"/>
      <c r="OYM175" s="953"/>
      <c r="OYN175" s="953"/>
      <c r="OYO175" s="953"/>
      <c r="OYP175" s="953"/>
      <c r="OYQ175" s="953"/>
      <c r="OYR175" s="953"/>
      <c r="OYS175" s="953"/>
      <c r="OYT175" s="953"/>
      <c r="OYU175" s="953"/>
      <c r="OYV175" s="953"/>
      <c r="OYW175" s="953"/>
      <c r="OYX175" s="953"/>
      <c r="OYY175" s="953"/>
      <c r="OYZ175" s="953"/>
      <c r="OZA175" s="953"/>
      <c r="OZB175" s="953"/>
      <c r="OZC175" s="953"/>
      <c r="OZD175" s="953"/>
      <c r="OZE175" s="953"/>
      <c r="OZF175" s="953"/>
      <c r="OZG175" s="953"/>
      <c r="OZH175" s="953"/>
      <c r="OZI175" s="953"/>
      <c r="OZJ175" s="953"/>
      <c r="OZK175" s="953"/>
      <c r="OZL175" s="953"/>
      <c r="OZM175" s="953"/>
      <c r="OZN175" s="953"/>
      <c r="OZO175" s="953"/>
      <c r="OZP175" s="953"/>
      <c r="OZQ175" s="953"/>
      <c r="OZR175" s="953"/>
      <c r="OZS175" s="953"/>
      <c r="OZT175" s="953"/>
      <c r="OZU175" s="953"/>
      <c r="OZV175" s="953"/>
      <c r="OZW175" s="953"/>
      <c r="OZX175" s="953"/>
      <c r="OZY175" s="953"/>
      <c r="OZZ175" s="953"/>
      <c r="PAA175" s="953"/>
      <c r="PAB175" s="953"/>
      <c r="PAC175" s="953"/>
      <c r="PAD175" s="953"/>
      <c r="PAE175" s="953"/>
      <c r="PAF175" s="953"/>
      <c r="PAG175" s="953"/>
      <c r="PAH175" s="953"/>
      <c r="PAI175" s="953"/>
      <c r="PAJ175" s="953"/>
      <c r="PAK175" s="953"/>
      <c r="PAL175" s="953"/>
      <c r="PAM175" s="953"/>
      <c r="PAN175" s="953"/>
      <c r="PAO175" s="953"/>
      <c r="PAP175" s="953"/>
      <c r="PAQ175" s="953"/>
      <c r="PAR175" s="953"/>
      <c r="PAS175" s="953"/>
      <c r="PAT175" s="953"/>
      <c r="PAU175" s="953"/>
      <c r="PAV175" s="953"/>
      <c r="PAW175" s="953"/>
      <c r="PAX175" s="953"/>
      <c r="PAY175" s="953"/>
      <c r="PAZ175" s="953"/>
      <c r="PBA175" s="953"/>
      <c r="PBB175" s="953"/>
      <c r="PBC175" s="953"/>
      <c r="PBD175" s="953"/>
      <c r="PBE175" s="953"/>
      <c r="PBF175" s="953"/>
      <c r="PBG175" s="953"/>
      <c r="PBH175" s="953"/>
      <c r="PBI175" s="953"/>
      <c r="PBJ175" s="953"/>
      <c r="PBK175" s="953"/>
      <c r="PBL175" s="953"/>
      <c r="PBM175" s="953"/>
      <c r="PBN175" s="953"/>
      <c r="PBO175" s="953"/>
      <c r="PBP175" s="953"/>
      <c r="PBQ175" s="953"/>
      <c r="PBR175" s="953"/>
      <c r="PBS175" s="953"/>
      <c r="PBT175" s="953"/>
      <c r="PBU175" s="953"/>
      <c r="PBV175" s="953"/>
      <c r="PBW175" s="953"/>
      <c r="PBX175" s="953"/>
      <c r="PBY175" s="953"/>
      <c r="PBZ175" s="953"/>
      <c r="PCA175" s="953"/>
      <c r="PCB175" s="953"/>
      <c r="PCC175" s="953"/>
      <c r="PCD175" s="953"/>
      <c r="PCE175" s="953"/>
      <c r="PCF175" s="953"/>
      <c r="PCG175" s="953"/>
      <c r="PCH175" s="953"/>
      <c r="PCI175" s="953"/>
      <c r="PCJ175" s="953"/>
      <c r="PCK175" s="953"/>
      <c r="PCL175" s="953"/>
      <c r="PCM175" s="953"/>
      <c r="PCN175" s="953"/>
      <c r="PCO175" s="953"/>
      <c r="PCP175" s="953"/>
      <c r="PCQ175" s="953"/>
      <c r="PCR175" s="953"/>
      <c r="PCS175" s="953"/>
      <c r="PCT175" s="953"/>
      <c r="PCU175" s="953"/>
      <c r="PCV175" s="953"/>
      <c r="PCW175" s="953"/>
      <c r="PCX175" s="953"/>
      <c r="PCY175" s="953"/>
      <c r="PCZ175" s="953"/>
      <c r="PDA175" s="953"/>
      <c r="PDB175" s="953"/>
      <c r="PDC175" s="953"/>
      <c r="PDD175" s="953"/>
      <c r="PDE175" s="953"/>
      <c r="PDF175" s="953"/>
      <c r="PDG175" s="953"/>
      <c r="PDH175" s="953"/>
      <c r="PDI175" s="953"/>
      <c r="PDJ175" s="953"/>
      <c r="PDK175" s="953"/>
      <c r="PDL175" s="953"/>
      <c r="PDM175" s="953"/>
      <c r="PDN175" s="953"/>
      <c r="PDO175" s="953"/>
      <c r="PDP175" s="953"/>
      <c r="PDQ175" s="953"/>
      <c r="PDR175" s="953"/>
      <c r="PDS175" s="953"/>
      <c r="PDT175" s="953"/>
      <c r="PDU175" s="953"/>
      <c r="PDV175" s="953"/>
      <c r="PDW175" s="953"/>
      <c r="PDX175" s="953"/>
      <c r="PDY175" s="953"/>
      <c r="PDZ175" s="953"/>
      <c r="PEA175" s="953"/>
      <c r="PEB175" s="953"/>
      <c r="PEC175" s="953"/>
      <c r="PED175" s="953"/>
      <c r="PEE175" s="953"/>
      <c r="PEF175" s="953"/>
      <c r="PEG175" s="953"/>
      <c r="PEH175" s="953"/>
      <c r="PEI175" s="953"/>
      <c r="PEJ175" s="953"/>
      <c r="PEK175" s="953"/>
      <c r="PEL175" s="953"/>
      <c r="PEM175" s="953"/>
      <c r="PEN175" s="953"/>
      <c r="PEO175" s="953"/>
      <c r="PEP175" s="953"/>
      <c r="PEQ175" s="953"/>
      <c r="PER175" s="953"/>
      <c r="PES175" s="953"/>
      <c r="PET175" s="953"/>
      <c r="PEU175" s="953"/>
      <c r="PEV175" s="953"/>
      <c r="PEW175" s="953"/>
      <c r="PEX175" s="953"/>
      <c r="PEY175" s="953"/>
      <c r="PEZ175" s="953"/>
      <c r="PFA175" s="953"/>
      <c r="PFB175" s="953"/>
      <c r="PFC175" s="953"/>
      <c r="PFD175" s="953"/>
      <c r="PFE175" s="953"/>
      <c r="PFF175" s="953"/>
      <c r="PFG175" s="953"/>
      <c r="PFH175" s="953"/>
      <c r="PFI175" s="953"/>
      <c r="PFJ175" s="953"/>
      <c r="PFK175" s="953"/>
      <c r="PFL175" s="953"/>
      <c r="PFM175" s="953"/>
      <c r="PFN175" s="953"/>
      <c r="PFO175" s="953"/>
      <c r="PFP175" s="953"/>
      <c r="PFQ175" s="953"/>
      <c r="PFR175" s="953"/>
      <c r="PFS175" s="953"/>
      <c r="PFT175" s="953"/>
      <c r="PFU175" s="953"/>
      <c r="PFV175" s="953"/>
      <c r="PFW175" s="953"/>
      <c r="PFX175" s="953"/>
      <c r="PFY175" s="953"/>
      <c r="PFZ175" s="953"/>
      <c r="PGA175" s="953"/>
      <c r="PGB175" s="953"/>
      <c r="PGC175" s="953"/>
      <c r="PGD175" s="953"/>
      <c r="PGE175" s="953"/>
      <c r="PGF175" s="953"/>
      <c r="PGG175" s="953"/>
      <c r="PGH175" s="953"/>
      <c r="PGI175" s="953"/>
      <c r="PGJ175" s="953"/>
      <c r="PGK175" s="953"/>
      <c r="PGL175" s="953"/>
      <c r="PGM175" s="953"/>
      <c r="PGN175" s="953"/>
      <c r="PGO175" s="953"/>
      <c r="PGP175" s="953"/>
      <c r="PGQ175" s="953"/>
      <c r="PGR175" s="953"/>
      <c r="PGS175" s="953"/>
      <c r="PGT175" s="953"/>
      <c r="PGU175" s="953"/>
      <c r="PGV175" s="953"/>
      <c r="PGW175" s="953"/>
      <c r="PGX175" s="953"/>
      <c r="PGY175" s="953"/>
      <c r="PGZ175" s="953"/>
      <c r="PHA175" s="953"/>
      <c r="PHB175" s="953"/>
      <c r="PHC175" s="953"/>
      <c r="PHD175" s="953"/>
      <c r="PHE175" s="953"/>
      <c r="PHF175" s="953"/>
      <c r="PHG175" s="953"/>
      <c r="PHH175" s="953"/>
      <c r="PHI175" s="953"/>
      <c r="PHJ175" s="953"/>
      <c r="PHK175" s="953"/>
      <c r="PHL175" s="953"/>
      <c r="PHM175" s="953"/>
      <c r="PHN175" s="953"/>
      <c r="PHO175" s="953"/>
      <c r="PHP175" s="953"/>
      <c r="PHQ175" s="953"/>
      <c r="PHR175" s="953"/>
      <c r="PHS175" s="953"/>
      <c r="PHT175" s="953"/>
      <c r="PHU175" s="953"/>
      <c r="PHV175" s="953"/>
      <c r="PHW175" s="953"/>
      <c r="PHX175" s="953"/>
      <c r="PHY175" s="953"/>
      <c r="PHZ175" s="953"/>
      <c r="PIA175" s="953"/>
      <c r="PIB175" s="953"/>
      <c r="PIC175" s="953"/>
      <c r="PID175" s="953"/>
      <c r="PIE175" s="953"/>
      <c r="PIF175" s="953"/>
      <c r="PIG175" s="953"/>
      <c r="PIH175" s="953"/>
      <c r="PII175" s="953"/>
      <c r="PIJ175" s="953"/>
      <c r="PIK175" s="953"/>
      <c r="PIL175" s="953"/>
      <c r="PIM175" s="953"/>
      <c r="PIN175" s="953"/>
      <c r="PIO175" s="953"/>
      <c r="PIP175" s="953"/>
      <c r="PIQ175" s="953"/>
      <c r="PIR175" s="953"/>
      <c r="PIS175" s="953"/>
      <c r="PIT175" s="953"/>
      <c r="PIU175" s="953"/>
      <c r="PIV175" s="953"/>
      <c r="PIW175" s="953"/>
      <c r="PIX175" s="953"/>
      <c r="PIY175" s="953"/>
      <c r="PIZ175" s="953"/>
      <c r="PJA175" s="953"/>
      <c r="PJB175" s="953"/>
      <c r="PJC175" s="953"/>
      <c r="PJD175" s="953"/>
      <c r="PJE175" s="953"/>
      <c r="PJF175" s="953"/>
      <c r="PJG175" s="953"/>
      <c r="PJH175" s="953"/>
      <c r="PJI175" s="953"/>
      <c r="PJJ175" s="953"/>
      <c r="PJK175" s="953"/>
      <c r="PJL175" s="953"/>
      <c r="PJM175" s="953"/>
      <c r="PJN175" s="953"/>
      <c r="PJO175" s="953"/>
      <c r="PJP175" s="953"/>
      <c r="PJQ175" s="953"/>
      <c r="PJR175" s="953"/>
      <c r="PJS175" s="953"/>
      <c r="PJT175" s="953"/>
      <c r="PJU175" s="953"/>
      <c r="PJV175" s="953"/>
      <c r="PJW175" s="953"/>
      <c r="PJX175" s="953"/>
      <c r="PJY175" s="953"/>
      <c r="PJZ175" s="953"/>
      <c r="PKA175" s="953"/>
      <c r="PKB175" s="953"/>
      <c r="PKC175" s="953"/>
      <c r="PKD175" s="953"/>
      <c r="PKE175" s="953"/>
      <c r="PKF175" s="953"/>
      <c r="PKG175" s="953"/>
      <c r="PKH175" s="953"/>
      <c r="PKI175" s="953"/>
      <c r="PKJ175" s="953"/>
      <c r="PKK175" s="953"/>
      <c r="PKL175" s="953"/>
      <c r="PKM175" s="953"/>
      <c r="PKN175" s="953"/>
      <c r="PKO175" s="953"/>
      <c r="PKP175" s="953"/>
      <c r="PKQ175" s="953"/>
      <c r="PKR175" s="953"/>
      <c r="PKS175" s="953"/>
      <c r="PKT175" s="953"/>
      <c r="PKU175" s="953"/>
      <c r="PKV175" s="953"/>
      <c r="PKW175" s="953"/>
      <c r="PKX175" s="953"/>
      <c r="PKY175" s="953"/>
      <c r="PKZ175" s="953"/>
      <c r="PLA175" s="953"/>
      <c r="PLB175" s="953"/>
      <c r="PLC175" s="953"/>
      <c r="PLD175" s="953"/>
      <c r="PLE175" s="953"/>
      <c r="PLF175" s="953"/>
      <c r="PLG175" s="953"/>
      <c r="PLH175" s="953"/>
      <c r="PLI175" s="953"/>
      <c r="PLJ175" s="953"/>
      <c r="PLK175" s="953"/>
      <c r="PLL175" s="953"/>
      <c r="PLM175" s="953"/>
      <c r="PLN175" s="953"/>
      <c r="PLO175" s="953"/>
      <c r="PLP175" s="953"/>
      <c r="PLQ175" s="953"/>
      <c r="PLR175" s="953"/>
      <c r="PLS175" s="953"/>
      <c r="PLT175" s="953"/>
      <c r="PLU175" s="953"/>
      <c r="PLV175" s="953"/>
      <c r="PLW175" s="953"/>
      <c r="PLX175" s="953"/>
      <c r="PLY175" s="953"/>
      <c r="PLZ175" s="953"/>
      <c r="PMA175" s="953"/>
      <c r="PMB175" s="953"/>
      <c r="PMC175" s="953"/>
      <c r="PMD175" s="953"/>
      <c r="PME175" s="953"/>
      <c r="PMF175" s="953"/>
      <c r="PMG175" s="953"/>
      <c r="PMH175" s="953"/>
      <c r="PMI175" s="953"/>
      <c r="PMJ175" s="953"/>
      <c r="PMK175" s="953"/>
      <c r="PML175" s="953"/>
      <c r="PMM175" s="953"/>
      <c r="PMN175" s="953"/>
      <c r="PMO175" s="953"/>
      <c r="PMP175" s="953"/>
      <c r="PMQ175" s="953"/>
      <c r="PMR175" s="953"/>
      <c r="PMS175" s="953"/>
      <c r="PMT175" s="953"/>
      <c r="PMU175" s="953"/>
      <c r="PMV175" s="953"/>
      <c r="PMW175" s="953"/>
      <c r="PMX175" s="953"/>
      <c r="PMY175" s="953"/>
      <c r="PMZ175" s="953"/>
      <c r="PNA175" s="953"/>
      <c r="PNB175" s="953"/>
      <c r="PNC175" s="953"/>
      <c r="PND175" s="953"/>
      <c r="PNE175" s="953"/>
      <c r="PNF175" s="953"/>
      <c r="PNG175" s="953"/>
      <c r="PNH175" s="953"/>
      <c r="PNI175" s="953"/>
      <c r="PNJ175" s="953"/>
      <c r="PNK175" s="953"/>
      <c r="PNL175" s="953"/>
      <c r="PNM175" s="953"/>
      <c r="PNN175" s="953"/>
      <c r="PNO175" s="953"/>
      <c r="PNP175" s="953"/>
      <c r="PNQ175" s="953"/>
      <c r="PNR175" s="953"/>
      <c r="PNS175" s="953"/>
      <c r="PNT175" s="953"/>
      <c r="PNU175" s="953"/>
      <c r="PNV175" s="953"/>
      <c r="PNW175" s="953"/>
      <c r="PNX175" s="953"/>
      <c r="PNY175" s="953"/>
      <c r="PNZ175" s="953"/>
      <c r="POA175" s="953"/>
      <c r="POB175" s="953"/>
      <c r="POC175" s="953"/>
      <c r="POD175" s="953"/>
      <c r="POE175" s="953"/>
      <c r="POF175" s="953"/>
      <c r="POG175" s="953"/>
      <c r="POH175" s="953"/>
      <c r="POI175" s="953"/>
      <c r="POJ175" s="953"/>
      <c r="POK175" s="953"/>
      <c r="POL175" s="953"/>
      <c r="POM175" s="953"/>
      <c r="PON175" s="953"/>
      <c r="POO175" s="953"/>
      <c r="POP175" s="953"/>
      <c r="POQ175" s="953"/>
      <c r="POR175" s="953"/>
      <c r="POS175" s="953"/>
      <c r="POT175" s="953"/>
      <c r="POU175" s="953"/>
      <c r="POV175" s="953"/>
      <c r="POW175" s="953"/>
      <c r="POX175" s="953"/>
      <c r="POY175" s="953"/>
      <c r="POZ175" s="953"/>
      <c r="PPA175" s="953"/>
      <c r="PPB175" s="953"/>
      <c r="PPC175" s="953"/>
      <c r="PPD175" s="953"/>
      <c r="PPE175" s="953"/>
      <c r="PPF175" s="953"/>
      <c r="PPG175" s="953"/>
      <c r="PPH175" s="953"/>
      <c r="PPI175" s="953"/>
      <c r="PPJ175" s="953"/>
      <c r="PPK175" s="953"/>
      <c r="PPL175" s="953"/>
      <c r="PPM175" s="953"/>
      <c r="PPN175" s="953"/>
      <c r="PPO175" s="953"/>
      <c r="PPP175" s="953"/>
      <c r="PPQ175" s="953"/>
      <c r="PPR175" s="953"/>
      <c r="PPS175" s="953"/>
      <c r="PPT175" s="953"/>
      <c r="PPU175" s="953"/>
      <c r="PPV175" s="953"/>
      <c r="PPW175" s="953"/>
      <c r="PPX175" s="953"/>
      <c r="PPY175" s="953"/>
      <c r="PPZ175" s="953"/>
      <c r="PQA175" s="953"/>
      <c r="PQB175" s="953"/>
      <c r="PQC175" s="953"/>
      <c r="PQD175" s="953"/>
      <c r="PQE175" s="953"/>
      <c r="PQF175" s="953"/>
      <c r="PQG175" s="953"/>
      <c r="PQH175" s="953"/>
      <c r="PQI175" s="953"/>
      <c r="PQJ175" s="953"/>
      <c r="PQK175" s="953"/>
      <c r="PQL175" s="953"/>
      <c r="PQM175" s="953"/>
      <c r="PQN175" s="953"/>
      <c r="PQO175" s="953"/>
      <c r="PQP175" s="953"/>
      <c r="PQQ175" s="953"/>
      <c r="PQR175" s="953"/>
      <c r="PQS175" s="953"/>
      <c r="PQT175" s="953"/>
      <c r="PQU175" s="953"/>
      <c r="PQV175" s="953"/>
      <c r="PQW175" s="953"/>
      <c r="PQX175" s="953"/>
      <c r="PQY175" s="953"/>
      <c r="PQZ175" s="953"/>
      <c r="PRA175" s="953"/>
      <c r="PRB175" s="953"/>
      <c r="PRC175" s="953"/>
      <c r="PRD175" s="953"/>
      <c r="PRE175" s="953"/>
      <c r="PRF175" s="953"/>
      <c r="PRG175" s="953"/>
      <c r="PRH175" s="953"/>
      <c r="PRI175" s="953"/>
      <c r="PRJ175" s="953"/>
      <c r="PRK175" s="953"/>
      <c r="PRL175" s="953"/>
      <c r="PRM175" s="953"/>
      <c r="PRN175" s="953"/>
      <c r="PRO175" s="953"/>
      <c r="PRP175" s="953"/>
      <c r="PRQ175" s="953"/>
      <c r="PRR175" s="953"/>
      <c r="PRS175" s="953"/>
      <c r="PRT175" s="953"/>
      <c r="PRU175" s="953"/>
      <c r="PRV175" s="953"/>
      <c r="PRW175" s="953"/>
      <c r="PRX175" s="953"/>
      <c r="PRY175" s="953"/>
      <c r="PRZ175" s="953"/>
      <c r="PSA175" s="953"/>
      <c r="PSB175" s="953"/>
      <c r="PSC175" s="953"/>
      <c r="PSD175" s="953"/>
      <c r="PSE175" s="953"/>
      <c r="PSF175" s="953"/>
      <c r="PSG175" s="953"/>
      <c r="PSH175" s="953"/>
      <c r="PSI175" s="953"/>
      <c r="PSJ175" s="953"/>
      <c r="PSK175" s="953"/>
      <c r="PSL175" s="953"/>
      <c r="PSM175" s="953"/>
      <c r="PSN175" s="953"/>
      <c r="PSO175" s="953"/>
      <c r="PSP175" s="953"/>
      <c r="PSQ175" s="953"/>
      <c r="PSR175" s="953"/>
      <c r="PSS175" s="953"/>
      <c r="PST175" s="953"/>
      <c r="PSU175" s="953"/>
      <c r="PSV175" s="953"/>
      <c r="PSW175" s="953"/>
      <c r="PSX175" s="953"/>
      <c r="PSY175" s="953"/>
      <c r="PSZ175" s="953"/>
      <c r="PTA175" s="953"/>
      <c r="PTB175" s="953"/>
      <c r="PTC175" s="953"/>
      <c r="PTD175" s="953"/>
      <c r="PTE175" s="953"/>
      <c r="PTF175" s="953"/>
      <c r="PTG175" s="953"/>
      <c r="PTH175" s="953"/>
      <c r="PTI175" s="953"/>
      <c r="PTJ175" s="953"/>
      <c r="PTK175" s="953"/>
      <c r="PTL175" s="953"/>
      <c r="PTM175" s="953"/>
      <c r="PTN175" s="953"/>
      <c r="PTO175" s="953"/>
      <c r="PTP175" s="953"/>
      <c r="PTQ175" s="953"/>
      <c r="PTR175" s="953"/>
      <c r="PTS175" s="953"/>
      <c r="PTT175" s="953"/>
      <c r="PTU175" s="953"/>
      <c r="PTV175" s="953"/>
      <c r="PTW175" s="953"/>
      <c r="PTX175" s="953"/>
      <c r="PTY175" s="953"/>
      <c r="PTZ175" s="953"/>
      <c r="PUA175" s="953"/>
      <c r="PUB175" s="953"/>
      <c r="PUC175" s="953"/>
      <c r="PUD175" s="953"/>
      <c r="PUE175" s="953"/>
      <c r="PUF175" s="953"/>
      <c r="PUG175" s="953"/>
      <c r="PUH175" s="953"/>
      <c r="PUI175" s="953"/>
      <c r="PUJ175" s="953"/>
      <c r="PUK175" s="953"/>
      <c r="PUL175" s="953"/>
      <c r="PUM175" s="953"/>
      <c r="PUN175" s="953"/>
      <c r="PUO175" s="953"/>
      <c r="PUP175" s="953"/>
      <c r="PUQ175" s="953"/>
      <c r="PUR175" s="953"/>
      <c r="PUS175" s="953"/>
      <c r="PUT175" s="953"/>
      <c r="PUU175" s="953"/>
      <c r="PUV175" s="953"/>
      <c r="PUW175" s="953"/>
      <c r="PUX175" s="953"/>
      <c r="PUY175" s="953"/>
      <c r="PUZ175" s="953"/>
      <c r="PVA175" s="953"/>
      <c r="PVB175" s="953"/>
      <c r="PVC175" s="953"/>
      <c r="PVD175" s="953"/>
      <c r="PVE175" s="953"/>
      <c r="PVF175" s="953"/>
      <c r="PVG175" s="953"/>
      <c r="PVH175" s="953"/>
      <c r="PVI175" s="953"/>
      <c r="PVJ175" s="953"/>
      <c r="PVK175" s="953"/>
      <c r="PVL175" s="953"/>
      <c r="PVM175" s="953"/>
      <c r="PVN175" s="953"/>
      <c r="PVO175" s="953"/>
      <c r="PVP175" s="953"/>
      <c r="PVQ175" s="953"/>
      <c r="PVR175" s="953"/>
      <c r="PVS175" s="953"/>
      <c r="PVT175" s="953"/>
      <c r="PVU175" s="953"/>
      <c r="PVV175" s="953"/>
      <c r="PVW175" s="953"/>
      <c r="PVX175" s="953"/>
      <c r="PVY175" s="953"/>
      <c r="PVZ175" s="953"/>
      <c r="PWA175" s="953"/>
      <c r="PWB175" s="953"/>
      <c r="PWC175" s="953"/>
      <c r="PWD175" s="953"/>
      <c r="PWE175" s="953"/>
      <c r="PWF175" s="953"/>
      <c r="PWG175" s="953"/>
      <c r="PWH175" s="953"/>
      <c r="PWI175" s="953"/>
      <c r="PWJ175" s="953"/>
      <c r="PWK175" s="953"/>
      <c r="PWL175" s="953"/>
      <c r="PWM175" s="953"/>
      <c r="PWN175" s="953"/>
      <c r="PWO175" s="953"/>
      <c r="PWP175" s="953"/>
      <c r="PWQ175" s="953"/>
      <c r="PWR175" s="953"/>
      <c r="PWS175" s="953"/>
      <c r="PWT175" s="953"/>
      <c r="PWU175" s="953"/>
      <c r="PWV175" s="953"/>
      <c r="PWW175" s="953"/>
      <c r="PWX175" s="953"/>
      <c r="PWY175" s="953"/>
      <c r="PWZ175" s="953"/>
      <c r="PXA175" s="953"/>
      <c r="PXB175" s="953"/>
      <c r="PXC175" s="953"/>
      <c r="PXD175" s="953"/>
      <c r="PXE175" s="953"/>
      <c r="PXF175" s="953"/>
      <c r="PXG175" s="953"/>
      <c r="PXH175" s="953"/>
      <c r="PXI175" s="953"/>
      <c r="PXJ175" s="953"/>
      <c r="PXK175" s="953"/>
      <c r="PXL175" s="953"/>
      <c r="PXM175" s="953"/>
      <c r="PXN175" s="953"/>
      <c r="PXO175" s="953"/>
      <c r="PXP175" s="953"/>
      <c r="PXQ175" s="953"/>
      <c r="PXR175" s="953"/>
      <c r="PXS175" s="953"/>
      <c r="PXT175" s="953"/>
      <c r="PXU175" s="953"/>
      <c r="PXV175" s="953"/>
      <c r="PXW175" s="953"/>
      <c r="PXX175" s="953"/>
      <c r="PXY175" s="953"/>
      <c r="PXZ175" s="953"/>
      <c r="PYA175" s="953"/>
      <c r="PYB175" s="953"/>
      <c r="PYC175" s="953"/>
      <c r="PYD175" s="953"/>
      <c r="PYE175" s="953"/>
      <c r="PYF175" s="953"/>
      <c r="PYG175" s="953"/>
      <c r="PYH175" s="953"/>
      <c r="PYI175" s="953"/>
      <c r="PYJ175" s="953"/>
      <c r="PYK175" s="953"/>
      <c r="PYL175" s="953"/>
      <c r="PYM175" s="953"/>
      <c r="PYN175" s="953"/>
      <c r="PYO175" s="953"/>
      <c r="PYP175" s="953"/>
      <c r="PYQ175" s="953"/>
      <c r="PYR175" s="953"/>
      <c r="PYS175" s="953"/>
      <c r="PYT175" s="953"/>
      <c r="PYU175" s="953"/>
      <c r="PYV175" s="953"/>
      <c r="PYW175" s="953"/>
      <c r="PYX175" s="953"/>
      <c r="PYY175" s="953"/>
      <c r="PYZ175" s="953"/>
      <c r="PZA175" s="953"/>
      <c r="PZB175" s="953"/>
      <c r="PZC175" s="953"/>
      <c r="PZD175" s="953"/>
      <c r="PZE175" s="953"/>
      <c r="PZF175" s="953"/>
      <c r="PZG175" s="953"/>
      <c r="PZH175" s="953"/>
      <c r="PZI175" s="953"/>
      <c r="PZJ175" s="953"/>
      <c r="PZK175" s="953"/>
      <c r="PZL175" s="953"/>
      <c r="PZM175" s="953"/>
      <c r="PZN175" s="953"/>
      <c r="PZO175" s="953"/>
      <c r="PZP175" s="953"/>
      <c r="PZQ175" s="953"/>
      <c r="PZR175" s="953"/>
      <c r="PZS175" s="953"/>
      <c r="PZT175" s="953"/>
      <c r="PZU175" s="953"/>
      <c r="PZV175" s="953"/>
      <c r="PZW175" s="953"/>
      <c r="PZX175" s="953"/>
      <c r="PZY175" s="953"/>
      <c r="PZZ175" s="953"/>
      <c r="QAA175" s="953"/>
      <c r="QAB175" s="953"/>
      <c r="QAC175" s="953"/>
      <c r="QAD175" s="953"/>
      <c r="QAE175" s="953"/>
      <c r="QAF175" s="953"/>
      <c r="QAG175" s="953"/>
      <c r="QAH175" s="953"/>
      <c r="QAI175" s="953"/>
      <c r="QAJ175" s="953"/>
      <c r="QAK175" s="953"/>
      <c r="QAL175" s="953"/>
      <c r="QAM175" s="953"/>
      <c r="QAN175" s="953"/>
      <c r="QAO175" s="953"/>
      <c r="QAP175" s="953"/>
      <c r="QAQ175" s="953"/>
      <c r="QAR175" s="953"/>
      <c r="QAS175" s="953"/>
      <c r="QAT175" s="953"/>
      <c r="QAU175" s="953"/>
      <c r="QAV175" s="953"/>
      <c r="QAW175" s="953"/>
      <c r="QAX175" s="953"/>
      <c r="QAY175" s="953"/>
      <c r="QAZ175" s="953"/>
      <c r="QBA175" s="953"/>
      <c r="QBB175" s="953"/>
      <c r="QBC175" s="953"/>
      <c r="QBD175" s="953"/>
      <c r="QBE175" s="953"/>
      <c r="QBF175" s="953"/>
      <c r="QBG175" s="953"/>
      <c r="QBH175" s="953"/>
      <c r="QBI175" s="953"/>
      <c r="QBJ175" s="953"/>
      <c r="QBK175" s="953"/>
      <c r="QBL175" s="953"/>
      <c r="QBM175" s="953"/>
      <c r="QBN175" s="953"/>
      <c r="QBO175" s="953"/>
      <c r="QBP175" s="953"/>
      <c r="QBQ175" s="953"/>
      <c r="QBR175" s="953"/>
      <c r="QBS175" s="953"/>
      <c r="QBT175" s="953"/>
      <c r="QBU175" s="953"/>
      <c r="QBV175" s="953"/>
      <c r="QBW175" s="953"/>
      <c r="QBX175" s="953"/>
      <c r="QBY175" s="953"/>
      <c r="QBZ175" s="953"/>
      <c r="QCA175" s="953"/>
      <c r="QCB175" s="953"/>
      <c r="QCC175" s="953"/>
      <c r="QCD175" s="953"/>
      <c r="QCE175" s="953"/>
      <c r="QCF175" s="953"/>
      <c r="QCG175" s="953"/>
      <c r="QCH175" s="953"/>
      <c r="QCI175" s="953"/>
      <c r="QCJ175" s="953"/>
      <c r="QCK175" s="953"/>
      <c r="QCL175" s="953"/>
      <c r="QCM175" s="953"/>
      <c r="QCN175" s="953"/>
      <c r="QCO175" s="953"/>
      <c r="QCP175" s="953"/>
      <c r="QCQ175" s="953"/>
      <c r="QCR175" s="953"/>
      <c r="QCS175" s="953"/>
      <c r="QCT175" s="953"/>
      <c r="QCU175" s="953"/>
      <c r="QCV175" s="953"/>
      <c r="QCW175" s="953"/>
      <c r="QCX175" s="953"/>
      <c r="QCY175" s="953"/>
      <c r="QCZ175" s="953"/>
      <c r="QDA175" s="953"/>
      <c r="QDB175" s="953"/>
      <c r="QDC175" s="953"/>
      <c r="QDD175" s="953"/>
      <c r="QDE175" s="953"/>
      <c r="QDF175" s="953"/>
      <c r="QDG175" s="953"/>
      <c r="QDH175" s="953"/>
      <c r="QDI175" s="953"/>
      <c r="QDJ175" s="953"/>
      <c r="QDK175" s="953"/>
      <c r="QDL175" s="953"/>
      <c r="QDM175" s="953"/>
      <c r="QDN175" s="953"/>
      <c r="QDO175" s="953"/>
      <c r="QDP175" s="953"/>
      <c r="QDQ175" s="953"/>
      <c r="QDR175" s="953"/>
      <c r="QDS175" s="953"/>
      <c r="QDT175" s="953"/>
      <c r="QDU175" s="953"/>
      <c r="QDV175" s="953"/>
      <c r="QDW175" s="953"/>
      <c r="QDX175" s="953"/>
      <c r="QDY175" s="953"/>
      <c r="QDZ175" s="953"/>
      <c r="QEA175" s="953"/>
      <c r="QEB175" s="953"/>
      <c r="QEC175" s="953"/>
      <c r="QED175" s="953"/>
      <c r="QEE175" s="953"/>
      <c r="QEF175" s="953"/>
      <c r="QEG175" s="953"/>
      <c r="QEH175" s="953"/>
      <c r="QEI175" s="953"/>
      <c r="QEJ175" s="953"/>
      <c r="QEK175" s="953"/>
      <c r="QEL175" s="953"/>
      <c r="QEM175" s="953"/>
      <c r="QEN175" s="953"/>
      <c r="QEO175" s="953"/>
      <c r="QEP175" s="953"/>
      <c r="QEQ175" s="953"/>
      <c r="QER175" s="953"/>
      <c r="QES175" s="953"/>
      <c r="QET175" s="953"/>
      <c r="QEU175" s="953"/>
      <c r="QEV175" s="953"/>
      <c r="QEW175" s="953"/>
      <c r="QEX175" s="953"/>
      <c r="QEY175" s="953"/>
      <c r="QEZ175" s="953"/>
      <c r="QFA175" s="953"/>
      <c r="QFB175" s="953"/>
      <c r="QFC175" s="953"/>
      <c r="QFD175" s="953"/>
      <c r="QFE175" s="953"/>
      <c r="QFF175" s="953"/>
      <c r="QFG175" s="953"/>
      <c r="QFH175" s="953"/>
      <c r="QFI175" s="953"/>
      <c r="QFJ175" s="953"/>
      <c r="QFK175" s="953"/>
      <c r="QFL175" s="953"/>
      <c r="QFM175" s="953"/>
      <c r="QFN175" s="953"/>
      <c r="QFO175" s="953"/>
      <c r="QFP175" s="953"/>
      <c r="QFQ175" s="953"/>
      <c r="QFR175" s="953"/>
      <c r="QFS175" s="953"/>
      <c r="QFT175" s="953"/>
      <c r="QFU175" s="953"/>
      <c r="QFV175" s="953"/>
      <c r="QFW175" s="953"/>
      <c r="QFX175" s="953"/>
      <c r="QFY175" s="953"/>
      <c r="QFZ175" s="953"/>
      <c r="QGA175" s="953"/>
      <c r="QGB175" s="953"/>
      <c r="QGC175" s="953"/>
      <c r="QGD175" s="953"/>
      <c r="QGE175" s="953"/>
      <c r="QGF175" s="953"/>
      <c r="QGG175" s="953"/>
      <c r="QGH175" s="953"/>
      <c r="QGI175" s="953"/>
      <c r="QGJ175" s="953"/>
      <c r="QGK175" s="953"/>
      <c r="QGL175" s="953"/>
      <c r="QGM175" s="953"/>
      <c r="QGN175" s="953"/>
      <c r="QGO175" s="953"/>
      <c r="QGP175" s="953"/>
      <c r="QGQ175" s="953"/>
      <c r="QGR175" s="953"/>
      <c r="QGS175" s="953"/>
      <c r="QGT175" s="953"/>
      <c r="QGU175" s="953"/>
      <c r="QGV175" s="953"/>
      <c r="QGW175" s="953"/>
      <c r="QGX175" s="953"/>
      <c r="QGY175" s="953"/>
      <c r="QGZ175" s="953"/>
      <c r="QHA175" s="953"/>
      <c r="QHB175" s="953"/>
      <c r="QHC175" s="953"/>
      <c r="QHD175" s="953"/>
      <c r="QHE175" s="953"/>
      <c r="QHF175" s="953"/>
      <c r="QHG175" s="953"/>
      <c r="QHH175" s="953"/>
      <c r="QHI175" s="953"/>
      <c r="QHJ175" s="953"/>
      <c r="QHK175" s="953"/>
      <c r="QHL175" s="953"/>
      <c r="QHM175" s="953"/>
      <c r="QHN175" s="953"/>
      <c r="QHO175" s="953"/>
      <c r="QHP175" s="953"/>
      <c r="QHQ175" s="953"/>
      <c r="QHR175" s="953"/>
      <c r="QHS175" s="953"/>
      <c r="QHT175" s="953"/>
      <c r="QHU175" s="953"/>
      <c r="QHV175" s="953"/>
      <c r="QHW175" s="953"/>
      <c r="QHX175" s="953"/>
      <c r="QHY175" s="953"/>
      <c r="QHZ175" s="953"/>
      <c r="QIA175" s="953"/>
      <c r="QIB175" s="953"/>
      <c r="QIC175" s="953"/>
      <c r="QID175" s="953"/>
      <c r="QIE175" s="953"/>
      <c r="QIF175" s="953"/>
      <c r="QIG175" s="953"/>
      <c r="QIH175" s="953"/>
      <c r="QII175" s="953"/>
      <c r="QIJ175" s="953"/>
      <c r="QIK175" s="953"/>
      <c r="QIL175" s="953"/>
      <c r="QIM175" s="953"/>
      <c r="QIN175" s="953"/>
      <c r="QIO175" s="953"/>
      <c r="QIP175" s="953"/>
      <c r="QIQ175" s="953"/>
      <c r="QIR175" s="953"/>
      <c r="QIS175" s="953"/>
      <c r="QIT175" s="953"/>
      <c r="QIU175" s="953"/>
      <c r="QIV175" s="953"/>
      <c r="QIW175" s="953"/>
      <c r="QIX175" s="953"/>
      <c r="QIY175" s="953"/>
      <c r="QIZ175" s="953"/>
      <c r="QJA175" s="953"/>
      <c r="QJB175" s="953"/>
      <c r="QJC175" s="953"/>
      <c r="QJD175" s="953"/>
      <c r="QJE175" s="953"/>
      <c r="QJF175" s="953"/>
      <c r="QJG175" s="953"/>
      <c r="QJH175" s="953"/>
      <c r="QJI175" s="953"/>
      <c r="QJJ175" s="953"/>
      <c r="QJK175" s="953"/>
      <c r="QJL175" s="953"/>
      <c r="QJM175" s="953"/>
      <c r="QJN175" s="953"/>
      <c r="QJO175" s="953"/>
      <c r="QJP175" s="953"/>
      <c r="QJQ175" s="953"/>
      <c r="QJR175" s="953"/>
      <c r="QJS175" s="953"/>
      <c r="QJT175" s="953"/>
      <c r="QJU175" s="953"/>
      <c r="QJV175" s="953"/>
      <c r="QJW175" s="953"/>
      <c r="QJX175" s="953"/>
      <c r="QJY175" s="953"/>
      <c r="QJZ175" s="953"/>
      <c r="QKA175" s="953"/>
      <c r="QKB175" s="953"/>
      <c r="QKC175" s="953"/>
      <c r="QKD175" s="953"/>
      <c r="QKE175" s="953"/>
      <c r="QKF175" s="953"/>
      <c r="QKG175" s="953"/>
      <c r="QKH175" s="953"/>
      <c r="QKI175" s="953"/>
      <c r="QKJ175" s="953"/>
      <c r="QKK175" s="953"/>
      <c r="QKL175" s="953"/>
      <c r="QKM175" s="953"/>
      <c r="QKN175" s="953"/>
      <c r="QKO175" s="953"/>
      <c r="QKP175" s="953"/>
      <c r="QKQ175" s="953"/>
      <c r="QKR175" s="953"/>
      <c r="QKS175" s="953"/>
      <c r="QKT175" s="953"/>
      <c r="QKU175" s="953"/>
      <c r="QKV175" s="953"/>
      <c r="QKW175" s="953"/>
      <c r="QKX175" s="953"/>
      <c r="QKY175" s="953"/>
      <c r="QKZ175" s="953"/>
      <c r="QLA175" s="953"/>
      <c r="QLB175" s="953"/>
      <c r="QLC175" s="953"/>
      <c r="QLD175" s="953"/>
      <c r="QLE175" s="953"/>
      <c r="QLF175" s="953"/>
      <c r="QLG175" s="953"/>
      <c r="QLH175" s="953"/>
      <c r="QLI175" s="953"/>
      <c r="QLJ175" s="953"/>
      <c r="QLK175" s="953"/>
      <c r="QLL175" s="953"/>
      <c r="QLM175" s="953"/>
      <c r="QLN175" s="953"/>
      <c r="QLO175" s="953"/>
      <c r="QLP175" s="953"/>
      <c r="QLQ175" s="953"/>
      <c r="QLR175" s="953"/>
      <c r="QLS175" s="953"/>
      <c r="QLT175" s="953"/>
      <c r="QLU175" s="953"/>
      <c r="QLV175" s="953"/>
      <c r="QLW175" s="953"/>
      <c r="QLX175" s="953"/>
      <c r="QLY175" s="953"/>
      <c r="QLZ175" s="953"/>
      <c r="QMA175" s="953"/>
      <c r="QMB175" s="953"/>
      <c r="QMC175" s="953"/>
      <c r="QMD175" s="953"/>
      <c r="QME175" s="953"/>
      <c r="QMF175" s="953"/>
      <c r="QMG175" s="953"/>
      <c r="QMH175" s="953"/>
      <c r="QMI175" s="953"/>
      <c r="QMJ175" s="953"/>
      <c r="QMK175" s="953"/>
      <c r="QML175" s="953"/>
      <c r="QMM175" s="953"/>
      <c r="QMN175" s="953"/>
      <c r="QMO175" s="953"/>
      <c r="QMP175" s="953"/>
      <c r="QMQ175" s="953"/>
      <c r="QMR175" s="953"/>
      <c r="QMS175" s="953"/>
      <c r="QMT175" s="953"/>
      <c r="QMU175" s="953"/>
      <c r="QMV175" s="953"/>
      <c r="QMW175" s="953"/>
      <c r="QMX175" s="953"/>
      <c r="QMY175" s="953"/>
      <c r="QMZ175" s="953"/>
      <c r="QNA175" s="953"/>
      <c r="QNB175" s="953"/>
      <c r="QNC175" s="953"/>
      <c r="QND175" s="953"/>
      <c r="QNE175" s="953"/>
      <c r="QNF175" s="953"/>
      <c r="QNG175" s="953"/>
      <c r="QNH175" s="953"/>
      <c r="QNI175" s="953"/>
      <c r="QNJ175" s="953"/>
      <c r="QNK175" s="953"/>
      <c r="QNL175" s="953"/>
      <c r="QNM175" s="953"/>
      <c r="QNN175" s="953"/>
      <c r="QNO175" s="953"/>
      <c r="QNP175" s="953"/>
      <c r="QNQ175" s="953"/>
      <c r="QNR175" s="953"/>
      <c r="QNS175" s="953"/>
      <c r="QNT175" s="953"/>
      <c r="QNU175" s="953"/>
      <c r="QNV175" s="953"/>
      <c r="QNW175" s="953"/>
      <c r="QNX175" s="953"/>
      <c r="QNY175" s="953"/>
      <c r="QNZ175" s="953"/>
      <c r="QOA175" s="953"/>
      <c r="QOB175" s="953"/>
      <c r="QOC175" s="953"/>
      <c r="QOD175" s="953"/>
      <c r="QOE175" s="953"/>
      <c r="QOF175" s="953"/>
      <c r="QOG175" s="953"/>
      <c r="QOH175" s="953"/>
      <c r="QOI175" s="953"/>
      <c r="QOJ175" s="953"/>
      <c r="QOK175" s="953"/>
      <c r="QOL175" s="953"/>
      <c r="QOM175" s="953"/>
      <c r="QON175" s="953"/>
      <c r="QOO175" s="953"/>
      <c r="QOP175" s="953"/>
      <c r="QOQ175" s="953"/>
      <c r="QOR175" s="953"/>
      <c r="QOS175" s="953"/>
      <c r="QOT175" s="953"/>
      <c r="QOU175" s="953"/>
      <c r="QOV175" s="953"/>
      <c r="QOW175" s="953"/>
      <c r="QOX175" s="953"/>
      <c r="QOY175" s="953"/>
      <c r="QOZ175" s="953"/>
      <c r="QPA175" s="953"/>
      <c r="QPB175" s="953"/>
      <c r="QPC175" s="953"/>
      <c r="QPD175" s="953"/>
      <c r="QPE175" s="953"/>
      <c r="QPF175" s="953"/>
      <c r="QPG175" s="953"/>
      <c r="QPH175" s="953"/>
      <c r="QPI175" s="953"/>
      <c r="QPJ175" s="953"/>
      <c r="QPK175" s="953"/>
      <c r="QPL175" s="953"/>
      <c r="QPM175" s="953"/>
      <c r="QPN175" s="953"/>
      <c r="QPO175" s="953"/>
      <c r="QPP175" s="953"/>
      <c r="QPQ175" s="953"/>
      <c r="QPR175" s="953"/>
      <c r="QPS175" s="953"/>
      <c r="QPT175" s="953"/>
      <c r="QPU175" s="953"/>
      <c r="QPV175" s="953"/>
      <c r="QPW175" s="953"/>
      <c r="QPX175" s="953"/>
      <c r="QPY175" s="953"/>
      <c r="QPZ175" s="953"/>
      <c r="QQA175" s="953"/>
      <c r="QQB175" s="953"/>
      <c r="QQC175" s="953"/>
      <c r="QQD175" s="953"/>
      <c r="QQE175" s="953"/>
      <c r="QQF175" s="953"/>
      <c r="QQG175" s="953"/>
      <c r="QQH175" s="953"/>
      <c r="QQI175" s="953"/>
      <c r="QQJ175" s="953"/>
      <c r="QQK175" s="953"/>
      <c r="QQL175" s="953"/>
      <c r="QQM175" s="953"/>
      <c r="QQN175" s="953"/>
      <c r="QQO175" s="953"/>
      <c r="QQP175" s="953"/>
      <c r="QQQ175" s="953"/>
      <c r="QQR175" s="953"/>
      <c r="QQS175" s="953"/>
      <c r="QQT175" s="953"/>
      <c r="QQU175" s="953"/>
      <c r="QQV175" s="953"/>
      <c r="QQW175" s="953"/>
      <c r="QQX175" s="953"/>
      <c r="QQY175" s="953"/>
      <c r="QQZ175" s="953"/>
      <c r="QRA175" s="953"/>
      <c r="QRB175" s="953"/>
      <c r="QRC175" s="953"/>
      <c r="QRD175" s="953"/>
      <c r="QRE175" s="953"/>
      <c r="QRF175" s="953"/>
      <c r="QRG175" s="953"/>
      <c r="QRH175" s="953"/>
      <c r="QRI175" s="953"/>
      <c r="QRJ175" s="953"/>
      <c r="QRK175" s="953"/>
      <c r="QRL175" s="953"/>
      <c r="QRM175" s="953"/>
      <c r="QRN175" s="953"/>
      <c r="QRO175" s="953"/>
      <c r="QRP175" s="953"/>
      <c r="QRQ175" s="953"/>
      <c r="QRR175" s="953"/>
      <c r="QRS175" s="953"/>
      <c r="QRT175" s="953"/>
      <c r="QRU175" s="953"/>
      <c r="QRV175" s="953"/>
      <c r="QRW175" s="953"/>
      <c r="QRX175" s="953"/>
      <c r="QRY175" s="953"/>
      <c r="QRZ175" s="953"/>
      <c r="QSA175" s="953"/>
      <c r="QSB175" s="953"/>
      <c r="QSC175" s="953"/>
      <c r="QSD175" s="953"/>
      <c r="QSE175" s="953"/>
      <c r="QSF175" s="953"/>
      <c r="QSG175" s="953"/>
      <c r="QSH175" s="953"/>
      <c r="QSI175" s="953"/>
      <c r="QSJ175" s="953"/>
      <c r="QSK175" s="953"/>
      <c r="QSL175" s="953"/>
      <c r="QSM175" s="953"/>
      <c r="QSN175" s="953"/>
      <c r="QSO175" s="953"/>
      <c r="QSP175" s="953"/>
      <c r="QSQ175" s="953"/>
      <c r="QSR175" s="953"/>
      <c r="QSS175" s="953"/>
      <c r="QST175" s="953"/>
      <c r="QSU175" s="953"/>
      <c r="QSV175" s="953"/>
      <c r="QSW175" s="953"/>
      <c r="QSX175" s="953"/>
      <c r="QSY175" s="953"/>
      <c r="QSZ175" s="953"/>
      <c r="QTA175" s="953"/>
      <c r="QTB175" s="953"/>
      <c r="QTC175" s="953"/>
      <c r="QTD175" s="953"/>
      <c r="QTE175" s="953"/>
      <c r="QTF175" s="953"/>
      <c r="QTG175" s="953"/>
      <c r="QTH175" s="953"/>
      <c r="QTI175" s="953"/>
      <c r="QTJ175" s="953"/>
      <c r="QTK175" s="953"/>
      <c r="QTL175" s="953"/>
      <c r="QTM175" s="953"/>
      <c r="QTN175" s="953"/>
      <c r="QTO175" s="953"/>
      <c r="QTP175" s="953"/>
      <c r="QTQ175" s="953"/>
      <c r="QTR175" s="953"/>
      <c r="QTS175" s="953"/>
      <c r="QTT175" s="953"/>
      <c r="QTU175" s="953"/>
      <c r="QTV175" s="953"/>
      <c r="QTW175" s="953"/>
      <c r="QTX175" s="953"/>
      <c r="QTY175" s="953"/>
      <c r="QTZ175" s="953"/>
      <c r="QUA175" s="953"/>
      <c r="QUB175" s="953"/>
      <c r="QUC175" s="953"/>
      <c r="QUD175" s="953"/>
      <c r="QUE175" s="953"/>
      <c r="QUF175" s="953"/>
      <c r="QUG175" s="953"/>
      <c r="QUH175" s="953"/>
      <c r="QUI175" s="953"/>
      <c r="QUJ175" s="953"/>
      <c r="QUK175" s="953"/>
      <c r="QUL175" s="953"/>
      <c r="QUM175" s="953"/>
      <c r="QUN175" s="953"/>
      <c r="QUO175" s="953"/>
      <c r="QUP175" s="953"/>
      <c r="QUQ175" s="953"/>
      <c r="QUR175" s="953"/>
      <c r="QUS175" s="953"/>
      <c r="QUT175" s="953"/>
      <c r="QUU175" s="953"/>
      <c r="QUV175" s="953"/>
      <c r="QUW175" s="953"/>
      <c r="QUX175" s="953"/>
      <c r="QUY175" s="953"/>
      <c r="QUZ175" s="953"/>
      <c r="QVA175" s="953"/>
      <c r="QVB175" s="953"/>
      <c r="QVC175" s="953"/>
      <c r="QVD175" s="953"/>
      <c r="QVE175" s="953"/>
      <c r="QVF175" s="953"/>
      <c r="QVG175" s="953"/>
      <c r="QVH175" s="953"/>
      <c r="QVI175" s="953"/>
      <c r="QVJ175" s="953"/>
      <c r="QVK175" s="953"/>
      <c r="QVL175" s="953"/>
      <c r="QVM175" s="953"/>
      <c r="QVN175" s="953"/>
      <c r="QVO175" s="953"/>
      <c r="QVP175" s="953"/>
      <c r="QVQ175" s="953"/>
      <c r="QVR175" s="953"/>
      <c r="QVS175" s="953"/>
      <c r="QVT175" s="953"/>
      <c r="QVU175" s="953"/>
      <c r="QVV175" s="953"/>
      <c r="QVW175" s="953"/>
      <c r="QVX175" s="953"/>
      <c r="QVY175" s="953"/>
      <c r="QVZ175" s="953"/>
      <c r="QWA175" s="953"/>
      <c r="QWB175" s="953"/>
      <c r="QWC175" s="953"/>
      <c r="QWD175" s="953"/>
      <c r="QWE175" s="953"/>
      <c r="QWF175" s="953"/>
      <c r="QWG175" s="953"/>
      <c r="QWH175" s="953"/>
      <c r="QWI175" s="953"/>
      <c r="QWJ175" s="953"/>
      <c r="QWK175" s="953"/>
      <c r="QWL175" s="953"/>
      <c r="QWM175" s="953"/>
      <c r="QWN175" s="953"/>
      <c r="QWO175" s="953"/>
      <c r="QWP175" s="953"/>
      <c r="QWQ175" s="953"/>
      <c r="QWR175" s="953"/>
      <c r="QWS175" s="953"/>
      <c r="QWT175" s="953"/>
      <c r="QWU175" s="953"/>
      <c r="QWV175" s="953"/>
      <c r="QWW175" s="953"/>
      <c r="QWX175" s="953"/>
      <c r="QWY175" s="953"/>
      <c r="QWZ175" s="953"/>
      <c r="QXA175" s="953"/>
      <c r="QXB175" s="953"/>
      <c r="QXC175" s="953"/>
      <c r="QXD175" s="953"/>
      <c r="QXE175" s="953"/>
      <c r="QXF175" s="953"/>
      <c r="QXG175" s="953"/>
      <c r="QXH175" s="953"/>
      <c r="QXI175" s="953"/>
      <c r="QXJ175" s="953"/>
      <c r="QXK175" s="953"/>
      <c r="QXL175" s="953"/>
      <c r="QXM175" s="953"/>
      <c r="QXN175" s="953"/>
      <c r="QXO175" s="953"/>
      <c r="QXP175" s="953"/>
      <c r="QXQ175" s="953"/>
      <c r="QXR175" s="953"/>
      <c r="QXS175" s="953"/>
      <c r="QXT175" s="953"/>
      <c r="QXU175" s="953"/>
      <c r="QXV175" s="953"/>
      <c r="QXW175" s="953"/>
      <c r="QXX175" s="953"/>
      <c r="QXY175" s="953"/>
      <c r="QXZ175" s="953"/>
      <c r="QYA175" s="953"/>
      <c r="QYB175" s="953"/>
      <c r="QYC175" s="953"/>
      <c r="QYD175" s="953"/>
      <c r="QYE175" s="953"/>
      <c r="QYF175" s="953"/>
      <c r="QYG175" s="953"/>
      <c r="QYH175" s="953"/>
      <c r="QYI175" s="953"/>
      <c r="QYJ175" s="953"/>
      <c r="QYK175" s="953"/>
      <c r="QYL175" s="953"/>
      <c r="QYM175" s="953"/>
      <c r="QYN175" s="953"/>
      <c r="QYO175" s="953"/>
      <c r="QYP175" s="953"/>
      <c r="QYQ175" s="953"/>
      <c r="QYR175" s="953"/>
      <c r="QYS175" s="953"/>
      <c r="QYT175" s="953"/>
      <c r="QYU175" s="953"/>
      <c r="QYV175" s="953"/>
      <c r="QYW175" s="953"/>
      <c r="QYX175" s="953"/>
      <c r="QYY175" s="953"/>
      <c r="QYZ175" s="953"/>
      <c r="QZA175" s="953"/>
      <c r="QZB175" s="953"/>
      <c r="QZC175" s="953"/>
      <c r="QZD175" s="953"/>
      <c r="QZE175" s="953"/>
      <c r="QZF175" s="953"/>
      <c r="QZG175" s="953"/>
      <c r="QZH175" s="953"/>
      <c r="QZI175" s="953"/>
      <c r="QZJ175" s="953"/>
      <c r="QZK175" s="953"/>
      <c r="QZL175" s="953"/>
      <c r="QZM175" s="953"/>
      <c r="QZN175" s="953"/>
      <c r="QZO175" s="953"/>
      <c r="QZP175" s="953"/>
      <c r="QZQ175" s="953"/>
      <c r="QZR175" s="953"/>
      <c r="QZS175" s="953"/>
      <c r="QZT175" s="953"/>
      <c r="QZU175" s="953"/>
      <c r="QZV175" s="953"/>
      <c r="QZW175" s="953"/>
      <c r="QZX175" s="953"/>
      <c r="QZY175" s="953"/>
      <c r="QZZ175" s="953"/>
      <c r="RAA175" s="953"/>
      <c r="RAB175" s="953"/>
      <c r="RAC175" s="953"/>
      <c r="RAD175" s="953"/>
      <c r="RAE175" s="953"/>
      <c r="RAF175" s="953"/>
      <c r="RAG175" s="953"/>
      <c r="RAH175" s="953"/>
      <c r="RAI175" s="953"/>
      <c r="RAJ175" s="953"/>
      <c r="RAK175" s="953"/>
      <c r="RAL175" s="953"/>
      <c r="RAM175" s="953"/>
      <c r="RAN175" s="953"/>
      <c r="RAO175" s="953"/>
      <c r="RAP175" s="953"/>
      <c r="RAQ175" s="953"/>
      <c r="RAR175" s="953"/>
      <c r="RAS175" s="953"/>
      <c r="RAT175" s="953"/>
      <c r="RAU175" s="953"/>
      <c r="RAV175" s="953"/>
      <c r="RAW175" s="953"/>
      <c r="RAX175" s="953"/>
      <c r="RAY175" s="953"/>
      <c r="RAZ175" s="953"/>
      <c r="RBA175" s="953"/>
      <c r="RBB175" s="953"/>
      <c r="RBC175" s="953"/>
      <c r="RBD175" s="953"/>
      <c r="RBE175" s="953"/>
      <c r="RBF175" s="953"/>
      <c r="RBG175" s="953"/>
      <c r="RBH175" s="953"/>
      <c r="RBI175" s="953"/>
      <c r="RBJ175" s="953"/>
      <c r="RBK175" s="953"/>
      <c r="RBL175" s="953"/>
      <c r="RBM175" s="953"/>
      <c r="RBN175" s="953"/>
      <c r="RBO175" s="953"/>
      <c r="RBP175" s="953"/>
      <c r="RBQ175" s="953"/>
      <c r="RBR175" s="953"/>
      <c r="RBS175" s="953"/>
      <c r="RBT175" s="953"/>
      <c r="RBU175" s="953"/>
      <c r="RBV175" s="953"/>
      <c r="RBW175" s="953"/>
      <c r="RBX175" s="953"/>
      <c r="RBY175" s="953"/>
      <c r="RBZ175" s="953"/>
      <c r="RCA175" s="953"/>
      <c r="RCB175" s="953"/>
      <c r="RCC175" s="953"/>
      <c r="RCD175" s="953"/>
      <c r="RCE175" s="953"/>
      <c r="RCF175" s="953"/>
      <c r="RCG175" s="953"/>
      <c r="RCH175" s="953"/>
      <c r="RCI175" s="953"/>
      <c r="RCJ175" s="953"/>
      <c r="RCK175" s="953"/>
      <c r="RCL175" s="953"/>
      <c r="RCM175" s="953"/>
      <c r="RCN175" s="953"/>
      <c r="RCO175" s="953"/>
      <c r="RCP175" s="953"/>
      <c r="RCQ175" s="953"/>
      <c r="RCR175" s="953"/>
      <c r="RCS175" s="953"/>
      <c r="RCT175" s="953"/>
      <c r="RCU175" s="953"/>
      <c r="RCV175" s="953"/>
      <c r="RCW175" s="953"/>
      <c r="RCX175" s="953"/>
      <c r="RCY175" s="953"/>
      <c r="RCZ175" s="953"/>
      <c r="RDA175" s="953"/>
      <c r="RDB175" s="953"/>
      <c r="RDC175" s="953"/>
      <c r="RDD175" s="953"/>
      <c r="RDE175" s="953"/>
      <c r="RDF175" s="953"/>
      <c r="RDG175" s="953"/>
      <c r="RDH175" s="953"/>
      <c r="RDI175" s="953"/>
      <c r="RDJ175" s="953"/>
      <c r="RDK175" s="953"/>
      <c r="RDL175" s="953"/>
      <c r="RDM175" s="953"/>
      <c r="RDN175" s="953"/>
      <c r="RDO175" s="953"/>
      <c r="RDP175" s="953"/>
      <c r="RDQ175" s="953"/>
      <c r="RDR175" s="953"/>
      <c r="RDS175" s="953"/>
      <c r="RDT175" s="953"/>
      <c r="RDU175" s="953"/>
      <c r="RDV175" s="953"/>
      <c r="RDW175" s="953"/>
      <c r="RDX175" s="953"/>
      <c r="RDY175" s="953"/>
      <c r="RDZ175" s="953"/>
      <c r="REA175" s="953"/>
      <c r="REB175" s="953"/>
      <c r="REC175" s="953"/>
      <c r="RED175" s="953"/>
      <c r="REE175" s="953"/>
      <c r="REF175" s="953"/>
      <c r="REG175" s="953"/>
      <c r="REH175" s="953"/>
      <c r="REI175" s="953"/>
      <c r="REJ175" s="953"/>
      <c r="REK175" s="953"/>
      <c r="REL175" s="953"/>
      <c r="REM175" s="953"/>
      <c r="REN175" s="953"/>
      <c r="REO175" s="953"/>
      <c r="REP175" s="953"/>
      <c r="REQ175" s="953"/>
      <c r="RER175" s="953"/>
      <c r="RES175" s="953"/>
      <c r="RET175" s="953"/>
      <c r="REU175" s="953"/>
      <c r="REV175" s="953"/>
      <c r="REW175" s="953"/>
      <c r="REX175" s="953"/>
      <c r="REY175" s="953"/>
      <c r="REZ175" s="953"/>
      <c r="RFA175" s="953"/>
      <c r="RFB175" s="953"/>
      <c r="RFC175" s="953"/>
      <c r="RFD175" s="953"/>
      <c r="RFE175" s="953"/>
      <c r="RFF175" s="953"/>
      <c r="RFG175" s="953"/>
      <c r="RFH175" s="953"/>
      <c r="RFI175" s="953"/>
      <c r="RFJ175" s="953"/>
      <c r="RFK175" s="953"/>
      <c r="RFL175" s="953"/>
      <c r="RFM175" s="953"/>
      <c r="RFN175" s="953"/>
      <c r="RFO175" s="953"/>
      <c r="RFP175" s="953"/>
      <c r="RFQ175" s="953"/>
      <c r="RFR175" s="953"/>
      <c r="RFS175" s="953"/>
      <c r="RFT175" s="953"/>
      <c r="RFU175" s="953"/>
      <c r="RFV175" s="953"/>
      <c r="RFW175" s="953"/>
      <c r="RFX175" s="953"/>
      <c r="RFY175" s="953"/>
      <c r="RFZ175" s="953"/>
      <c r="RGA175" s="953"/>
      <c r="RGB175" s="953"/>
      <c r="RGC175" s="953"/>
      <c r="RGD175" s="953"/>
      <c r="RGE175" s="953"/>
      <c r="RGF175" s="953"/>
      <c r="RGG175" s="953"/>
      <c r="RGH175" s="953"/>
      <c r="RGI175" s="953"/>
      <c r="RGJ175" s="953"/>
      <c r="RGK175" s="953"/>
      <c r="RGL175" s="953"/>
      <c r="RGM175" s="953"/>
      <c r="RGN175" s="953"/>
      <c r="RGO175" s="953"/>
      <c r="RGP175" s="953"/>
      <c r="RGQ175" s="953"/>
      <c r="RGR175" s="953"/>
      <c r="RGS175" s="953"/>
      <c r="RGT175" s="953"/>
      <c r="RGU175" s="953"/>
      <c r="RGV175" s="953"/>
      <c r="RGW175" s="953"/>
      <c r="RGX175" s="953"/>
      <c r="RGY175" s="953"/>
      <c r="RGZ175" s="953"/>
      <c r="RHA175" s="953"/>
      <c r="RHB175" s="953"/>
      <c r="RHC175" s="953"/>
      <c r="RHD175" s="953"/>
      <c r="RHE175" s="953"/>
      <c r="RHF175" s="953"/>
      <c r="RHG175" s="953"/>
      <c r="RHH175" s="953"/>
      <c r="RHI175" s="953"/>
      <c r="RHJ175" s="953"/>
      <c r="RHK175" s="953"/>
      <c r="RHL175" s="953"/>
      <c r="RHM175" s="953"/>
      <c r="RHN175" s="953"/>
      <c r="RHO175" s="953"/>
      <c r="RHP175" s="953"/>
      <c r="RHQ175" s="953"/>
      <c r="RHR175" s="953"/>
      <c r="RHS175" s="953"/>
      <c r="RHT175" s="953"/>
      <c r="RHU175" s="953"/>
      <c r="RHV175" s="953"/>
      <c r="RHW175" s="953"/>
      <c r="RHX175" s="953"/>
      <c r="RHY175" s="953"/>
      <c r="RHZ175" s="953"/>
      <c r="RIA175" s="953"/>
      <c r="RIB175" s="953"/>
      <c r="RIC175" s="953"/>
      <c r="RID175" s="953"/>
      <c r="RIE175" s="953"/>
      <c r="RIF175" s="953"/>
      <c r="RIG175" s="953"/>
      <c r="RIH175" s="953"/>
      <c r="RII175" s="953"/>
      <c r="RIJ175" s="953"/>
      <c r="RIK175" s="953"/>
      <c r="RIL175" s="953"/>
      <c r="RIM175" s="953"/>
      <c r="RIN175" s="953"/>
      <c r="RIO175" s="953"/>
      <c r="RIP175" s="953"/>
      <c r="RIQ175" s="953"/>
      <c r="RIR175" s="953"/>
      <c r="RIS175" s="953"/>
      <c r="RIT175" s="953"/>
      <c r="RIU175" s="953"/>
      <c r="RIV175" s="953"/>
      <c r="RIW175" s="953"/>
      <c r="RIX175" s="953"/>
      <c r="RIY175" s="953"/>
      <c r="RIZ175" s="953"/>
      <c r="RJA175" s="953"/>
      <c r="RJB175" s="953"/>
      <c r="RJC175" s="953"/>
      <c r="RJD175" s="953"/>
      <c r="RJE175" s="953"/>
      <c r="RJF175" s="953"/>
      <c r="RJG175" s="953"/>
      <c r="RJH175" s="953"/>
      <c r="RJI175" s="953"/>
      <c r="RJJ175" s="953"/>
      <c r="RJK175" s="953"/>
      <c r="RJL175" s="953"/>
      <c r="RJM175" s="953"/>
      <c r="RJN175" s="953"/>
      <c r="RJO175" s="953"/>
      <c r="RJP175" s="953"/>
      <c r="RJQ175" s="953"/>
      <c r="RJR175" s="953"/>
      <c r="RJS175" s="953"/>
      <c r="RJT175" s="953"/>
      <c r="RJU175" s="953"/>
      <c r="RJV175" s="953"/>
      <c r="RJW175" s="953"/>
      <c r="RJX175" s="953"/>
      <c r="RJY175" s="953"/>
      <c r="RJZ175" s="953"/>
      <c r="RKA175" s="953"/>
      <c r="RKB175" s="953"/>
      <c r="RKC175" s="953"/>
      <c r="RKD175" s="953"/>
      <c r="RKE175" s="953"/>
      <c r="RKF175" s="953"/>
      <c r="RKG175" s="953"/>
      <c r="RKH175" s="953"/>
      <c r="RKI175" s="953"/>
      <c r="RKJ175" s="953"/>
      <c r="RKK175" s="953"/>
      <c r="RKL175" s="953"/>
      <c r="RKM175" s="953"/>
      <c r="RKN175" s="953"/>
      <c r="RKO175" s="953"/>
      <c r="RKP175" s="953"/>
      <c r="RKQ175" s="953"/>
      <c r="RKR175" s="953"/>
      <c r="RKS175" s="953"/>
      <c r="RKT175" s="953"/>
      <c r="RKU175" s="953"/>
      <c r="RKV175" s="953"/>
      <c r="RKW175" s="953"/>
      <c r="RKX175" s="953"/>
      <c r="RKY175" s="953"/>
      <c r="RKZ175" s="953"/>
      <c r="RLA175" s="953"/>
      <c r="RLB175" s="953"/>
      <c r="RLC175" s="953"/>
      <c r="RLD175" s="953"/>
      <c r="RLE175" s="953"/>
      <c r="RLF175" s="953"/>
      <c r="RLG175" s="953"/>
      <c r="RLH175" s="953"/>
      <c r="RLI175" s="953"/>
      <c r="RLJ175" s="953"/>
      <c r="RLK175" s="953"/>
      <c r="RLL175" s="953"/>
      <c r="RLM175" s="953"/>
      <c r="RLN175" s="953"/>
      <c r="RLO175" s="953"/>
      <c r="RLP175" s="953"/>
      <c r="RLQ175" s="953"/>
      <c r="RLR175" s="953"/>
      <c r="RLS175" s="953"/>
      <c r="RLT175" s="953"/>
      <c r="RLU175" s="953"/>
      <c r="RLV175" s="953"/>
      <c r="RLW175" s="953"/>
      <c r="RLX175" s="953"/>
      <c r="RLY175" s="953"/>
      <c r="RLZ175" s="953"/>
      <c r="RMA175" s="953"/>
      <c r="RMB175" s="953"/>
      <c r="RMC175" s="953"/>
      <c r="RMD175" s="953"/>
      <c r="RME175" s="953"/>
      <c r="RMF175" s="953"/>
      <c r="RMG175" s="953"/>
      <c r="RMH175" s="953"/>
      <c r="RMI175" s="953"/>
      <c r="RMJ175" s="953"/>
      <c r="RMK175" s="953"/>
      <c r="RML175" s="953"/>
      <c r="RMM175" s="953"/>
      <c r="RMN175" s="953"/>
      <c r="RMO175" s="953"/>
      <c r="RMP175" s="953"/>
      <c r="RMQ175" s="953"/>
      <c r="RMR175" s="953"/>
      <c r="RMS175" s="953"/>
      <c r="RMT175" s="953"/>
      <c r="RMU175" s="953"/>
      <c r="RMV175" s="953"/>
      <c r="RMW175" s="953"/>
      <c r="RMX175" s="953"/>
      <c r="RMY175" s="953"/>
      <c r="RMZ175" s="953"/>
      <c r="RNA175" s="953"/>
      <c r="RNB175" s="953"/>
      <c r="RNC175" s="953"/>
      <c r="RND175" s="953"/>
      <c r="RNE175" s="953"/>
      <c r="RNF175" s="953"/>
      <c r="RNG175" s="953"/>
      <c r="RNH175" s="953"/>
      <c r="RNI175" s="953"/>
      <c r="RNJ175" s="953"/>
      <c r="RNK175" s="953"/>
      <c r="RNL175" s="953"/>
      <c r="RNM175" s="953"/>
      <c r="RNN175" s="953"/>
      <c r="RNO175" s="953"/>
      <c r="RNP175" s="953"/>
      <c r="RNQ175" s="953"/>
      <c r="RNR175" s="953"/>
      <c r="RNS175" s="953"/>
      <c r="RNT175" s="953"/>
      <c r="RNU175" s="953"/>
      <c r="RNV175" s="953"/>
      <c r="RNW175" s="953"/>
      <c r="RNX175" s="953"/>
      <c r="RNY175" s="953"/>
      <c r="RNZ175" s="953"/>
      <c r="ROA175" s="953"/>
      <c r="ROB175" s="953"/>
      <c r="ROC175" s="953"/>
      <c r="ROD175" s="953"/>
      <c r="ROE175" s="953"/>
      <c r="ROF175" s="953"/>
      <c r="ROG175" s="953"/>
      <c r="ROH175" s="953"/>
      <c r="ROI175" s="953"/>
      <c r="ROJ175" s="953"/>
      <c r="ROK175" s="953"/>
      <c r="ROL175" s="953"/>
      <c r="ROM175" s="953"/>
      <c r="RON175" s="953"/>
      <c r="ROO175" s="953"/>
      <c r="ROP175" s="953"/>
      <c r="ROQ175" s="953"/>
      <c r="ROR175" s="953"/>
      <c r="ROS175" s="953"/>
      <c r="ROT175" s="953"/>
      <c r="ROU175" s="953"/>
      <c r="ROV175" s="953"/>
      <c r="ROW175" s="953"/>
      <c r="ROX175" s="953"/>
      <c r="ROY175" s="953"/>
      <c r="ROZ175" s="953"/>
      <c r="RPA175" s="953"/>
      <c r="RPB175" s="953"/>
      <c r="RPC175" s="953"/>
      <c r="RPD175" s="953"/>
      <c r="RPE175" s="953"/>
      <c r="RPF175" s="953"/>
      <c r="RPG175" s="953"/>
      <c r="RPH175" s="953"/>
      <c r="RPI175" s="953"/>
      <c r="RPJ175" s="953"/>
      <c r="RPK175" s="953"/>
      <c r="RPL175" s="953"/>
      <c r="RPM175" s="953"/>
      <c r="RPN175" s="953"/>
      <c r="RPO175" s="953"/>
      <c r="RPP175" s="953"/>
      <c r="RPQ175" s="953"/>
      <c r="RPR175" s="953"/>
      <c r="RPS175" s="953"/>
      <c r="RPT175" s="953"/>
      <c r="RPU175" s="953"/>
      <c r="RPV175" s="953"/>
      <c r="RPW175" s="953"/>
      <c r="RPX175" s="953"/>
      <c r="RPY175" s="953"/>
      <c r="RPZ175" s="953"/>
      <c r="RQA175" s="953"/>
      <c r="RQB175" s="953"/>
      <c r="RQC175" s="953"/>
      <c r="RQD175" s="953"/>
      <c r="RQE175" s="953"/>
      <c r="RQF175" s="953"/>
      <c r="RQG175" s="953"/>
      <c r="RQH175" s="953"/>
      <c r="RQI175" s="953"/>
      <c r="RQJ175" s="953"/>
      <c r="RQK175" s="953"/>
      <c r="RQL175" s="953"/>
      <c r="RQM175" s="953"/>
      <c r="RQN175" s="953"/>
      <c r="RQO175" s="953"/>
      <c r="RQP175" s="953"/>
      <c r="RQQ175" s="953"/>
      <c r="RQR175" s="953"/>
      <c r="RQS175" s="953"/>
      <c r="RQT175" s="953"/>
      <c r="RQU175" s="953"/>
      <c r="RQV175" s="953"/>
      <c r="RQW175" s="953"/>
      <c r="RQX175" s="953"/>
      <c r="RQY175" s="953"/>
      <c r="RQZ175" s="953"/>
      <c r="RRA175" s="953"/>
      <c r="RRB175" s="953"/>
      <c r="RRC175" s="953"/>
      <c r="RRD175" s="953"/>
      <c r="RRE175" s="953"/>
      <c r="RRF175" s="953"/>
      <c r="RRG175" s="953"/>
      <c r="RRH175" s="953"/>
      <c r="RRI175" s="953"/>
      <c r="RRJ175" s="953"/>
      <c r="RRK175" s="953"/>
      <c r="RRL175" s="953"/>
      <c r="RRM175" s="953"/>
      <c r="RRN175" s="953"/>
      <c r="RRO175" s="953"/>
      <c r="RRP175" s="953"/>
      <c r="RRQ175" s="953"/>
      <c r="RRR175" s="953"/>
      <c r="RRS175" s="953"/>
      <c r="RRT175" s="953"/>
      <c r="RRU175" s="953"/>
      <c r="RRV175" s="953"/>
      <c r="RRW175" s="953"/>
      <c r="RRX175" s="953"/>
      <c r="RRY175" s="953"/>
      <c r="RRZ175" s="953"/>
      <c r="RSA175" s="953"/>
      <c r="RSB175" s="953"/>
      <c r="RSC175" s="953"/>
      <c r="RSD175" s="953"/>
      <c r="RSE175" s="953"/>
      <c r="RSF175" s="953"/>
      <c r="RSG175" s="953"/>
      <c r="RSH175" s="953"/>
      <c r="RSI175" s="953"/>
      <c r="RSJ175" s="953"/>
      <c r="RSK175" s="953"/>
      <c r="RSL175" s="953"/>
      <c r="RSM175" s="953"/>
      <c r="RSN175" s="953"/>
      <c r="RSO175" s="953"/>
      <c r="RSP175" s="953"/>
      <c r="RSQ175" s="953"/>
      <c r="RSR175" s="953"/>
      <c r="RSS175" s="953"/>
      <c r="RST175" s="953"/>
      <c r="RSU175" s="953"/>
      <c r="RSV175" s="953"/>
      <c r="RSW175" s="953"/>
      <c r="RSX175" s="953"/>
      <c r="RSY175" s="953"/>
      <c r="RSZ175" s="953"/>
      <c r="RTA175" s="953"/>
      <c r="RTB175" s="953"/>
      <c r="RTC175" s="953"/>
      <c r="RTD175" s="953"/>
      <c r="RTE175" s="953"/>
      <c r="RTF175" s="953"/>
      <c r="RTG175" s="953"/>
      <c r="RTH175" s="953"/>
      <c r="RTI175" s="953"/>
      <c r="RTJ175" s="953"/>
      <c r="RTK175" s="953"/>
      <c r="RTL175" s="953"/>
      <c r="RTM175" s="953"/>
      <c r="RTN175" s="953"/>
      <c r="RTO175" s="953"/>
      <c r="RTP175" s="953"/>
      <c r="RTQ175" s="953"/>
      <c r="RTR175" s="953"/>
      <c r="RTS175" s="953"/>
      <c r="RTT175" s="953"/>
      <c r="RTU175" s="953"/>
      <c r="RTV175" s="953"/>
      <c r="RTW175" s="953"/>
      <c r="RTX175" s="953"/>
      <c r="RTY175" s="953"/>
      <c r="RTZ175" s="953"/>
      <c r="RUA175" s="953"/>
      <c r="RUB175" s="953"/>
      <c r="RUC175" s="953"/>
      <c r="RUD175" s="953"/>
      <c r="RUE175" s="953"/>
      <c r="RUF175" s="953"/>
      <c r="RUG175" s="953"/>
      <c r="RUH175" s="953"/>
      <c r="RUI175" s="953"/>
      <c r="RUJ175" s="953"/>
      <c r="RUK175" s="953"/>
      <c r="RUL175" s="953"/>
      <c r="RUM175" s="953"/>
      <c r="RUN175" s="953"/>
      <c r="RUO175" s="953"/>
      <c r="RUP175" s="953"/>
      <c r="RUQ175" s="953"/>
      <c r="RUR175" s="953"/>
      <c r="RUS175" s="953"/>
      <c r="RUT175" s="953"/>
      <c r="RUU175" s="953"/>
      <c r="RUV175" s="953"/>
      <c r="RUW175" s="953"/>
      <c r="RUX175" s="953"/>
      <c r="RUY175" s="953"/>
      <c r="RUZ175" s="953"/>
      <c r="RVA175" s="953"/>
      <c r="RVB175" s="953"/>
      <c r="RVC175" s="953"/>
      <c r="RVD175" s="953"/>
      <c r="RVE175" s="953"/>
      <c r="RVF175" s="953"/>
      <c r="RVG175" s="953"/>
      <c r="RVH175" s="953"/>
      <c r="RVI175" s="953"/>
      <c r="RVJ175" s="953"/>
      <c r="RVK175" s="953"/>
      <c r="RVL175" s="953"/>
      <c r="RVM175" s="953"/>
      <c r="RVN175" s="953"/>
      <c r="RVO175" s="953"/>
      <c r="RVP175" s="953"/>
      <c r="RVQ175" s="953"/>
      <c r="RVR175" s="953"/>
      <c r="RVS175" s="953"/>
      <c r="RVT175" s="953"/>
      <c r="RVU175" s="953"/>
      <c r="RVV175" s="953"/>
      <c r="RVW175" s="953"/>
      <c r="RVX175" s="953"/>
      <c r="RVY175" s="953"/>
      <c r="RVZ175" s="953"/>
      <c r="RWA175" s="953"/>
      <c r="RWB175" s="953"/>
      <c r="RWC175" s="953"/>
      <c r="RWD175" s="953"/>
      <c r="RWE175" s="953"/>
      <c r="RWF175" s="953"/>
      <c r="RWG175" s="953"/>
      <c r="RWH175" s="953"/>
      <c r="RWI175" s="953"/>
      <c r="RWJ175" s="953"/>
      <c r="RWK175" s="953"/>
      <c r="RWL175" s="953"/>
      <c r="RWM175" s="953"/>
      <c r="RWN175" s="953"/>
      <c r="RWO175" s="953"/>
      <c r="RWP175" s="953"/>
      <c r="RWQ175" s="953"/>
      <c r="RWR175" s="953"/>
      <c r="RWS175" s="953"/>
      <c r="RWT175" s="953"/>
      <c r="RWU175" s="953"/>
      <c r="RWV175" s="953"/>
      <c r="RWW175" s="953"/>
      <c r="RWX175" s="953"/>
      <c r="RWY175" s="953"/>
      <c r="RWZ175" s="953"/>
      <c r="RXA175" s="953"/>
      <c r="RXB175" s="953"/>
      <c r="RXC175" s="953"/>
      <c r="RXD175" s="953"/>
      <c r="RXE175" s="953"/>
      <c r="RXF175" s="953"/>
      <c r="RXG175" s="953"/>
      <c r="RXH175" s="953"/>
      <c r="RXI175" s="953"/>
      <c r="RXJ175" s="953"/>
      <c r="RXK175" s="953"/>
      <c r="RXL175" s="953"/>
      <c r="RXM175" s="953"/>
      <c r="RXN175" s="953"/>
      <c r="RXO175" s="953"/>
      <c r="RXP175" s="953"/>
      <c r="RXQ175" s="953"/>
      <c r="RXR175" s="953"/>
      <c r="RXS175" s="953"/>
      <c r="RXT175" s="953"/>
      <c r="RXU175" s="953"/>
      <c r="RXV175" s="953"/>
      <c r="RXW175" s="953"/>
      <c r="RXX175" s="953"/>
      <c r="RXY175" s="953"/>
      <c r="RXZ175" s="953"/>
      <c r="RYA175" s="953"/>
      <c r="RYB175" s="953"/>
      <c r="RYC175" s="953"/>
      <c r="RYD175" s="953"/>
      <c r="RYE175" s="953"/>
      <c r="RYF175" s="953"/>
      <c r="RYG175" s="953"/>
      <c r="RYH175" s="953"/>
      <c r="RYI175" s="953"/>
      <c r="RYJ175" s="953"/>
      <c r="RYK175" s="953"/>
      <c r="RYL175" s="953"/>
      <c r="RYM175" s="953"/>
      <c r="RYN175" s="953"/>
      <c r="RYO175" s="953"/>
      <c r="RYP175" s="953"/>
      <c r="RYQ175" s="953"/>
      <c r="RYR175" s="953"/>
      <c r="RYS175" s="953"/>
      <c r="RYT175" s="953"/>
      <c r="RYU175" s="953"/>
      <c r="RYV175" s="953"/>
      <c r="RYW175" s="953"/>
      <c r="RYX175" s="953"/>
      <c r="RYY175" s="953"/>
      <c r="RYZ175" s="953"/>
      <c r="RZA175" s="953"/>
      <c r="RZB175" s="953"/>
      <c r="RZC175" s="953"/>
      <c r="RZD175" s="953"/>
      <c r="RZE175" s="953"/>
      <c r="RZF175" s="953"/>
      <c r="RZG175" s="953"/>
      <c r="RZH175" s="953"/>
      <c r="RZI175" s="953"/>
      <c r="RZJ175" s="953"/>
      <c r="RZK175" s="953"/>
      <c r="RZL175" s="953"/>
      <c r="RZM175" s="953"/>
      <c r="RZN175" s="953"/>
      <c r="RZO175" s="953"/>
      <c r="RZP175" s="953"/>
      <c r="RZQ175" s="953"/>
      <c r="RZR175" s="953"/>
      <c r="RZS175" s="953"/>
      <c r="RZT175" s="953"/>
      <c r="RZU175" s="953"/>
      <c r="RZV175" s="953"/>
      <c r="RZW175" s="953"/>
      <c r="RZX175" s="953"/>
      <c r="RZY175" s="953"/>
      <c r="RZZ175" s="953"/>
      <c r="SAA175" s="953"/>
      <c r="SAB175" s="953"/>
      <c r="SAC175" s="953"/>
      <c r="SAD175" s="953"/>
      <c r="SAE175" s="953"/>
      <c r="SAF175" s="953"/>
      <c r="SAG175" s="953"/>
      <c r="SAH175" s="953"/>
      <c r="SAI175" s="953"/>
      <c r="SAJ175" s="953"/>
      <c r="SAK175" s="953"/>
      <c r="SAL175" s="953"/>
      <c r="SAM175" s="953"/>
      <c r="SAN175" s="953"/>
      <c r="SAO175" s="953"/>
      <c r="SAP175" s="953"/>
      <c r="SAQ175" s="953"/>
      <c r="SAR175" s="953"/>
      <c r="SAS175" s="953"/>
      <c r="SAT175" s="953"/>
      <c r="SAU175" s="953"/>
      <c r="SAV175" s="953"/>
      <c r="SAW175" s="953"/>
      <c r="SAX175" s="953"/>
      <c r="SAY175" s="953"/>
      <c r="SAZ175" s="953"/>
      <c r="SBA175" s="953"/>
      <c r="SBB175" s="953"/>
      <c r="SBC175" s="953"/>
      <c r="SBD175" s="953"/>
      <c r="SBE175" s="953"/>
      <c r="SBF175" s="953"/>
      <c r="SBG175" s="953"/>
      <c r="SBH175" s="953"/>
      <c r="SBI175" s="953"/>
      <c r="SBJ175" s="953"/>
      <c r="SBK175" s="953"/>
      <c r="SBL175" s="953"/>
      <c r="SBM175" s="953"/>
      <c r="SBN175" s="953"/>
      <c r="SBO175" s="953"/>
      <c r="SBP175" s="953"/>
      <c r="SBQ175" s="953"/>
      <c r="SBR175" s="953"/>
      <c r="SBS175" s="953"/>
      <c r="SBT175" s="953"/>
      <c r="SBU175" s="953"/>
      <c r="SBV175" s="953"/>
      <c r="SBW175" s="953"/>
      <c r="SBX175" s="953"/>
      <c r="SBY175" s="953"/>
      <c r="SBZ175" s="953"/>
      <c r="SCA175" s="953"/>
      <c r="SCB175" s="953"/>
      <c r="SCC175" s="953"/>
      <c r="SCD175" s="953"/>
      <c r="SCE175" s="953"/>
      <c r="SCF175" s="953"/>
      <c r="SCG175" s="953"/>
      <c r="SCH175" s="953"/>
      <c r="SCI175" s="953"/>
      <c r="SCJ175" s="953"/>
      <c r="SCK175" s="953"/>
      <c r="SCL175" s="953"/>
      <c r="SCM175" s="953"/>
      <c r="SCN175" s="953"/>
      <c r="SCO175" s="953"/>
      <c r="SCP175" s="953"/>
      <c r="SCQ175" s="953"/>
      <c r="SCR175" s="953"/>
      <c r="SCS175" s="953"/>
      <c r="SCT175" s="953"/>
      <c r="SCU175" s="953"/>
      <c r="SCV175" s="953"/>
      <c r="SCW175" s="953"/>
      <c r="SCX175" s="953"/>
      <c r="SCY175" s="953"/>
      <c r="SCZ175" s="953"/>
      <c r="SDA175" s="953"/>
      <c r="SDB175" s="953"/>
      <c r="SDC175" s="953"/>
      <c r="SDD175" s="953"/>
      <c r="SDE175" s="953"/>
      <c r="SDF175" s="953"/>
      <c r="SDG175" s="953"/>
      <c r="SDH175" s="953"/>
      <c r="SDI175" s="953"/>
      <c r="SDJ175" s="953"/>
      <c r="SDK175" s="953"/>
      <c r="SDL175" s="953"/>
      <c r="SDM175" s="953"/>
      <c r="SDN175" s="953"/>
      <c r="SDO175" s="953"/>
      <c r="SDP175" s="953"/>
      <c r="SDQ175" s="953"/>
      <c r="SDR175" s="953"/>
      <c r="SDS175" s="953"/>
      <c r="SDT175" s="953"/>
      <c r="SDU175" s="953"/>
      <c r="SDV175" s="953"/>
      <c r="SDW175" s="953"/>
      <c r="SDX175" s="953"/>
      <c r="SDY175" s="953"/>
      <c r="SDZ175" s="953"/>
      <c r="SEA175" s="953"/>
      <c r="SEB175" s="953"/>
      <c r="SEC175" s="953"/>
      <c r="SED175" s="953"/>
      <c r="SEE175" s="953"/>
      <c r="SEF175" s="953"/>
      <c r="SEG175" s="953"/>
      <c r="SEH175" s="953"/>
      <c r="SEI175" s="953"/>
      <c r="SEJ175" s="953"/>
      <c r="SEK175" s="953"/>
      <c r="SEL175" s="953"/>
      <c r="SEM175" s="953"/>
      <c r="SEN175" s="953"/>
      <c r="SEO175" s="953"/>
      <c r="SEP175" s="953"/>
      <c r="SEQ175" s="953"/>
      <c r="SER175" s="953"/>
      <c r="SES175" s="953"/>
      <c r="SET175" s="953"/>
      <c r="SEU175" s="953"/>
      <c r="SEV175" s="953"/>
      <c r="SEW175" s="953"/>
      <c r="SEX175" s="953"/>
      <c r="SEY175" s="953"/>
      <c r="SEZ175" s="953"/>
      <c r="SFA175" s="953"/>
      <c r="SFB175" s="953"/>
      <c r="SFC175" s="953"/>
      <c r="SFD175" s="953"/>
      <c r="SFE175" s="953"/>
      <c r="SFF175" s="953"/>
      <c r="SFG175" s="953"/>
      <c r="SFH175" s="953"/>
      <c r="SFI175" s="953"/>
      <c r="SFJ175" s="953"/>
      <c r="SFK175" s="953"/>
      <c r="SFL175" s="953"/>
      <c r="SFM175" s="953"/>
      <c r="SFN175" s="953"/>
      <c r="SFO175" s="953"/>
      <c r="SFP175" s="953"/>
      <c r="SFQ175" s="953"/>
      <c r="SFR175" s="953"/>
      <c r="SFS175" s="953"/>
      <c r="SFT175" s="953"/>
      <c r="SFU175" s="953"/>
      <c r="SFV175" s="953"/>
      <c r="SFW175" s="953"/>
      <c r="SFX175" s="953"/>
      <c r="SFY175" s="953"/>
      <c r="SFZ175" s="953"/>
      <c r="SGA175" s="953"/>
      <c r="SGB175" s="953"/>
      <c r="SGC175" s="953"/>
      <c r="SGD175" s="953"/>
      <c r="SGE175" s="953"/>
      <c r="SGF175" s="953"/>
      <c r="SGG175" s="953"/>
      <c r="SGH175" s="953"/>
      <c r="SGI175" s="953"/>
      <c r="SGJ175" s="953"/>
      <c r="SGK175" s="953"/>
      <c r="SGL175" s="953"/>
      <c r="SGM175" s="953"/>
      <c r="SGN175" s="953"/>
      <c r="SGO175" s="953"/>
      <c r="SGP175" s="953"/>
      <c r="SGQ175" s="953"/>
      <c r="SGR175" s="953"/>
      <c r="SGS175" s="953"/>
      <c r="SGT175" s="953"/>
      <c r="SGU175" s="953"/>
      <c r="SGV175" s="953"/>
      <c r="SGW175" s="953"/>
      <c r="SGX175" s="953"/>
      <c r="SGY175" s="953"/>
      <c r="SGZ175" s="953"/>
      <c r="SHA175" s="953"/>
      <c r="SHB175" s="953"/>
      <c r="SHC175" s="953"/>
      <c r="SHD175" s="953"/>
      <c r="SHE175" s="953"/>
      <c r="SHF175" s="953"/>
      <c r="SHG175" s="953"/>
      <c r="SHH175" s="953"/>
      <c r="SHI175" s="953"/>
      <c r="SHJ175" s="953"/>
      <c r="SHK175" s="953"/>
      <c r="SHL175" s="953"/>
      <c r="SHM175" s="953"/>
      <c r="SHN175" s="953"/>
      <c r="SHO175" s="953"/>
      <c r="SHP175" s="953"/>
      <c r="SHQ175" s="953"/>
      <c r="SHR175" s="953"/>
      <c r="SHS175" s="953"/>
      <c r="SHT175" s="953"/>
      <c r="SHU175" s="953"/>
      <c r="SHV175" s="953"/>
      <c r="SHW175" s="953"/>
      <c r="SHX175" s="953"/>
      <c r="SHY175" s="953"/>
      <c r="SHZ175" s="953"/>
      <c r="SIA175" s="953"/>
      <c r="SIB175" s="953"/>
      <c r="SIC175" s="953"/>
      <c r="SID175" s="953"/>
      <c r="SIE175" s="953"/>
      <c r="SIF175" s="953"/>
      <c r="SIG175" s="953"/>
      <c r="SIH175" s="953"/>
      <c r="SII175" s="953"/>
      <c r="SIJ175" s="953"/>
      <c r="SIK175" s="953"/>
      <c r="SIL175" s="953"/>
      <c r="SIM175" s="953"/>
      <c r="SIN175" s="953"/>
      <c r="SIO175" s="953"/>
      <c r="SIP175" s="953"/>
      <c r="SIQ175" s="953"/>
      <c r="SIR175" s="953"/>
      <c r="SIS175" s="953"/>
      <c r="SIT175" s="953"/>
      <c r="SIU175" s="953"/>
      <c r="SIV175" s="953"/>
      <c r="SIW175" s="953"/>
      <c r="SIX175" s="953"/>
      <c r="SIY175" s="953"/>
      <c r="SIZ175" s="953"/>
      <c r="SJA175" s="953"/>
      <c r="SJB175" s="953"/>
      <c r="SJC175" s="953"/>
      <c r="SJD175" s="953"/>
      <c r="SJE175" s="953"/>
      <c r="SJF175" s="953"/>
      <c r="SJG175" s="953"/>
      <c r="SJH175" s="953"/>
      <c r="SJI175" s="953"/>
      <c r="SJJ175" s="953"/>
      <c r="SJK175" s="953"/>
      <c r="SJL175" s="953"/>
      <c r="SJM175" s="953"/>
      <c r="SJN175" s="953"/>
      <c r="SJO175" s="953"/>
      <c r="SJP175" s="953"/>
      <c r="SJQ175" s="953"/>
      <c r="SJR175" s="953"/>
      <c r="SJS175" s="953"/>
      <c r="SJT175" s="953"/>
      <c r="SJU175" s="953"/>
      <c r="SJV175" s="953"/>
      <c r="SJW175" s="953"/>
      <c r="SJX175" s="953"/>
      <c r="SJY175" s="953"/>
      <c r="SJZ175" s="953"/>
      <c r="SKA175" s="953"/>
      <c r="SKB175" s="953"/>
      <c r="SKC175" s="953"/>
      <c r="SKD175" s="953"/>
      <c r="SKE175" s="953"/>
      <c r="SKF175" s="953"/>
      <c r="SKG175" s="953"/>
      <c r="SKH175" s="953"/>
      <c r="SKI175" s="953"/>
      <c r="SKJ175" s="953"/>
      <c r="SKK175" s="953"/>
      <c r="SKL175" s="953"/>
      <c r="SKM175" s="953"/>
      <c r="SKN175" s="953"/>
      <c r="SKO175" s="953"/>
      <c r="SKP175" s="953"/>
      <c r="SKQ175" s="953"/>
      <c r="SKR175" s="953"/>
      <c r="SKS175" s="953"/>
      <c r="SKT175" s="953"/>
      <c r="SKU175" s="953"/>
      <c r="SKV175" s="953"/>
      <c r="SKW175" s="953"/>
      <c r="SKX175" s="953"/>
      <c r="SKY175" s="953"/>
      <c r="SKZ175" s="953"/>
      <c r="SLA175" s="953"/>
      <c r="SLB175" s="953"/>
      <c r="SLC175" s="953"/>
      <c r="SLD175" s="953"/>
      <c r="SLE175" s="953"/>
      <c r="SLF175" s="953"/>
      <c r="SLG175" s="953"/>
      <c r="SLH175" s="953"/>
      <c r="SLI175" s="953"/>
      <c r="SLJ175" s="953"/>
      <c r="SLK175" s="953"/>
      <c r="SLL175" s="953"/>
      <c r="SLM175" s="953"/>
      <c r="SLN175" s="953"/>
      <c r="SLO175" s="953"/>
      <c r="SLP175" s="953"/>
      <c r="SLQ175" s="953"/>
      <c r="SLR175" s="953"/>
      <c r="SLS175" s="953"/>
      <c r="SLT175" s="953"/>
      <c r="SLU175" s="953"/>
      <c r="SLV175" s="953"/>
      <c r="SLW175" s="953"/>
      <c r="SLX175" s="953"/>
      <c r="SLY175" s="953"/>
      <c r="SLZ175" s="953"/>
      <c r="SMA175" s="953"/>
      <c r="SMB175" s="953"/>
      <c r="SMC175" s="953"/>
      <c r="SMD175" s="953"/>
      <c r="SME175" s="953"/>
      <c r="SMF175" s="953"/>
      <c r="SMG175" s="953"/>
      <c r="SMH175" s="953"/>
      <c r="SMI175" s="953"/>
      <c r="SMJ175" s="953"/>
      <c r="SMK175" s="953"/>
      <c r="SML175" s="953"/>
      <c r="SMM175" s="953"/>
      <c r="SMN175" s="953"/>
      <c r="SMO175" s="953"/>
      <c r="SMP175" s="953"/>
      <c r="SMQ175" s="953"/>
      <c r="SMR175" s="953"/>
      <c r="SMS175" s="953"/>
      <c r="SMT175" s="953"/>
      <c r="SMU175" s="953"/>
      <c r="SMV175" s="953"/>
      <c r="SMW175" s="953"/>
      <c r="SMX175" s="953"/>
      <c r="SMY175" s="953"/>
      <c r="SMZ175" s="953"/>
      <c r="SNA175" s="953"/>
      <c r="SNB175" s="953"/>
      <c r="SNC175" s="953"/>
      <c r="SND175" s="953"/>
      <c r="SNE175" s="953"/>
      <c r="SNF175" s="953"/>
      <c r="SNG175" s="953"/>
      <c r="SNH175" s="953"/>
      <c r="SNI175" s="953"/>
      <c r="SNJ175" s="953"/>
      <c r="SNK175" s="953"/>
      <c r="SNL175" s="953"/>
      <c r="SNM175" s="953"/>
      <c r="SNN175" s="953"/>
      <c r="SNO175" s="953"/>
      <c r="SNP175" s="953"/>
      <c r="SNQ175" s="953"/>
      <c r="SNR175" s="953"/>
      <c r="SNS175" s="953"/>
      <c r="SNT175" s="953"/>
      <c r="SNU175" s="953"/>
      <c r="SNV175" s="953"/>
      <c r="SNW175" s="953"/>
      <c r="SNX175" s="953"/>
      <c r="SNY175" s="953"/>
      <c r="SNZ175" s="953"/>
      <c r="SOA175" s="953"/>
      <c r="SOB175" s="953"/>
      <c r="SOC175" s="953"/>
      <c r="SOD175" s="953"/>
      <c r="SOE175" s="953"/>
      <c r="SOF175" s="953"/>
      <c r="SOG175" s="953"/>
      <c r="SOH175" s="953"/>
      <c r="SOI175" s="953"/>
      <c r="SOJ175" s="953"/>
      <c r="SOK175" s="953"/>
      <c r="SOL175" s="953"/>
      <c r="SOM175" s="953"/>
      <c r="SON175" s="953"/>
      <c r="SOO175" s="953"/>
      <c r="SOP175" s="953"/>
      <c r="SOQ175" s="953"/>
      <c r="SOR175" s="953"/>
      <c r="SOS175" s="953"/>
      <c r="SOT175" s="953"/>
      <c r="SOU175" s="953"/>
      <c r="SOV175" s="953"/>
      <c r="SOW175" s="953"/>
      <c r="SOX175" s="953"/>
      <c r="SOY175" s="953"/>
      <c r="SOZ175" s="953"/>
      <c r="SPA175" s="953"/>
      <c r="SPB175" s="953"/>
      <c r="SPC175" s="953"/>
      <c r="SPD175" s="953"/>
      <c r="SPE175" s="953"/>
      <c r="SPF175" s="953"/>
      <c r="SPG175" s="953"/>
      <c r="SPH175" s="953"/>
      <c r="SPI175" s="953"/>
      <c r="SPJ175" s="953"/>
      <c r="SPK175" s="953"/>
      <c r="SPL175" s="953"/>
      <c r="SPM175" s="953"/>
      <c r="SPN175" s="953"/>
      <c r="SPO175" s="953"/>
      <c r="SPP175" s="953"/>
      <c r="SPQ175" s="953"/>
      <c r="SPR175" s="953"/>
      <c r="SPS175" s="953"/>
      <c r="SPT175" s="953"/>
      <c r="SPU175" s="953"/>
      <c r="SPV175" s="953"/>
      <c r="SPW175" s="953"/>
      <c r="SPX175" s="953"/>
      <c r="SPY175" s="953"/>
      <c r="SPZ175" s="953"/>
      <c r="SQA175" s="953"/>
      <c r="SQB175" s="953"/>
      <c r="SQC175" s="953"/>
      <c r="SQD175" s="953"/>
      <c r="SQE175" s="953"/>
      <c r="SQF175" s="953"/>
      <c r="SQG175" s="953"/>
      <c r="SQH175" s="953"/>
      <c r="SQI175" s="953"/>
      <c r="SQJ175" s="953"/>
      <c r="SQK175" s="953"/>
      <c r="SQL175" s="953"/>
      <c r="SQM175" s="953"/>
      <c r="SQN175" s="953"/>
      <c r="SQO175" s="953"/>
      <c r="SQP175" s="953"/>
      <c r="SQQ175" s="953"/>
      <c r="SQR175" s="953"/>
      <c r="SQS175" s="953"/>
      <c r="SQT175" s="953"/>
      <c r="SQU175" s="953"/>
      <c r="SQV175" s="953"/>
      <c r="SQW175" s="953"/>
      <c r="SQX175" s="953"/>
      <c r="SQY175" s="953"/>
      <c r="SQZ175" s="953"/>
      <c r="SRA175" s="953"/>
      <c r="SRB175" s="953"/>
      <c r="SRC175" s="953"/>
      <c r="SRD175" s="953"/>
      <c r="SRE175" s="953"/>
      <c r="SRF175" s="953"/>
      <c r="SRG175" s="953"/>
      <c r="SRH175" s="953"/>
      <c r="SRI175" s="953"/>
      <c r="SRJ175" s="953"/>
      <c r="SRK175" s="953"/>
      <c r="SRL175" s="953"/>
      <c r="SRM175" s="953"/>
      <c r="SRN175" s="953"/>
      <c r="SRO175" s="953"/>
      <c r="SRP175" s="953"/>
      <c r="SRQ175" s="953"/>
      <c r="SRR175" s="953"/>
      <c r="SRS175" s="953"/>
      <c r="SRT175" s="953"/>
      <c r="SRU175" s="953"/>
      <c r="SRV175" s="953"/>
      <c r="SRW175" s="953"/>
      <c r="SRX175" s="953"/>
      <c r="SRY175" s="953"/>
      <c r="SRZ175" s="953"/>
      <c r="SSA175" s="953"/>
      <c r="SSB175" s="953"/>
      <c r="SSC175" s="953"/>
      <c r="SSD175" s="953"/>
      <c r="SSE175" s="953"/>
      <c r="SSF175" s="953"/>
      <c r="SSG175" s="953"/>
      <c r="SSH175" s="953"/>
      <c r="SSI175" s="953"/>
      <c r="SSJ175" s="953"/>
      <c r="SSK175" s="953"/>
      <c r="SSL175" s="953"/>
      <c r="SSM175" s="953"/>
      <c r="SSN175" s="953"/>
      <c r="SSO175" s="953"/>
      <c r="SSP175" s="953"/>
      <c r="SSQ175" s="953"/>
      <c r="SSR175" s="953"/>
      <c r="SSS175" s="953"/>
      <c r="SST175" s="953"/>
      <c r="SSU175" s="953"/>
      <c r="SSV175" s="953"/>
      <c r="SSW175" s="953"/>
      <c r="SSX175" s="953"/>
      <c r="SSY175" s="953"/>
      <c r="SSZ175" s="953"/>
      <c r="STA175" s="953"/>
      <c r="STB175" s="953"/>
      <c r="STC175" s="953"/>
      <c r="STD175" s="953"/>
      <c r="STE175" s="953"/>
      <c r="STF175" s="953"/>
      <c r="STG175" s="953"/>
      <c r="STH175" s="953"/>
      <c r="STI175" s="953"/>
      <c r="STJ175" s="953"/>
      <c r="STK175" s="953"/>
      <c r="STL175" s="953"/>
      <c r="STM175" s="953"/>
      <c r="STN175" s="953"/>
      <c r="STO175" s="953"/>
      <c r="STP175" s="953"/>
      <c r="STQ175" s="953"/>
      <c r="STR175" s="953"/>
      <c r="STS175" s="953"/>
      <c r="STT175" s="953"/>
      <c r="STU175" s="953"/>
      <c r="STV175" s="953"/>
      <c r="STW175" s="953"/>
      <c r="STX175" s="953"/>
      <c r="STY175" s="953"/>
      <c r="STZ175" s="953"/>
      <c r="SUA175" s="953"/>
      <c r="SUB175" s="953"/>
      <c r="SUC175" s="953"/>
      <c r="SUD175" s="953"/>
      <c r="SUE175" s="953"/>
      <c r="SUF175" s="953"/>
      <c r="SUG175" s="953"/>
      <c r="SUH175" s="953"/>
      <c r="SUI175" s="953"/>
      <c r="SUJ175" s="953"/>
      <c r="SUK175" s="953"/>
      <c r="SUL175" s="953"/>
      <c r="SUM175" s="953"/>
      <c r="SUN175" s="953"/>
      <c r="SUO175" s="953"/>
      <c r="SUP175" s="953"/>
      <c r="SUQ175" s="953"/>
      <c r="SUR175" s="953"/>
      <c r="SUS175" s="953"/>
      <c r="SUT175" s="953"/>
      <c r="SUU175" s="953"/>
      <c r="SUV175" s="953"/>
      <c r="SUW175" s="953"/>
      <c r="SUX175" s="953"/>
      <c r="SUY175" s="953"/>
      <c r="SUZ175" s="953"/>
      <c r="SVA175" s="953"/>
      <c r="SVB175" s="953"/>
      <c r="SVC175" s="953"/>
      <c r="SVD175" s="953"/>
      <c r="SVE175" s="953"/>
      <c r="SVF175" s="953"/>
      <c r="SVG175" s="953"/>
      <c r="SVH175" s="953"/>
      <c r="SVI175" s="953"/>
      <c r="SVJ175" s="953"/>
      <c r="SVK175" s="953"/>
      <c r="SVL175" s="953"/>
      <c r="SVM175" s="953"/>
      <c r="SVN175" s="953"/>
      <c r="SVO175" s="953"/>
      <c r="SVP175" s="953"/>
      <c r="SVQ175" s="953"/>
      <c r="SVR175" s="953"/>
      <c r="SVS175" s="953"/>
      <c r="SVT175" s="953"/>
      <c r="SVU175" s="953"/>
      <c r="SVV175" s="953"/>
      <c r="SVW175" s="953"/>
      <c r="SVX175" s="953"/>
      <c r="SVY175" s="953"/>
      <c r="SVZ175" s="953"/>
      <c r="SWA175" s="953"/>
      <c r="SWB175" s="953"/>
      <c r="SWC175" s="953"/>
      <c r="SWD175" s="953"/>
      <c r="SWE175" s="953"/>
      <c r="SWF175" s="953"/>
      <c r="SWG175" s="953"/>
      <c r="SWH175" s="953"/>
      <c r="SWI175" s="953"/>
      <c r="SWJ175" s="953"/>
      <c r="SWK175" s="953"/>
      <c r="SWL175" s="953"/>
      <c r="SWM175" s="953"/>
      <c r="SWN175" s="953"/>
      <c r="SWO175" s="953"/>
      <c r="SWP175" s="953"/>
      <c r="SWQ175" s="953"/>
      <c r="SWR175" s="953"/>
      <c r="SWS175" s="953"/>
      <c r="SWT175" s="953"/>
      <c r="SWU175" s="953"/>
      <c r="SWV175" s="953"/>
      <c r="SWW175" s="953"/>
      <c r="SWX175" s="953"/>
      <c r="SWY175" s="953"/>
      <c r="SWZ175" s="953"/>
      <c r="SXA175" s="953"/>
      <c r="SXB175" s="953"/>
      <c r="SXC175" s="953"/>
      <c r="SXD175" s="953"/>
      <c r="SXE175" s="953"/>
      <c r="SXF175" s="953"/>
      <c r="SXG175" s="953"/>
      <c r="SXH175" s="953"/>
      <c r="SXI175" s="953"/>
      <c r="SXJ175" s="953"/>
      <c r="SXK175" s="953"/>
      <c r="SXL175" s="953"/>
      <c r="SXM175" s="953"/>
      <c r="SXN175" s="953"/>
      <c r="SXO175" s="953"/>
      <c r="SXP175" s="953"/>
      <c r="SXQ175" s="953"/>
      <c r="SXR175" s="953"/>
      <c r="SXS175" s="953"/>
      <c r="SXT175" s="953"/>
      <c r="SXU175" s="953"/>
      <c r="SXV175" s="953"/>
      <c r="SXW175" s="953"/>
      <c r="SXX175" s="953"/>
      <c r="SXY175" s="953"/>
      <c r="SXZ175" s="953"/>
      <c r="SYA175" s="953"/>
      <c r="SYB175" s="953"/>
      <c r="SYC175" s="953"/>
      <c r="SYD175" s="953"/>
      <c r="SYE175" s="953"/>
      <c r="SYF175" s="953"/>
      <c r="SYG175" s="953"/>
      <c r="SYH175" s="953"/>
      <c r="SYI175" s="953"/>
      <c r="SYJ175" s="953"/>
      <c r="SYK175" s="953"/>
      <c r="SYL175" s="953"/>
      <c r="SYM175" s="953"/>
      <c r="SYN175" s="953"/>
      <c r="SYO175" s="953"/>
      <c r="SYP175" s="953"/>
      <c r="SYQ175" s="953"/>
      <c r="SYR175" s="953"/>
      <c r="SYS175" s="953"/>
      <c r="SYT175" s="953"/>
      <c r="SYU175" s="953"/>
      <c r="SYV175" s="953"/>
      <c r="SYW175" s="953"/>
      <c r="SYX175" s="953"/>
      <c r="SYY175" s="953"/>
      <c r="SYZ175" s="953"/>
      <c r="SZA175" s="953"/>
      <c r="SZB175" s="953"/>
      <c r="SZC175" s="953"/>
      <c r="SZD175" s="953"/>
      <c r="SZE175" s="953"/>
      <c r="SZF175" s="953"/>
      <c r="SZG175" s="953"/>
      <c r="SZH175" s="953"/>
      <c r="SZI175" s="953"/>
      <c r="SZJ175" s="953"/>
      <c r="SZK175" s="953"/>
      <c r="SZL175" s="953"/>
      <c r="SZM175" s="953"/>
      <c r="SZN175" s="953"/>
      <c r="SZO175" s="953"/>
      <c r="SZP175" s="953"/>
      <c r="SZQ175" s="953"/>
      <c r="SZR175" s="953"/>
      <c r="SZS175" s="953"/>
      <c r="SZT175" s="953"/>
      <c r="SZU175" s="953"/>
      <c r="SZV175" s="953"/>
      <c r="SZW175" s="953"/>
      <c r="SZX175" s="953"/>
      <c r="SZY175" s="953"/>
      <c r="SZZ175" s="953"/>
      <c r="TAA175" s="953"/>
      <c r="TAB175" s="953"/>
      <c r="TAC175" s="953"/>
      <c r="TAD175" s="953"/>
      <c r="TAE175" s="953"/>
      <c r="TAF175" s="953"/>
      <c r="TAG175" s="953"/>
      <c r="TAH175" s="953"/>
      <c r="TAI175" s="953"/>
      <c r="TAJ175" s="953"/>
      <c r="TAK175" s="953"/>
      <c r="TAL175" s="953"/>
      <c r="TAM175" s="953"/>
      <c r="TAN175" s="953"/>
      <c r="TAO175" s="953"/>
      <c r="TAP175" s="953"/>
      <c r="TAQ175" s="953"/>
      <c r="TAR175" s="953"/>
      <c r="TAS175" s="953"/>
      <c r="TAT175" s="953"/>
      <c r="TAU175" s="953"/>
      <c r="TAV175" s="953"/>
      <c r="TAW175" s="953"/>
      <c r="TAX175" s="953"/>
      <c r="TAY175" s="953"/>
      <c r="TAZ175" s="953"/>
      <c r="TBA175" s="953"/>
      <c r="TBB175" s="953"/>
      <c r="TBC175" s="953"/>
      <c r="TBD175" s="953"/>
      <c r="TBE175" s="953"/>
      <c r="TBF175" s="953"/>
      <c r="TBG175" s="953"/>
      <c r="TBH175" s="953"/>
      <c r="TBI175" s="953"/>
      <c r="TBJ175" s="953"/>
      <c r="TBK175" s="953"/>
      <c r="TBL175" s="953"/>
      <c r="TBM175" s="953"/>
      <c r="TBN175" s="953"/>
      <c r="TBO175" s="953"/>
      <c r="TBP175" s="953"/>
      <c r="TBQ175" s="953"/>
      <c r="TBR175" s="953"/>
      <c r="TBS175" s="953"/>
      <c r="TBT175" s="953"/>
      <c r="TBU175" s="953"/>
      <c r="TBV175" s="953"/>
      <c r="TBW175" s="953"/>
      <c r="TBX175" s="953"/>
      <c r="TBY175" s="953"/>
      <c r="TBZ175" s="953"/>
      <c r="TCA175" s="953"/>
      <c r="TCB175" s="953"/>
      <c r="TCC175" s="953"/>
      <c r="TCD175" s="953"/>
      <c r="TCE175" s="953"/>
      <c r="TCF175" s="953"/>
      <c r="TCG175" s="953"/>
      <c r="TCH175" s="953"/>
      <c r="TCI175" s="953"/>
      <c r="TCJ175" s="953"/>
      <c r="TCK175" s="953"/>
      <c r="TCL175" s="953"/>
      <c r="TCM175" s="953"/>
      <c r="TCN175" s="953"/>
      <c r="TCO175" s="953"/>
      <c r="TCP175" s="953"/>
      <c r="TCQ175" s="953"/>
      <c r="TCR175" s="953"/>
      <c r="TCS175" s="953"/>
      <c r="TCT175" s="953"/>
      <c r="TCU175" s="953"/>
      <c r="TCV175" s="953"/>
      <c r="TCW175" s="953"/>
      <c r="TCX175" s="953"/>
      <c r="TCY175" s="953"/>
      <c r="TCZ175" s="953"/>
      <c r="TDA175" s="953"/>
      <c r="TDB175" s="953"/>
      <c r="TDC175" s="953"/>
      <c r="TDD175" s="953"/>
      <c r="TDE175" s="953"/>
      <c r="TDF175" s="953"/>
      <c r="TDG175" s="953"/>
      <c r="TDH175" s="953"/>
      <c r="TDI175" s="953"/>
      <c r="TDJ175" s="953"/>
      <c r="TDK175" s="953"/>
      <c r="TDL175" s="953"/>
      <c r="TDM175" s="953"/>
      <c r="TDN175" s="953"/>
      <c r="TDO175" s="953"/>
      <c r="TDP175" s="953"/>
      <c r="TDQ175" s="953"/>
      <c r="TDR175" s="953"/>
      <c r="TDS175" s="953"/>
      <c r="TDT175" s="953"/>
      <c r="TDU175" s="953"/>
      <c r="TDV175" s="953"/>
      <c r="TDW175" s="953"/>
      <c r="TDX175" s="953"/>
      <c r="TDY175" s="953"/>
      <c r="TDZ175" s="953"/>
      <c r="TEA175" s="953"/>
      <c r="TEB175" s="953"/>
      <c r="TEC175" s="953"/>
      <c r="TED175" s="953"/>
      <c r="TEE175" s="953"/>
      <c r="TEF175" s="953"/>
      <c r="TEG175" s="953"/>
      <c r="TEH175" s="953"/>
      <c r="TEI175" s="953"/>
      <c r="TEJ175" s="953"/>
      <c r="TEK175" s="953"/>
      <c r="TEL175" s="953"/>
      <c r="TEM175" s="953"/>
      <c r="TEN175" s="953"/>
      <c r="TEO175" s="953"/>
      <c r="TEP175" s="953"/>
      <c r="TEQ175" s="953"/>
      <c r="TER175" s="953"/>
      <c r="TES175" s="953"/>
      <c r="TET175" s="953"/>
      <c r="TEU175" s="953"/>
      <c r="TEV175" s="953"/>
      <c r="TEW175" s="953"/>
      <c r="TEX175" s="953"/>
      <c r="TEY175" s="953"/>
      <c r="TEZ175" s="953"/>
      <c r="TFA175" s="953"/>
      <c r="TFB175" s="953"/>
      <c r="TFC175" s="953"/>
      <c r="TFD175" s="953"/>
      <c r="TFE175" s="953"/>
      <c r="TFF175" s="953"/>
      <c r="TFG175" s="953"/>
      <c r="TFH175" s="953"/>
      <c r="TFI175" s="953"/>
      <c r="TFJ175" s="953"/>
      <c r="TFK175" s="953"/>
      <c r="TFL175" s="953"/>
      <c r="TFM175" s="953"/>
      <c r="TFN175" s="953"/>
      <c r="TFO175" s="953"/>
      <c r="TFP175" s="953"/>
      <c r="TFQ175" s="953"/>
      <c r="TFR175" s="953"/>
      <c r="TFS175" s="953"/>
      <c r="TFT175" s="953"/>
      <c r="TFU175" s="953"/>
      <c r="TFV175" s="953"/>
      <c r="TFW175" s="953"/>
      <c r="TFX175" s="953"/>
      <c r="TFY175" s="953"/>
      <c r="TFZ175" s="953"/>
      <c r="TGA175" s="953"/>
      <c r="TGB175" s="953"/>
      <c r="TGC175" s="953"/>
      <c r="TGD175" s="953"/>
      <c r="TGE175" s="953"/>
      <c r="TGF175" s="953"/>
      <c r="TGG175" s="953"/>
      <c r="TGH175" s="953"/>
      <c r="TGI175" s="953"/>
      <c r="TGJ175" s="953"/>
      <c r="TGK175" s="953"/>
      <c r="TGL175" s="953"/>
      <c r="TGM175" s="953"/>
      <c r="TGN175" s="953"/>
      <c r="TGO175" s="953"/>
      <c r="TGP175" s="953"/>
      <c r="TGQ175" s="953"/>
      <c r="TGR175" s="953"/>
      <c r="TGS175" s="953"/>
      <c r="TGT175" s="953"/>
      <c r="TGU175" s="953"/>
      <c r="TGV175" s="953"/>
      <c r="TGW175" s="953"/>
      <c r="TGX175" s="953"/>
      <c r="TGY175" s="953"/>
      <c r="TGZ175" s="953"/>
      <c r="THA175" s="953"/>
      <c r="THB175" s="953"/>
      <c r="THC175" s="953"/>
      <c r="THD175" s="953"/>
      <c r="THE175" s="953"/>
      <c r="THF175" s="953"/>
      <c r="THG175" s="953"/>
      <c r="THH175" s="953"/>
      <c r="THI175" s="953"/>
      <c r="THJ175" s="953"/>
      <c r="THK175" s="953"/>
      <c r="THL175" s="953"/>
      <c r="THM175" s="953"/>
      <c r="THN175" s="953"/>
      <c r="THO175" s="953"/>
      <c r="THP175" s="953"/>
      <c r="THQ175" s="953"/>
      <c r="THR175" s="953"/>
      <c r="THS175" s="953"/>
      <c r="THT175" s="953"/>
      <c r="THU175" s="953"/>
      <c r="THV175" s="953"/>
      <c r="THW175" s="953"/>
      <c r="THX175" s="953"/>
      <c r="THY175" s="953"/>
      <c r="THZ175" s="953"/>
      <c r="TIA175" s="953"/>
      <c r="TIB175" s="953"/>
      <c r="TIC175" s="953"/>
      <c r="TID175" s="953"/>
      <c r="TIE175" s="953"/>
      <c r="TIF175" s="953"/>
      <c r="TIG175" s="953"/>
      <c r="TIH175" s="953"/>
      <c r="TII175" s="953"/>
      <c r="TIJ175" s="953"/>
      <c r="TIK175" s="953"/>
      <c r="TIL175" s="953"/>
      <c r="TIM175" s="953"/>
      <c r="TIN175" s="953"/>
      <c r="TIO175" s="953"/>
      <c r="TIP175" s="953"/>
      <c r="TIQ175" s="953"/>
      <c r="TIR175" s="953"/>
      <c r="TIS175" s="953"/>
      <c r="TIT175" s="953"/>
      <c r="TIU175" s="953"/>
      <c r="TIV175" s="953"/>
      <c r="TIW175" s="953"/>
      <c r="TIX175" s="953"/>
      <c r="TIY175" s="953"/>
      <c r="TIZ175" s="953"/>
      <c r="TJA175" s="953"/>
      <c r="TJB175" s="953"/>
      <c r="TJC175" s="953"/>
      <c r="TJD175" s="953"/>
      <c r="TJE175" s="953"/>
      <c r="TJF175" s="953"/>
      <c r="TJG175" s="953"/>
      <c r="TJH175" s="953"/>
      <c r="TJI175" s="953"/>
      <c r="TJJ175" s="953"/>
      <c r="TJK175" s="953"/>
      <c r="TJL175" s="953"/>
      <c r="TJM175" s="953"/>
      <c r="TJN175" s="953"/>
      <c r="TJO175" s="953"/>
      <c r="TJP175" s="953"/>
      <c r="TJQ175" s="953"/>
      <c r="TJR175" s="953"/>
      <c r="TJS175" s="953"/>
      <c r="TJT175" s="953"/>
      <c r="TJU175" s="953"/>
      <c r="TJV175" s="953"/>
      <c r="TJW175" s="953"/>
      <c r="TJX175" s="953"/>
      <c r="TJY175" s="953"/>
      <c r="TJZ175" s="953"/>
      <c r="TKA175" s="953"/>
      <c r="TKB175" s="953"/>
      <c r="TKC175" s="953"/>
      <c r="TKD175" s="953"/>
      <c r="TKE175" s="953"/>
      <c r="TKF175" s="953"/>
      <c r="TKG175" s="953"/>
      <c r="TKH175" s="953"/>
      <c r="TKI175" s="953"/>
      <c r="TKJ175" s="953"/>
      <c r="TKK175" s="953"/>
      <c r="TKL175" s="953"/>
      <c r="TKM175" s="953"/>
      <c r="TKN175" s="953"/>
      <c r="TKO175" s="953"/>
      <c r="TKP175" s="953"/>
      <c r="TKQ175" s="953"/>
      <c r="TKR175" s="953"/>
      <c r="TKS175" s="953"/>
      <c r="TKT175" s="953"/>
      <c r="TKU175" s="953"/>
      <c r="TKV175" s="953"/>
      <c r="TKW175" s="953"/>
      <c r="TKX175" s="953"/>
      <c r="TKY175" s="953"/>
      <c r="TKZ175" s="953"/>
      <c r="TLA175" s="953"/>
      <c r="TLB175" s="953"/>
      <c r="TLC175" s="953"/>
      <c r="TLD175" s="953"/>
      <c r="TLE175" s="953"/>
      <c r="TLF175" s="953"/>
      <c r="TLG175" s="953"/>
      <c r="TLH175" s="953"/>
      <c r="TLI175" s="953"/>
      <c r="TLJ175" s="953"/>
      <c r="TLK175" s="953"/>
      <c r="TLL175" s="953"/>
      <c r="TLM175" s="953"/>
      <c r="TLN175" s="953"/>
      <c r="TLO175" s="953"/>
      <c r="TLP175" s="953"/>
      <c r="TLQ175" s="953"/>
      <c r="TLR175" s="953"/>
      <c r="TLS175" s="953"/>
      <c r="TLT175" s="953"/>
      <c r="TLU175" s="953"/>
      <c r="TLV175" s="953"/>
      <c r="TLW175" s="953"/>
      <c r="TLX175" s="953"/>
      <c r="TLY175" s="953"/>
      <c r="TLZ175" s="953"/>
      <c r="TMA175" s="953"/>
      <c r="TMB175" s="953"/>
      <c r="TMC175" s="953"/>
      <c r="TMD175" s="953"/>
      <c r="TME175" s="953"/>
      <c r="TMF175" s="953"/>
      <c r="TMG175" s="953"/>
      <c r="TMH175" s="953"/>
      <c r="TMI175" s="953"/>
      <c r="TMJ175" s="953"/>
      <c r="TMK175" s="953"/>
      <c r="TML175" s="953"/>
      <c r="TMM175" s="953"/>
      <c r="TMN175" s="953"/>
      <c r="TMO175" s="953"/>
      <c r="TMP175" s="953"/>
      <c r="TMQ175" s="953"/>
      <c r="TMR175" s="953"/>
      <c r="TMS175" s="953"/>
      <c r="TMT175" s="953"/>
      <c r="TMU175" s="953"/>
      <c r="TMV175" s="953"/>
      <c r="TMW175" s="953"/>
      <c r="TMX175" s="953"/>
      <c r="TMY175" s="953"/>
      <c r="TMZ175" s="953"/>
      <c r="TNA175" s="953"/>
      <c r="TNB175" s="953"/>
      <c r="TNC175" s="953"/>
      <c r="TND175" s="953"/>
      <c r="TNE175" s="953"/>
      <c r="TNF175" s="953"/>
      <c r="TNG175" s="953"/>
      <c r="TNH175" s="953"/>
      <c r="TNI175" s="953"/>
      <c r="TNJ175" s="953"/>
      <c r="TNK175" s="953"/>
      <c r="TNL175" s="953"/>
      <c r="TNM175" s="953"/>
      <c r="TNN175" s="953"/>
      <c r="TNO175" s="953"/>
      <c r="TNP175" s="953"/>
      <c r="TNQ175" s="953"/>
      <c r="TNR175" s="953"/>
      <c r="TNS175" s="953"/>
      <c r="TNT175" s="953"/>
      <c r="TNU175" s="953"/>
      <c r="TNV175" s="953"/>
      <c r="TNW175" s="953"/>
      <c r="TNX175" s="953"/>
      <c r="TNY175" s="953"/>
      <c r="TNZ175" s="953"/>
      <c r="TOA175" s="953"/>
      <c r="TOB175" s="953"/>
      <c r="TOC175" s="953"/>
      <c r="TOD175" s="953"/>
      <c r="TOE175" s="953"/>
      <c r="TOF175" s="953"/>
      <c r="TOG175" s="953"/>
      <c r="TOH175" s="953"/>
      <c r="TOI175" s="953"/>
      <c r="TOJ175" s="953"/>
      <c r="TOK175" s="953"/>
      <c r="TOL175" s="953"/>
      <c r="TOM175" s="953"/>
      <c r="TON175" s="953"/>
      <c r="TOO175" s="953"/>
      <c r="TOP175" s="953"/>
      <c r="TOQ175" s="953"/>
      <c r="TOR175" s="953"/>
      <c r="TOS175" s="953"/>
      <c r="TOT175" s="953"/>
      <c r="TOU175" s="953"/>
      <c r="TOV175" s="953"/>
      <c r="TOW175" s="953"/>
      <c r="TOX175" s="953"/>
      <c r="TOY175" s="953"/>
      <c r="TOZ175" s="953"/>
      <c r="TPA175" s="953"/>
      <c r="TPB175" s="953"/>
      <c r="TPC175" s="953"/>
      <c r="TPD175" s="953"/>
      <c r="TPE175" s="953"/>
      <c r="TPF175" s="953"/>
      <c r="TPG175" s="953"/>
      <c r="TPH175" s="953"/>
      <c r="TPI175" s="953"/>
      <c r="TPJ175" s="953"/>
      <c r="TPK175" s="953"/>
      <c r="TPL175" s="953"/>
      <c r="TPM175" s="953"/>
      <c r="TPN175" s="953"/>
      <c r="TPO175" s="953"/>
      <c r="TPP175" s="953"/>
      <c r="TPQ175" s="953"/>
      <c r="TPR175" s="953"/>
      <c r="TPS175" s="953"/>
      <c r="TPT175" s="953"/>
      <c r="TPU175" s="953"/>
      <c r="TPV175" s="953"/>
      <c r="TPW175" s="953"/>
      <c r="TPX175" s="953"/>
      <c r="TPY175" s="953"/>
      <c r="TPZ175" s="953"/>
      <c r="TQA175" s="953"/>
      <c r="TQB175" s="953"/>
      <c r="TQC175" s="953"/>
      <c r="TQD175" s="953"/>
      <c r="TQE175" s="953"/>
      <c r="TQF175" s="953"/>
      <c r="TQG175" s="953"/>
      <c r="TQH175" s="953"/>
      <c r="TQI175" s="953"/>
      <c r="TQJ175" s="953"/>
      <c r="TQK175" s="953"/>
      <c r="TQL175" s="953"/>
      <c r="TQM175" s="953"/>
      <c r="TQN175" s="953"/>
      <c r="TQO175" s="953"/>
      <c r="TQP175" s="953"/>
      <c r="TQQ175" s="953"/>
      <c r="TQR175" s="953"/>
      <c r="TQS175" s="953"/>
      <c r="TQT175" s="953"/>
      <c r="TQU175" s="953"/>
      <c r="TQV175" s="953"/>
      <c r="TQW175" s="953"/>
      <c r="TQX175" s="953"/>
      <c r="TQY175" s="953"/>
      <c r="TQZ175" s="953"/>
      <c r="TRA175" s="953"/>
      <c r="TRB175" s="953"/>
      <c r="TRC175" s="953"/>
      <c r="TRD175" s="953"/>
      <c r="TRE175" s="953"/>
      <c r="TRF175" s="953"/>
      <c r="TRG175" s="953"/>
      <c r="TRH175" s="953"/>
      <c r="TRI175" s="953"/>
      <c r="TRJ175" s="953"/>
      <c r="TRK175" s="953"/>
      <c r="TRL175" s="953"/>
      <c r="TRM175" s="953"/>
      <c r="TRN175" s="953"/>
      <c r="TRO175" s="953"/>
      <c r="TRP175" s="953"/>
      <c r="TRQ175" s="953"/>
      <c r="TRR175" s="953"/>
      <c r="TRS175" s="953"/>
      <c r="TRT175" s="953"/>
      <c r="TRU175" s="953"/>
      <c r="TRV175" s="953"/>
      <c r="TRW175" s="953"/>
      <c r="TRX175" s="953"/>
      <c r="TRY175" s="953"/>
      <c r="TRZ175" s="953"/>
      <c r="TSA175" s="953"/>
      <c r="TSB175" s="953"/>
      <c r="TSC175" s="953"/>
      <c r="TSD175" s="953"/>
      <c r="TSE175" s="953"/>
      <c r="TSF175" s="953"/>
      <c r="TSG175" s="953"/>
      <c r="TSH175" s="953"/>
      <c r="TSI175" s="953"/>
      <c r="TSJ175" s="953"/>
      <c r="TSK175" s="953"/>
      <c r="TSL175" s="953"/>
      <c r="TSM175" s="953"/>
      <c r="TSN175" s="953"/>
      <c r="TSO175" s="953"/>
      <c r="TSP175" s="953"/>
      <c r="TSQ175" s="953"/>
      <c r="TSR175" s="953"/>
      <c r="TSS175" s="953"/>
      <c r="TST175" s="953"/>
      <c r="TSU175" s="953"/>
      <c r="TSV175" s="953"/>
      <c r="TSW175" s="953"/>
      <c r="TSX175" s="953"/>
      <c r="TSY175" s="953"/>
      <c r="TSZ175" s="953"/>
      <c r="TTA175" s="953"/>
      <c r="TTB175" s="953"/>
      <c r="TTC175" s="953"/>
      <c r="TTD175" s="953"/>
      <c r="TTE175" s="953"/>
      <c r="TTF175" s="953"/>
      <c r="TTG175" s="953"/>
      <c r="TTH175" s="953"/>
      <c r="TTI175" s="953"/>
      <c r="TTJ175" s="953"/>
      <c r="TTK175" s="953"/>
      <c r="TTL175" s="953"/>
      <c r="TTM175" s="953"/>
      <c r="TTN175" s="953"/>
      <c r="TTO175" s="953"/>
      <c r="TTP175" s="953"/>
      <c r="TTQ175" s="953"/>
      <c r="TTR175" s="953"/>
      <c r="TTS175" s="953"/>
      <c r="TTT175" s="953"/>
      <c r="TTU175" s="953"/>
      <c r="TTV175" s="953"/>
      <c r="TTW175" s="953"/>
      <c r="TTX175" s="953"/>
      <c r="TTY175" s="953"/>
      <c r="TTZ175" s="953"/>
      <c r="TUA175" s="953"/>
      <c r="TUB175" s="953"/>
      <c r="TUC175" s="953"/>
      <c r="TUD175" s="953"/>
      <c r="TUE175" s="953"/>
      <c r="TUF175" s="953"/>
      <c r="TUG175" s="953"/>
      <c r="TUH175" s="953"/>
      <c r="TUI175" s="953"/>
      <c r="TUJ175" s="953"/>
      <c r="TUK175" s="953"/>
      <c r="TUL175" s="953"/>
      <c r="TUM175" s="953"/>
      <c r="TUN175" s="953"/>
      <c r="TUO175" s="953"/>
      <c r="TUP175" s="953"/>
      <c r="TUQ175" s="953"/>
      <c r="TUR175" s="953"/>
      <c r="TUS175" s="953"/>
      <c r="TUT175" s="953"/>
      <c r="TUU175" s="953"/>
      <c r="TUV175" s="953"/>
      <c r="TUW175" s="953"/>
      <c r="TUX175" s="953"/>
      <c r="TUY175" s="953"/>
      <c r="TUZ175" s="953"/>
      <c r="TVA175" s="953"/>
      <c r="TVB175" s="953"/>
      <c r="TVC175" s="953"/>
      <c r="TVD175" s="953"/>
      <c r="TVE175" s="953"/>
      <c r="TVF175" s="953"/>
      <c r="TVG175" s="953"/>
      <c r="TVH175" s="953"/>
      <c r="TVI175" s="953"/>
      <c r="TVJ175" s="953"/>
      <c r="TVK175" s="953"/>
      <c r="TVL175" s="953"/>
      <c r="TVM175" s="953"/>
      <c r="TVN175" s="953"/>
      <c r="TVO175" s="953"/>
      <c r="TVP175" s="953"/>
      <c r="TVQ175" s="953"/>
      <c r="TVR175" s="953"/>
      <c r="TVS175" s="953"/>
      <c r="TVT175" s="953"/>
      <c r="TVU175" s="953"/>
      <c r="TVV175" s="953"/>
      <c r="TVW175" s="953"/>
      <c r="TVX175" s="953"/>
      <c r="TVY175" s="953"/>
      <c r="TVZ175" s="953"/>
      <c r="TWA175" s="953"/>
      <c r="TWB175" s="953"/>
      <c r="TWC175" s="953"/>
      <c r="TWD175" s="953"/>
      <c r="TWE175" s="953"/>
      <c r="TWF175" s="953"/>
      <c r="TWG175" s="953"/>
      <c r="TWH175" s="953"/>
      <c r="TWI175" s="953"/>
      <c r="TWJ175" s="953"/>
      <c r="TWK175" s="953"/>
      <c r="TWL175" s="953"/>
      <c r="TWM175" s="953"/>
      <c r="TWN175" s="953"/>
      <c r="TWO175" s="953"/>
      <c r="TWP175" s="953"/>
      <c r="TWQ175" s="953"/>
      <c r="TWR175" s="953"/>
      <c r="TWS175" s="953"/>
      <c r="TWT175" s="953"/>
      <c r="TWU175" s="953"/>
      <c r="TWV175" s="953"/>
      <c r="TWW175" s="953"/>
      <c r="TWX175" s="953"/>
      <c r="TWY175" s="953"/>
      <c r="TWZ175" s="953"/>
      <c r="TXA175" s="953"/>
      <c r="TXB175" s="953"/>
      <c r="TXC175" s="953"/>
      <c r="TXD175" s="953"/>
      <c r="TXE175" s="953"/>
      <c r="TXF175" s="953"/>
      <c r="TXG175" s="953"/>
      <c r="TXH175" s="953"/>
      <c r="TXI175" s="953"/>
      <c r="TXJ175" s="953"/>
      <c r="TXK175" s="953"/>
      <c r="TXL175" s="953"/>
      <c r="TXM175" s="953"/>
      <c r="TXN175" s="953"/>
      <c r="TXO175" s="953"/>
      <c r="TXP175" s="953"/>
      <c r="TXQ175" s="953"/>
      <c r="TXR175" s="953"/>
      <c r="TXS175" s="953"/>
      <c r="TXT175" s="953"/>
      <c r="TXU175" s="953"/>
      <c r="TXV175" s="953"/>
      <c r="TXW175" s="953"/>
      <c r="TXX175" s="953"/>
      <c r="TXY175" s="953"/>
      <c r="TXZ175" s="953"/>
      <c r="TYA175" s="953"/>
      <c r="TYB175" s="953"/>
      <c r="TYC175" s="953"/>
      <c r="TYD175" s="953"/>
      <c r="TYE175" s="953"/>
      <c r="TYF175" s="953"/>
      <c r="TYG175" s="953"/>
      <c r="TYH175" s="953"/>
      <c r="TYI175" s="953"/>
      <c r="TYJ175" s="953"/>
      <c r="TYK175" s="953"/>
      <c r="TYL175" s="953"/>
      <c r="TYM175" s="953"/>
      <c r="TYN175" s="953"/>
      <c r="TYO175" s="953"/>
      <c r="TYP175" s="953"/>
      <c r="TYQ175" s="953"/>
      <c r="TYR175" s="953"/>
      <c r="TYS175" s="953"/>
      <c r="TYT175" s="953"/>
      <c r="TYU175" s="953"/>
      <c r="TYV175" s="953"/>
      <c r="TYW175" s="953"/>
      <c r="TYX175" s="953"/>
      <c r="TYY175" s="953"/>
      <c r="TYZ175" s="953"/>
      <c r="TZA175" s="953"/>
      <c r="TZB175" s="953"/>
      <c r="TZC175" s="953"/>
      <c r="TZD175" s="953"/>
      <c r="TZE175" s="953"/>
      <c r="TZF175" s="953"/>
      <c r="TZG175" s="953"/>
      <c r="TZH175" s="953"/>
      <c r="TZI175" s="953"/>
      <c r="TZJ175" s="953"/>
      <c r="TZK175" s="953"/>
      <c r="TZL175" s="953"/>
      <c r="TZM175" s="953"/>
      <c r="TZN175" s="953"/>
      <c r="TZO175" s="953"/>
      <c r="TZP175" s="953"/>
      <c r="TZQ175" s="953"/>
      <c r="TZR175" s="953"/>
      <c r="TZS175" s="953"/>
      <c r="TZT175" s="953"/>
      <c r="TZU175" s="953"/>
      <c r="TZV175" s="953"/>
      <c r="TZW175" s="953"/>
      <c r="TZX175" s="953"/>
      <c r="TZY175" s="953"/>
      <c r="TZZ175" s="953"/>
      <c r="UAA175" s="953"/>
      <c r="UAB175" s="953"/>
      <c r="UAC175" s="953"/>
      <c r="UAD175" s="953"/>
      <c r="UAE175" s="953"/>
      <c r="UAF175" s="953"/>
      <c r="UAG175" s="953"/>
      <c r="UAH175" s="953"/>
      <c r="UAI175" s="953"/>
      <c r="UAJ175" s="953"/>
      <c r="UAK175" s="953"/>
      <c r="UAL175" s="953"/>
      <c r="UAM175" s="953"/>
      <c r="UAN175" s="953"/>
      <c r="UAO175" s="953"/>
      <c r="UAP175" s="953"/>
      <c r="UAQ175" s="953"/>
      <c r="UAR175" s="953"/>
      <c r="UAS175" s="953"/>
      <c r="UAT175" s="953"/>
      <c r="UAU175" s="953"/>
      <c r="UAV175" s="953"/>
      <c r="UAW175" s="953"/>
      <c r="UAX175" s="953"/>
      <c r="UAY175" s="953"/>
      <c r="UAZ175" s="953"/>
      <c r="UBA175" s="953"/>
      <c r="UBB175" s="953"/>
      <c r="UBC175" s="953"/>
      <c r="UBD175" s="953"/>
      <c r="UBE175" s="953"/>
      <c r="UBF175" s="953"/>
      <c r="UBG175" s="953"/>
      <c r="UBH175" s="953"/>
      <c r="UBI175" s="953"/>
      <c r="UBJ175" s="953"/>
      <c r="UBK175" s="953"/>
      <c r="UBL175" s="953"/>
      <c r="UBM175" s="953"/>
      <c r="UBN175" s="953"/>
      <c r="UBO175" s="953"/>
      <c r="UBP175" s="953"/>
      <c r="UBQ175" s="953"/>
      <c r="UBR175" s="953"/>
      <c r="UBS175" s="953"/>
      <c r="UBT175" s="953"/>
      <c r="UBU175" s="953"/>
      <c r="UBV175" s="953"/>
      <c r="UBW175" s="953"/>
      <c r="UBX175" s="953"/>
      <c r="UBY175" s="953"/>
      <c r="UBZ175" s="953"/>
      <c r="UCA175" s="953"/>
      <c r="UCB175" s="953"/>
      <c r="UCC175" s="953"/>
      <c r="UCD175" s="953"/>
      <c r="UCE175" s="953"/>
      <c r="UCF175" s="953"/>
      <c r="UCG175" s="953"/>
      <c r="UCH175" s="953"/>
      <c r="UCI175" s="953"/>
      <c r="UCJ175" s="953"/>
      <c r="UCK175" s="953"/>
      <c r="UCL175" s="953"/>
      <c r="UCM175" s="953"/>
      <c r="UCN175" s="953"/>
      <c r="UCO175" s="953"/>
      <c r="UCP175" s="953"/>
      <c r="UCQ175" s="953"/>
      <c r="UCR175" s="953"/>
      <c r="UCS175" s="953"/>
      <c r="UCT175" s="953"/>
      <c r="UCU175" s="953"/>
      <c r="UCV175" s="953"/>
      <c r="UCW175" s="953"/>
      <c r="UCX175" s="953"/>
      <c r="UCY175" s="953"/>
      <c r="UCZ175" s="953"/>
      <c r="UDA175" s="953"/>
      <c r="UDB175" s="953"/>
      <c r="UDC175" s="953"/>
      <c r="UDD175" s="953"/>
      <c r="UDE175" s="953"/>
      <c r="UDF175" s="953"/>
      <c r="UDG175" s="953"/>
      <c r="UDH175" s="953"/>
      <c r="UDI175" s="953"/>
      <c r="UDJ175" s="953"/>
      <c r="UDK175" s="953"/>
      <c r="UDL175" s="953"/>
      <c r="UDM175" s="953"/>
      <c r="UDN175" s="953"/>
      <c r="UDO175" s="953"/>
      <c r="UDP175" s="953"/>
      <c r="UDQ175" s="953"/>
      <c r="UDR175" s="953"/>
      <c r="UDS175" s="953"/>
      <c r="UDT175" s="953"/>
      <c r="UDU175" s="953"/>
      <c r="UDV175" s="953"/>
      <c r="UDW175" s="953"/>
      <c r="UDX175" s="953"/>
      <c r="UDY175" s="953"/>
      <c r="UDZ175" s="953"/>
      <c r="UEA175" s="953"/>
      <c r="UEB175" s="953"/>
      <c r="UEC175" s="953"/>
      <c r="UED175" s="953"/>
      <c r="UEE175" s="953"/>
      <c r="UEF175" s="953"/>
      <c r="UEG175" s="953"/>
      <c r="UEH175" s="953"/>
      <c r="UEI175" s="953"/>
      <c r="UEJ175" s="953"/>
      <c r="UEK175" s="953"/>
      <c r="UEL175" s="953"/>
      <c r="UEM175" s="953"/>
      <c r="UEN175" s="953"/>
      <c r="UEO175" s="953"/>
      <c r="UEP175" s="953"/>
      <c r="UEQ175" s="953"/>
      <c r="UER175" s="953"/>
      <c r="UES175" s="953"/>
      <c r="UET175" s="953"/>
      <c r="UEU175" s="953"/>
      <c r="UEV175" s="953"/>
      <c r="UEW175" s="953"/>
      <c r="UEX175" s="953"/>
      <c r="UEY175" s="953"/>
      <c r="UEZ175" s="953"/>
      <c r="UFA175" s="953"/>
      <c r="UFB175" s="953"/>
      <c r="UFC175" s="953"/>
      <c r="UFD175" s="953"/>
      <c r="UFE175" s="953"/>
      <c r="UFF175" s="953"/>
      <c r="UFG175" s="953"/>
      <c r="UFH175" s="953"/>
      <c r="UFI175" s="953"/>
      <c r="UFJ175" s="953"/>
      <c r="UFK175" s="953"/>
      <c r="UFL175" s="953"/>
      <c r="UFM175" s="953"/>
      <c r="UFN175" s="953"/>
      <c r="UFO175" s="953"/>
      <c r="UFP175" s="953"/>
      <c r="UFQ175" s="953"/>
      <c r="UFR175" s="953"/>
      <c r="UFS175" s="953"/>
      <c r="UFT175" s="953"/>
      <c r="UFU175" s="953"/>
      <c r="UFV175" s="953"/>
      <c r="UFW175" s="953"/>
      <c r="UFX175" s="953"/>
      <c r="UFY175" s="953"/>
      <c r="UFZ175" s="953"/>
      <c r="UGA175" s="953"/>
      <c r="UGB175" s="953"/>
      <c r="UGC175" s="953"/>
      <c r="UGD175" s="953"/>
      <c r="UGE175" s="953"/>
      <c r="UGF175" s="953"/>
      <c r="UGG175" s="953"/>
      <c r="UGH175" s="953"/>
      <c r="UGI175" s="953"/>
      <c r="UGJ175" s="953"/>
      <c r="UGK175" s="953"/>
      <c r="UGL175" s="953"/>
      <c r="UGM175" s="953"/>
      <c r="UGN175" s="953"/>
      <c r="UGO175" s="953"/>
      <c r="UGP175" s="953"/>
      <c r="UGQ175" s="953"/>
      <c r="UGR175" s="953"/>
      <c r="UGS175" s="953"/>
      <c r="UGT175" s="953"/>
      <c r="UGU175" s="953"/>
      <c r="UGV175" s="953"/>
      <c r="UGW175" s="953"/>
      <c r="UGX175" s="953"/>
      <c r="UGY175" s="953"/>
      <c r="UGZ175" s="953"/>
      <c r="UHA175" s="953"/>
      <c r="UHB175" s="953"/>
      <c r="UHC175" s="953"/>
      <c r="UHD175" s="953"/>
      <c r="UHE175" s="953"/>
      <c r="UHF175" s="953"/>
      <c r="UHG175" s="953"/>
      <c r="UHH175" s="953"/>
      <c r="UHI175" s="953"/>
      <c r="UHJ175" s="953"/>
      <c r="UHK175" s="953"/>
      <c r="UHL175" s="953"/>
      <c r="UHM175" s="953"/>
      <c r="UHN175" s="953"/>
      <c r="UHO175" s="953"/>
      <c r="UHP175" s="953"/>
      <c r="UHQ175" s="953"/>
      <c r="UHR175" s="953"/>
      <c r="UHS175" s="953"/>
      <c r="UHT175" s="953"/>
      <c r="UHU175" s="953"/>
      <c r="UHV175" s="953"/>
      <c r="UHW175" s="953"/>
      <c r="UHX175" s="953"/>
      <c r="UHY175" s="953"/>
      <c r="UHZ175" s="953"/>
      <c r="UIA175" s="953"/>
      <c r="UIB175" s="953"/>
      <c r="UIC175" s="953"/>
      <c r="UID175" s="953"/>
      <c r="UIE175" s="953"/>
      <c r="UIF175" s="953"/>
      <c r="UIG175" s="953"/>
      <c r="UIH175" s="953"/>
      <c r="UII175" s="953"/>
      <c r="UIJ175" s="953"/>
      <c r="UIK175" s="953"/>
      <c r="UIL175" s="953"/>
      <c r="UIM175" s="953"/>
      <c r="UIN175" s="953"/>
      <c r="UIO175" s="953"/>
      <c r="UIP175" s="953"/>
      <c r="UIQ175" s="953"/>
      <c r="UIR175" s="953"/>
      <c r="UIS175" s="953"/>
      <c r="UIT175" s="953"/>
      <c r="UIU175" s="953"/>
      <c r="UIV175" s="953"/>
      <c r="UIW175" s="953"/>
      <c r="UIX175" s="953"/>
      <c r="UIY175" s="953"/>
      <c r="UIZ175" s="953"/>
      <c r="UJA175" s="953"/>
      <c r="UJB175" s="953"/>
      <c r="UJC175" s="953"/>
      <c r="UJD175" s="953"/>
      <c r="UJE175" s="953"/>
      <c r="UJF175" s="953"/>
      <c r="UJG175" s="953"/>
      <c r="UJH175" s="953"/>
      <c r="UJI175" s="953"/>
      <c r="UJJ175" s="953"/>
      <c r="UJK175" s="953"/>
      <c r="UJL175" s="953"/>
      <c r="UJM175" s="953"/>
      <c r="UJN175" s="953"/>
      <c r="UJO175" s="953"/>
      <c r="UJP175" s="953"/>
      <c r="UJQ175" s="953"/>
      <c r="UJR175" s="953"/>
      <c r="UJS175" s="953"/>
      <c r="UJT175" s="953"/>
      <c r="UJU175" s="953"/>
      <c r="UJV175" s="953"/>
      <c r="UJW175" s="953"/>
      <c r="UJX175" s="953"/>
      <c r="UJY175" s="953"/>
      <c r="UJZ175" s="953"/>
      <c r="UKA175" s="953"/>
      <c r="UKB175" s="953"/>
      <c r="UKC175" s="953"/>
      <c r="UKD175" s="953"/>
      <c r="UKE175" s="953"/>
      <c r="UKF175" s="953"/>
      <c r="UKG175" s="953"/>
      <c r="UKH175" s="953"/>
      <c r="UKI175" s="953"/>
      <c r="UKJ175" s="953"/>
      <c r="UKK175" s="953"/>
      <c r="UKL175" s="953"/>
      <c r="UKM175" s="953"/>
      <c r="UKN175" s="953"/>
      <c r="UKO175" s="953"/>
      <c r="UKP175" s="953"/>
      <c r="UKQ175" s="953"/>
      <c r="UKR175" s="953"/>
      <c r="UKS175" s="953"/>
      <c r="UKT175" s="953"/>
      <c r="UKU175" s="953"/>
      <c r="UKV175" s="953"/>
      <c r="UKW175" s="953"/>
      <c r="UKX175" s="953"/>
      <c r="UKY175" s="953"/>
      <c r="UKZ175" s="953"/>
      <c r="ULA175" s="953"/>
      <c r="ULB175" s="953"/>
      <c r="ULC175" s="953"/>
      <c r="ULD175" s="953"/>
      <c r="ULE175" s="953"/>
      <c r="ULF175" s="953"/>
      <c r="ULG175" s="953"/>
      <c r="ULH175" s="953"/>
      <c r="ULI175" s="953"/>
      <c r="ULJ175" s="953"/>
      <c r="ULK175" s="953"/>
      <c r="ULL175" s="953"/>
      <c r="ULM175" s="953"/>
      <c r="ULN175" s="953"/>
      <c r="ULO175" s="953"/>
      <c r="ULP175" s="953"/>
      <c r="ULQ175" s="953"/>
      <c r="ULR175" s="953"/>
      <c r="ULS175" s="953"/>
      <c r="ULT175" s="953"/>
      <c r="ULU175" s="953"/>
      <c r="ULV175" s="953"/>
      <c r="ULW175" s="953"/>
      <c r="ULX175" s="953"/>
      <c r="ULY175" s="953"/>
      <c r="ULZ175" s="953"/>
      <c r="UMA175" s="953"/>
      <c r="UMB175" s="953"/>
      <c r="UMC175" s="953"/>
      <c r="UMD175" s="953"/>
      <c r="UME175" s="953"/>
      <c r="UMF175" s="953"/>
      <c r="UMG175" s="953"/>
      <c r="UMH175" s="953"/>
      <c r="UMI175" s="953"/>
      <c r="UMJ175" s="953"/>
      <c r="UMK175" s="953"/>
      <c r="UML175" s="953"/>
      <c r="UMM175" s="953"/>
      <c r="UMN175" s="953"/>
      <c r="UMO175" s="953"/>
      <c r="UMP175" s="953"/>
      <c r="UMQ175" s="953"/>
      <c r="UMR175" s="953"/>
      <c r="UMS175" s="953"/>
      <c r="UMT175" s="953"/>
      <c r="UMU175" s="953"/>
      <c r="UMV175" s="953"/>
      <c r="UMW175" s="953"/>
      <c r="UMX175" s="953"/>
      <c r="UMY175" s="953"/>
      <c r="UMZ175" s="953"/>
      <c r="UNA175" s="953"/>
      <c r="UNB175" s="953"/>
      <c r="UNC175" s="953"/>
      <c r="UND175" s="953"/>
      <c r="UNE175" s="953"/>
      <c r="UNF175" s="953"/>
      <c r="UNG175" s="953"/>
      <c r="UNH175" s="953"/>
      <c r="UNI175" s="953"/>
      <c r="UNJ175" s="953"/>
      <c r="UNK175" s="953"/>
      <c r="UNL175" s="953"/>
      <c r="UNM175" s="953"/>
      <c r="UNN175" s="953"/>
      <c r="UNO175" s="953"/>
      <c r="UNP175" s="953"/>
      <c r="UNQ175" s="953"/>
      <c r="UNR175" s="953"/>
      <c r="UNS175" s="953"/>
      <c r="UNT175" s="953"/>
      <c r="UNU175" s="953"/>
      <c r="UNV175" s="953"/>
      <c r="UNW175" s="953"/>
      <c r="UNX175" s="953"/>
      <c r="UNY175" s="953"/>
      <c r="UNZ175" s="953"/>
      <c r="UOA175" s="953"/>
      <c r="UOB175" s="953"/>
      <c r="UOC175" s="953"/>
      <c r="UOD175" s="953"/>
      <c r="UOE175" s="953"/>
      <c r="UOF175" s="953"/>
      <c r="UOG175" s="953"/>
      <c r="UOH175" s="953"/>
      <c r="UOI175" s="953"/>
      <c r="UOJ175" s="953"/>
      <c r="UOK175" s="953"/>
      <c r="UOL175" s="953"/>
      <c r="UOM175" s="953"/>
      <c r="UON175" s="953"/>
      <c r="UOO175" s="953"/>
      <c r="UOP175" s="953"/>
      <c r="UOQ175" s="953"/>
      <c r="UOR175" s="953"/>
      <c r="UOS175" s="953"/>
      <c r="UOT175" s="953"/>
      <c r="UOU175" s="953"/>
      <c r="UOV175" s="953"/>
      <c r="UOW175" s="953"/>
      <c r="UOX175" s="953"/>
      <c r="UOY175" s="953"/>
      <c r="UOZ175" s="953"/>
      <c r="UPA175" s="953"/>
      <c r="UPB175" s="953"/>
      <c r="UPC175" s="953"/>
      <c r="UPD175" s="953"/>
      <c r="UPE175" s="953"/>
      <c r="UPF175" s="953"/>
      <c r="UPG175" s="953"/>
      <c r="UPH175" s="953"/>
      <c r="UPI175" s="953"/>
      <c r="UPJ175" s="953"/>
      <c r="UPK175" s="953"/>
      <c r="UPL175" s="953"/>
      <c r="UPM175" s="953"/>
      <c r="UPN175" s="953"/>
      <c r="UPO175" s="953"/>
      <c r="UPP175" s="953"/>
      <c r="UPQ175" s="953"/>
      <c r="UPR175" s="953"/>
      <c r="UPS175" s="953"/>
      <c r="UPT175" s="953"/>
      <c r="UPU175" s="953"/>
      <c r="UPV175" s="953"/>
      <c r="UPW175" s="953"/>
      <c r="UPX175" s="953"/>
      <c r="UPY175" s="953"/>
      <c r="UPZ175" s="953"/>
      <c r="UQA175" s="953"/>
      <c r="UQB175" s="953"/>
      <c r="UQC175" s="953"/>
      <c r="UQD175" s="953"/>
      <c r="UQE175" s="953"/>
      <c r="UQF175" s="953"/>
      <c r="UQG175" s="953"/>
      <c r="UQH175" s="953"/>
      <c r="UQI175" s="953"/>
      <c r="UQJ175" s="953"/>
      <c r="UQK175" s="953"/>
      <c r="UQL175" s="953"/>
      <c r="UQM175" s="953"/>
      <c r="UQN175" s="953"/>
      <c r="UQO175" s="953"/>
      <c r="UQP175" s="953"/>
      <c r="UQQ175" s="953"/>
      <c r="UQR175" s="953"/>
      <c r="UQS175" s="953"/>
      <c r="UQT175" s="953"/>
      <c r="UQU175" s="953"/>
      <c r="UQV175" s="953"/>
      <c r="UQW175" s="953"/>
      <c r="UQX175" s="953"/>
      <c r="UQY175" s="953"/>
      <c r="UQZ175" s="953"/>
      <c r="URA175" s="953"/>
      <c r="URB175" s="953"/>
      <c r="URC175" s="953"/>
      <c r="URD175" s="953"/>
      <c r="URE175" s="953"/>
      <c r="URF175" s="953"/>
      <c r="URG175" s="953"/>
      <c r="URH175" s="953"/>
      <c r="URI175" s="953"/>
      <c r="URJ175" s="953"/>
      <c r="URK175" s="953"/>
      <c r="URL175" s="953"/>
      <c r="URM175" s="953"/>
      <c r="URN175" s="953"/>
      <c r="URO175" s="953"/>
      <c r="URP175" s="953"/>
      <c r="URQ175" s="953"/>
      <c r="URR175" s="953"/>
      <c r="URS175" s="953"/>
      <c r="URT175" s="953"/>
      <c r="URU175" s="953"/>
      <c r="URV175" s="953"/>
      <c r="URW175" s="953"/>
      <c r="URX175" s="953"/>
      <c r="URY175" s="953"/>
      <c r="URZ175" s="953"/>
      <c r="USA175" s="953"/>
      <c r="USB175" s="953"/>
      <c r="USC175" s="953"/>
      <c r="USD175" s="953"/>
      <c r="USE175" s="953"/>
      <c r="USF175" s="953"/>
      <c r="USG175" s="953"/>
      <c r="USH175" s="953"/>
      <c r="USI175" s="953"/>
      <c r="USJ175" s="953"/>
      <c r="USK175" s="953"/>
      <c r="USL175" s="953"/>
      <c r="USM175" s="953"/>
      <c r="USN175" s="953"/>
      <c r="USO175" s="953"/>
      <c r="USP175" s="953"/>
      <c r="USQ175" s="953"/>
      <c r="USR175" s="953"/>
      <c r="USS175" s="953"/>
      <c r="UST175" s="953"/>
      <c r="USU175" s="953"/>
      <c r="USV175" s="953"/>
      <c r="USW175" s="953"/>
      <c r="USX175" s="953"/>
      <c r="USY175" s="953"/>
      <c r="USZ175" s="953"/>
      <c r="UTA175" s="953"/>
      <c r="UTB175" s="953"/>
      <c r="UTC175" s="953"/>
      <c r="UTD175" s="953"/>
      <c r="UTE175" s="953"/>
      <c r="UTF175" s="953"/>
      <c r="UTG175" s="953"/>
      <c r="UTH175" s="953"/>
      <c r="UTI175" s="953"/>
      <c r="UTJ175" s="953"/>
      <c r="UTK175" s="953"/>
      <c r="UTL175" s="953"/>
      <c r="UTM175" s="953"/>
      <c r="UTN175" s="953"/>
      <c r="UTO175" s="953"/>
      <c r="UTP175" s="953"/>
      <c r="UTQ175" s="953"/>
      <c r="UTR175" s="953"/>
      <c r="UTS175" s="953"/>
      <c r="UTT175" s="953"/>
      <c r="UTU175" s="953"/>
      <c r="UTV175" s="953"/>
      <c r="UTW175" s="953"/>
      <c r="UTX175" s="953"/>
      <c r="UTY175" s="953"/>
      <c r="UTZ175" s="953"/>
      <c r="UUA175" s="953"/>
      <c r="UUB175" s="953"/>
      <c r="UUC175" s="953"/>
      <c r="UUD175" s="953"/>
      <c r="UUE175" s="953"/>
      <c r="UUF175" s="953"/>
      <c r="UUG175" s="953"/>
      <c r="UUH175" s="953"/>
      <c r="UUI175" s="953"/>
      <c r="UUJ175" s="953"/>
      <c r="UUK175" s="953"/>
      <c r="UUL175" s="953"/>
      <c r="UUM175" s="953"/>
      <c r="UUN175" s="953"/>
      <c r="UUO175" s="953"/>
      <c r="UUP175" s="953"/>
      <c r="UUQ175" s="953"/>
      <c r="UUR175" s="953"/>
      <c r="UUS175" s="953"/>
      <c r="UUT175" s="953"/>
      <c r="UUU175" s="953"/>
      <c r="UUV175" s="953"/>
      <c r="UUW175" s="953"/>
      <c r="UUX175" s="953"/>
      <c r="UUY175" s="953"/>
      <c r="UUZ175" s="953"/>
      <c r="UVA175" s="953"/>
      <c r="UVB175" s="953"/>
      <c r="UVC175" s="953"/>
      <c r="UVD175" s="953"/>
      <c r="UVE175" s="953"/>
      <c r="UVF175" s="953"/>
      <c r="UVG175" s="953"/>
      <c r="UVH175" s="953"/>
      <c r="UVI175" s="953"/>
      <c r="UVJ175" s="953"/>
      <c r="UVK175" s="953"/>
      <c r="UVL175" s="953"/>
      <c r="UVM175" s="953"/>
      <c r="UVN175" s="953"/>
      <c r="UVO175" s="953"/>
      <c r="UVP175" s="953"/>
      <c r="UVQ175" s="953"/>
      <c r="UVR175" s="953"/>
      <c r="UVS175" s="953"/>
      <c r="UVT175" s="953"/>
      <c r="UVU175" s="953"/>
      <c r="UVV175" s="953"/>
      <c r="UVW175" s="953"/>
      <c r="UVX175" s="953"/>
      <c r="UVY175" s="953"/>
      <c r="UVZ175" s="953"/>
      <c r="UWA175" s="953"/>
      <c r="UWB175" s="953"/>
      <c r="UWC175" s="953"/>
      <c r="UWD175" s="953"/>
      <c r="UWE175" s="953"/>
      <c r="UWF175" s="953"/>
      <c r="UWG175" s="953"/>
      <c r="UWH175" s="953"/>
      <c r="UWI175" s="953"/>
      <c r="UWJ175" s="953"/>
      <c r="UWK175" s="953"/>
      <c r="UWL175" s="953"/>
      <c r="UWM175" s="953"/>
      <c r="UWN175" s="953"/>
      <c r="UWO175" s="953"/>
      <c r="UWP175" s="953"/>
      <c r="UWQ175" s="953"/>
      <c r="UWR175" s="953"/>
      <c r="UWS175" s="953"/>
      <c r="UWT175" s="953"/>
      <c r="UWU175" s="953"/>
      <c r="UWV175" s="953"/>
      <c r="UWW175" s="953"/>
      <c r="UWX175" s="953"/>
      <c r="UWY175" s="953"/>
      <c r="UWZ175" s="953"/>
      <c r="UXA175" s="953"/>
      <c r="UXB175" s="953"/>
      <c r="UXC175" s="953"/>
      <c r="UXD175" s="953"/>
      <c r="UXE175" s="953"/>
      <c r="UXF175" s="953"/>
      <c r="UXG175" s="953"/>
      <c r="UXH175" s="953"/>
      <c r="UXI175" s="953"/>
      <c r="UXJ175" s="953"/>
      <c r="UXK175" s="953"/>
      <c r="UXL175" s="953"/>
      <c r="UXM175" s="953"/>
      <c r="UXN175" s="953"/>
      <c r="UXO175" s="953"/>
      <c r="UXP175" s="953"/>
      <c r="UXQ175" s="953"/>
      <c r="UXR175" s="953"/>
      <c r="UXS175" s="953"/>
      <c r="UXT175" s="953"/>
      <c r="UXU175" s="953"/>
      <c r="UXV175" s="953"/>
      <c r="UXW175" s="953"/>
      <c r="UXX175" s="953"/>
      <c r="UXY175" s="953"/>
      <c r="UXZ175" s="953"/>
      <c r="UYA175" s="953"/>
      <c r="UYB175" s="953"/>
      <c r="UYC175" s="953"/>
      <c r="UYD175" s="953"/>
      <c r="UYE175" s="953"/>
      <c r="UYF175" s="953"/>
      <c r="UYG175" s="953"/>
      <c r="UYH175" s="953"/>
      <c r="UYI175" s="953"/>
      <c r="UYJ175" s="953"/>
      <c r="UYK175" s="953"/>
      <c r="UYL175" s="953"/>
      <c r="UYM175" s="953"/>
      <c r="UYN175" s="953"/>
      <c r="UYO175" s="953"/>
      <c r="UYP175" s="953"/>
      <c r="UYQ175" s="953"/>
      <c r="UYR175" s="953"/>
      <c r="UYS175" s="953"/>
      <c r="UYT175" s="953"/>
      <c r="UYU175" s="953"/>
      <c r="UYV175" s="953"/>
      <c r="UYW175" s="953"/>
      <c r="UYX175" s="953"/>
      <c r="UYY175" s="953"/>
      <c r="UYZ175" s="953"/>
      <c r="UZA175" s="953"/>
      <c r="UZB175" s="953"/>
      <c r="UZC175" s="953"/>
      <c r="UZD175" s="953"/>
      <c r="UZE175" s="953"/>
      <c r="UZF175" s="953"/>
      <c r="UZG175" s="953"/>
      <c r="UZH175" s="953"/>
      <c r="UZI175" s="953"/>
      <c r="UZJ175" s="953"/>
      <c r="UZK175" s="953"/>
      <c r="UZL175" s="953"/>
      <c r="UZM175" s="953"/>
      <c r="UZN175" s="953"/>
      <c r="UZO175" s="953"/>
      <c r="UZP175" s="953"/>
      <c r="UZQ175" s="953"/>
      <c r="UZR175" s="953"/>
      <c r="UZS175" s="953"/>
      <c r="UZT175" s="953"/>
      <c r="UZU175" s="953"/>
      <c r="UZV175" s="953"/>
      <c r="UZW175" s="953"/>
      <c r="UZX175" s="953"/>
      <c r="UZY175" s="953"/>
      <c r="UZZ175" s="953"/>
      <c r="VAA175" s="953"/>
      <c r="VAB175" s="953"/>
      <c r="VAC175" s="953"/>
      <c r="VAD175" s="953"/>
      <c r="VAE175" s="953"/>
      <c r="VAF175" s="953"/>
      <c r="VAG175" s="953"/>
      <c r="VAH175" s="953"/>
      <c r="VAI175" s="953"/>
      <c r="VAJ175" s="953"/>
      <c r="VAK175" s="953"/>
      <c r="VAL175" s="953"/>
      <c r="VAM175" s="953"/>
      <c r="VAN175" s="953"/>
      <c r="VAO175" s="953"/>
      <c r="VAP175" s="953"/>
      <c r="VAQ175" s="953"/>
      <c r="VAR175" s="953"/>
      <c r="VAS175" s="953"/>
      <c r="VAT175" s="953"/>
      <c r="VAU175" s="953"/>
      <c r="VAV175" s="953"/>
      <c r="VAW175" s="953"/>
      <c r="VAX175" s="953"/>
      <c r="VAY175" s="953"/>
      <c r="VAZ175" s="953"/>
      <c r="VBA175" s="953"/>
      <c r="VBB175" s="953"/>
      <c r="VBC175" s="953"/>
      <c r="VBD175" s="953"/>
      <c r="VBE175" s="953"/>
      <c r="VBF175" s="953"/>
      <c r="VBG175" s="953"/>
      <c r="VBH175" s="953"/>
      <c r="VBI175" s="953"/>
      <c r="VBJ175" s="953"/>
      <c r="VBK175" s="953"/>
      <c r="VBL175" s="953"/>
      <c r="VBM175" s="953"/>
      <c r="VBN175" s="953"/>
      <c r="VBO175" s="953"/>
      <c r="VBP175" s="953"/>
      <c r="VBQ175" s="953"/>
      <c r="VBR175" s="953"/>
      <c r="VBS175" s="953"/>
      <c r="VBT175" s="953"/>
      <c r="VBU175" s="953"/>
      <c r="VBV175" s="953"/>
      <c r="VBW175" s="953"/>
      <c r="VBX175" s="953"/>
      <c r="VBY175" s="953"/>
      <c r="VBZ175" s="953"/>
      <c r="VCA175" s="953"/>
      <c r="VCB175" s="953"/>
      <c r="VCC175" s="953"/>
      <c r="VCD175" s="953"/>
      <c r="VCE175" s="953"/>
      <c r="VCF175" s="953"/>
      <c r="VCG175" s="953"/>
      <c r="VCH175" s="953"/>
      <c r="VCI175" s="953"/>
      <c r="VCJ175" s="953"/>
      <c r="VCK175" s="953"/>
      <c r="VCL175" s="953"/>
      <c r="VCM175" s="953"/>
      <c r="VCN175" s="953"/>
      <c r="VCO175" s="953"/>
      <c r="VCP175" s="953"/>
      <c r="VCQ175" s="953"/>
      <c r="VCR175" s="953"/>
      <c r="VCS175" s="953"/>
      <c r="VCT175" s="953"/>
      <c r="VCU175" s="953"/>
      <c r="VCV175" s="953"/>
      <c r="VCW175" s="953"/>
      <c r="VCX175" s="953"/>
      <c r="VCY175" s="953"/>
      <c r="VCZ175" s="953"/>
      <c r="VDA175" s="953"/>
      <c r="VDB175" s="953"/>
      <c r="VDC175" s="953"/>
      <c r="VDD175" s="953"/>
      <c r="VDE175" s="953"/>
      <c r="VDF175" s="953"/>
      <c r="VDG175" s="953"/>
      <c r="VDH175" s="953"/>
      <c r="VDI175" s="953"/>
      <c r="VDJ175" s="953"/>
      <c r="VDK175" s="953"/>
      <c r="VDL175" s="953"/>
      <c r="VDM175" s="953"/>
      <c r="VDN175" s="953"/>
      <c r="VDO175" s="953"/>
      <c r="VDP175" s="953"/>
      <c r="VDQ175" s="953"/>
      <c r="VDR175" s="953"/>
      <c r="VDS175" s="953"/>
      <c r="VDT175" s="953"/>
      <c r="VDU175" s="953"/>
      <c r="VDV175" s="953"/>
      <c r="VDW175" s="953"/>
      <c r="VDX175" s="953"/>
      <c r="VDY175" s="953"/>
      <c r="VDZ175" s="953"/>
      <c r="VEA175" s="953"/>
      <c r="VEB175" s="953"/>
      <c r="VEC175" s="953"/>
      <c r="VED175" s="953"/>
      <c r="VEE175" s="953"/>
      <c r="VEF175" s="953"/>
      <c r="VEG175" s="953"/>
      <c r="VEH175" s="953"/>
      <c r="VEI175" s="953"/>
      <c r="VEJ175" s="953"/>
      <c r="VEK175" s="953"/>
      <c r="VEL175" s="953"/>
      <c r="VEM175" s="953"/>
      <c r="VEN175" s="953"/>
      <c r="VEO175" s="953"/>
      <c r="VEP175" s="953"/>
      <c r="VEQ175" s="953"/>
      <c r="VER175" s="953"/>
      <c r="VES175" s="953"/>
      <c r="VET175" s="953"/>
      <c r="VEU175" s="953"/>
      <c r="VEV175" s="953"/>
      <c r="VEW175" s="953"/>
      <c r="VEX175" s="953"/>
      <c r="VEY175" s="953"/>
      <c r="VEZ175" s="953"/>
      <c r="VFA175" s="953"/>
      <c r="VFB175" s="953"/>
      <c r="VFC175" s="953"/>
      <c r="VFD175" s="953"/>
      <c r="VFE175" s="953"/>
      <c r="VFF175" s="953"/>
      <c r="VFG175" s="953"/>
      <c r="VFH175" s="953"/>
      <c r="VFI175" s="953"/>
      <c r="VFJ175" s="953"/>
      <c r="VFK175" s="953"/>
      <c r="VFL175" s="953"/>
      <c r="VFM175" s="953"/>
      <c r="VFN175" s="953"/>
      <c r="VFO175" s="953"/>
      <c r="VFP175" s="953"/>
      <c r="VFQ175" s="953"/>
      <c r="VFR175" s="953"/>
      <c r="VFS175" s="953"/>
      <c r="VFT175" s="953"/>
      <c r="VFU175" s="953"/>
      <c r="VFV175" s="953"/>
      <c r="VFW175" s="953"/>
      <c r="VFX175" s="953"/>
      <c r="VFY175" s="953"/>
      <c r="VFZ175" s="953"/>
      <c r="VGA175" s="953"/>
      <c r="VGB175" s="953"/>
      <c r="VGC175" s="953"/>
      <c r="VGD175" s="953"/>
      <c r="VGE175" s="953"/>
      <c r="VGF175" s="953"/>
      <c r="VGG175" s="953"/>
      <c r="VGH175" s="953"/>
      <c r="VGI175" s="953"/>
      <c r="VGJ175" s="953"/>
      <c r="VGK175" s="953"/>
      <c r="VGL175" s="953"/>
      <c r="VGM175" s="953"/>
      <c r="VGN175" s="953"/>
      <c r="VGO175" s="953"/>
      <c r="VGP175" s="953"/>
      <c r="VGQ175" s="953"/>
      <c r="VGR175" s="953"/>
      <c r="VGS175" s="953"/>
      <c r="VGT175" s="953"/>
      <c r="VGU175" s="953"/>
      <c r="VGV175" s="953"/>
      <c r="VGW175" s="953"/>
      <c r="VGX175" s="953"/>
      <c r="VGY175" s="953"/>
      <c r="VGZ175" s="953"/>
      <c r="VHA175" s="953"/>
      <c r="VHB175" s="953"/>
      <c r="VHC175" s="953"/>
      <c r="VHD175" s="953"/>
      <c r="VHE175" s="953"/>
      <c r="VHF175" s="953"/>
      <c r="VHG175" s="953"/>
      <c r="VHH175" s="953"/>
      <c r="VHI175" s="953"/>
      <c r="VHJ175" s="953"/>
      <c r="VHK175" s="953"/>
      <c r="VHL175" s="953"/>
      <c r="VHM175" s="953"/>
      <c r="VHN175" s="953"/>
      <c r="VHO175" s="953"/>
      <c r="VHP175" s="953"/>
      <c r="VHQ175" s="953"/>
      <c r="VHR175" s="953"/>
      <c r="VHS175" s="953"/>
      <c r="VHT175" s="953"/>
      <c r="VHU175" s="953"/>
      <c r="VHV175" s="953"/>
      <c r="VHW175" s="953"/>
      <c r="VHX175" s="953"/>
      <c r="VHY175" s="953"/>
      <c r="VHZ175" s="953"/>
      <c r="VIA175" s="953"/>
      <c r="VIB175" s="953"/>
      <c r="VIC175" s="953"/>
      <c r="VID175" s="953"/>
      <c r="VIE175" s="953"/>
      <c r="VIF175" s="953"/>
      <c r="VIG175" s="953"/>
      <c r="VIH175" s="953"/>
      <c r="VII175" s="953"/>
      <c r="VIJ175" s="953"/>
      <c r="VIK175" s="953"/>
      <c r="VIL175" s="953"/>
      <c r="VIM175" s="953"/>
      <c r="VIN175" s="953"/>
      <c r="VIO175" s="953"/>
      <c r="VIP175" s="953"/>
      <c r="VIQ175" s="953"/>
      <c r="VIR175" s="953"/>
      <c r="VIS175" s="953"/>
      <c r="VIT175" s="953"/>
      <c r="VIU175" s="953"/>
      <c r="VIV175" s="953"/>
      <c r="VIW175" s="953"/>
      <c r="VIX175" s="953"/>
      <c r="VIY175" s="953"/>
      <c r="VIZ175" s="953"/>
      <c r="VJA175" s="953"/>
      <c r="VJB175" s="953"/>
      <c r="VJC175" s="953"/>
      <c r="VJD175" s="953"/>
      <c r="VJE175" s="953"/>
      <c r="VJF175" s="953"/>
      <c r="VJG175" s="953"/>
      <c r="VJH175" s="953"/>
      <c r="VJI175" s="953"/>
      <c r="VJJ175" s="953"/>
      <c r="VJK175" s="953"/>
      <c r="VJL175" s="953"/>
      <c r="VJM175" s="953"/>
      <c r="VJN175" s="953"/>
      <c r="VJO175" s="953"/>
      <c r="VJP175" s="953"/>
      <c r="VJQ175" s="953"/>
      <c r="VJR175" s="953"/>
      <c r="VJS175" s="953"/>
      <c r="VJT175" s="953"/>
      <c r="VJU175" s="953"/>
      <c r="VJV175" s="953"/>
      <c r="VJW175" s="953"/>
      <c r="VJX175" s="953"/>
      <c r="VJY175" s="953"/>
      <c r="VJZ175" s="953"/>
      <c r="VKA175" s="953"/>
      <c r="VKB175" s="953"/>
      <c r="VKC175" s="953"/>
      <c r="VKD175" s="953"/>
      <c r="VKE175" s="953"/>
      <c r="VKF175" s="953"/>
      <c r="VKG175" s="953"/>
      <c r="VKH175" s="953"/>
      <c r="VKI175" s="953"/>
      <c r="VKJ175" s="953"/>
      <c r="VKK175" s="953"/>
      <c r="VKL175" s="953"/>
      <c r="VKM175" s="953"/>
      <c r="VKN175" s="953"/>
      <c r="VKO175" s="953"/>
      <c r="VKP175" s="953"/>
      <c r="VKQ175" s="953"/>
      <c r="VKR175" s="953"/>
      <c r="VKS175" s="953"/>
      <c r="VKT175" s="953"/>
      <c r="VKU175" s="953"/>
      <c r="VKV175" s="953"/>
      <c r="VKW175" s="953"/>
      <c r="VKX175" s="953"/>
      <c r="VKY175" s="953"/>
      <c r="VKZ175" s="953"/>
      <c r="VLA175" s="953"/>
      <c r="VLB175" s="953"/>
      <c r="VLC175" s="953"/>
      <c r="VLD175" s="953"/>
      <c r="VLE175" s="953"/>
      <c r="VLF175" s="953"/>
      <c r="VLG175" s="953"/>
      <c r="VLH175" s="953"/>
      <c r="VLI175" s="953"/>
      <c r="VLJ175" s="953"/>
      <c r="VLK175" s="953"/>
      <c r="VLL175" s="953"/>
      <c r="VLM175" s="953"/>
      <c r="VLN175" s="953"/>
      <c r="VLO175" s="953"/>
      <c r="VLP175" s="953"/>
      <c r="VLQ175" s="953"/>
      <c r="VLR175" s="953"/>
      <c r="VLS175" s="953"/>
      <c r="VLT175" s="953"/>
      <c r="VLU175" s="953"/>
      <c r="VLV175" s="953"/>
      <c r="VLW175" s="953"/>
      <c r="VLX175" s="953"/>
      <c r="VLY175" s="953"/>
      <c r="VLZ175" s="953"/>
      <c r="VMA175" s="953"/>
      <c r="VMB175" s="953"/>
      <c r="VMC175" s="953"/>
      <c r="VMD175" s="953"/>
      <c r="VME175" s="953"/>
      <c r="VMF175" s="953"/>
      <c r="VMG175" s="953"/>
      <c r="VMH175" s="953"/>
      <c r="VMI175" s="953"/>
      <c r="VMJ175" s="953"/>
      <c r="VMK175" s="953"/>
      <c r="VML175" s="953"/>
      <c r="VMM175" s="953"/>
      <c r="VMN175" s="953"/>
      <c r="VMO175" s="953"/>
      <c r="VMP175" s="953"/>
      <c r="VMQ175" s="953"/>
      <c r="VMR175" s="953"/>
      <c r="VMS175" s="953"/>
      <c r="VMT175" s="953"/>
      <c r="VMU175" s="953"/>
      <c r="VMV175" s="953"/>
      <c r="VMW175" s="953"/>
      <c r="VMX175" s="953"/>
      <c r="VMY175" s="953"/>
      <c r="VMZ175" s="953"/>
      <c r="VNA175" s="953"/>
      <c r="VNB175" s="953"/>
      <c r="VNC175" s="953"/>
      <c r="VND175" s="953"/>
      <c r="VNE175" s="953"/>
      <c r="VNF175" s="953"/>
      <c r="VNG175" s="953"/>
      <c r="VNH175" s="953"/>
      <c r="VNI175" s="953"/>
      <c r="VNJ175" s="953"/>
      <c r="VNK175" s="953"/>
      <c r="VNL175" s="953"/>
      <c r="VNM175" s="953"/>
      <c r="VNN175" s="953"/>
      <c r="VNO175" s="953"/>
      <c r="VNP175" s="953"/>
      <c r="VNQ175" s="953"/>
      <c r="VNR175" s="953"/>
      <c r="VNS175" s="953"/>
      <c r="VNT175" s="953"/>
      <c r="VNU175" s="953"/>
      <c r="VNV175" s="953"/>
      <c r="VNW175" s="953"/>
      <c r="VNX175" s="953"/>
      <c r="VNY175" s="953"/>
      <c r="VNZ175" s="953"/>
      <c r="VOA175" s="953"/>
      <c r="VOB175" s="953"/>
      <c r="VOC175" s="953"/>
      <c r="VOD175" s="953"/>
      <c r="VOE175" s="953"/>
      <c r="VOF175" s="953"/>
      <c r="VOG175" s="953"/>
      <c r="VOH175" s="953"/>
      <c r="VOI175" s="953"/>
      <c r="VOJ175" s="953"/>
      <c r="VOK175" s="953"/>
      <c r="VOL175" s="953"/>
      <c r="VOM175" s="953"/>
      <c r="VON175" s="953"/>
      <c r="VOO175" s="953"/>
      <c r="VOP175" s="953"/>
      <c r="VOQ175" s="953"/>
      <c r="VOR175" s="953"/>
      <c r="VOS175" s="953"/>
      <c r="VOT175" s="953"/>
      <c r="VOU175" s="953"/>
      <c r="VOV175" s="953"/>
      <c r="VOW175" s="953"/>
      <c r="VOX175" s="953"/>
      <c r="VOY175" s="953"/>
      <c r="VOZ175" s="953"/>
      <c r="VPA175" s="953"/>
      <c r="VPB175" s="953"/>
      <c r="VPC175" s="953"/>
      <c r="VPD175" s="953"/>
      <c r="VPE175" s="953"/>
      <c r="VPF175" s="953"/>
      <c r="VPG175" s="953"/>
      <c r="VPH175" s="953"/>
      <c r="VPI175" s="953"/>
      <c r="VPJ175" s="953"/>
      <c r="VPK175" s="953"/>
      <c r="VPL175" s="953"/>
      <c r="VPM175" s="953"/>
      <c r="VPN175" s="953"/>
      <c r="VPO175" s="953"/>
      <c r="VPP175" s="953"/>
      <c r="VPQ175" s="953"/>
      <c r="VPR175" s="953"/>
      <c r="VPS175" s="953"/>
      <c r="VPT175" s="953"/>
      <c r="VPU175" s="953"/>
      <c r="VPV175" s="953"/>
      <c r="VPW175" s="953"/>
      <c r="VPX175" s="953"/>
      <c r="VPY175" s="953"/>
      <c r="VPZ175" s="953"/>
      <c r="VQA175" s="953"/>
      <c r="VQB175" s="953"/>
      <c r="VQC175" s="953"/>
      <c r="VQD175" s="953"/>
      <c r="VQE175" s="953"/>
      <c r="VQF175" s="953"/>
      <c r="VQG175" s="953"/>
      <c r="VQH175" s="953"/>
      <c r="VQI175" s="953"/>
      <c r="VQJ175" s="953"/>
      <c r="VQK175" s="953"/>
      <c r="VQL175" s="953"/>
      <c r="VQM175" s="953"/>
      <c r="VQN175" s="953"/>
      <c r="VQO175" s="953"/>
      <c r="VQP175" s="953"/>
      <c r="VQQ175" s="953"/>
      <c r="VQR175" s="953"/>
      <c r="VQS175" s="953"/>
      <c r="VQT175" s="953"/>
      <c r="VQU175" s="953"/>
      <c r="VQV175" s="953"/>
      <c r="VQW175" s="953"/>
      <c r="VQX175" s="953"/>
      <c r="VQY175" s="953"/>
      <c r="VQZ175" s="953"/>
      <c r="VRA175" s="953"/>
      <c r="VRB175" s="953"/>
      <c r="VRC175" s="953"/>
      <c r="VRD175" s="953"/>
      <c r="VRE175" s="953"/>
      <c r="VRF175" s="953"/>
      <c r="VRG175" s="953"/>
      <c r="VRH175" s="953"/>
      <c r="VRI175" s="953"/>
      <c r="VRJ175" s="953"/>
      <c r="VRK175" s="953"/>
      <c r="VRL175" s="953"/>
      <c r="VRM175" s="953"/>
      <c r="VRN175" s="953"/>
      <c r="VRO175" s="953"/>
      <c r="VRP175" s="953"/>
      <c r="VRQ175" s="953"/>
      <c r="VRR175" s="953"/>
      <c r="VRS175" s="953"/>
      <c r="VRT175" s="953"/>
      <c r="VRU175" s="953"/>
      <c r="VRV175" s="953"/>
      <c r="VRW175" s="953"/>
      <c r="VRX175" s="953"/>
      <c r="VRY175" s="953"/>
      <c r="VRZ175" s="953"/>
      <c r="VSA175" s="953"/>
      <c r="VSB175" s="953"/>
      <c r="VSC175" s="953"/>
      <c r="VSD175" s="953"/>
      <c r="VSE175" s="953"/>
      <c r="VSF175" s="953"/>
      <c r="VSG175" s="953"/>
      <c r="VSH175" s="953"/>
      <c r="VSI175" s="953"/>
      <c r="VSJ175" s="953"/>
      <c r="VSK175" s="953"/>
      <c r="VSL175" s="953"/>
      <c r="VSM175" s="953"/>
      <c r="VSN175" s="953"/>
      <c r="VSO175" s="953"/>
      <c r="VSP175" s="953"/>
      <c r="VSQ175" s="953"/>
      <c r="VSR175" s="953"/>
      <c r="VSS175" s="953"/>
      <c r="VST175" s="953"/>
      <c r="VSU175" s="953"/>
      <c r="VSV175" s="953"/>
      <c r="VSW175" s="953"/>
      <c r="VSX175" s="953"/>
      <c r="VSY175" s="953"/>
      <c r="VSZ175" s="953"/>
      <c r="VTA175" s="953"/>
      <c r="VTB175" s="953"/>
      <c r="VTC175" s="953"/>
      <c r="VTD175" s="953"/>
      <c r="VTE175" s="953"/>
      <c r="VTF175" s="953"/>
      <c r="VTG175" s="953"/>
      <c r="VTH175" s="953"/>
      <c r="VTI175" s="953"/>
      <c r="VTJ175" s="953"/>
      <c r="VTK175" s="953"/>
      <c r="VTL175" s="953"/>
      <c r="VTM175" s="953"/>
      <c r="VTN175" s="953"/>
      <c r="VTO175" s="953"/>
      <c r="VTP175" s="953"/>
      <c r="VTQ175" s="953"/>
      <c r="VTR175" s="953"/>
      <c r="VTS175" s="953"/>
      <c r="VTT175" s="953"/>
      <c r="VTU175" s="953"/>
      <c r="VTV175" s="953"/>
      <c r="VTW175" s="953"/>
      <c r="VTX175" s="953"/>
      <c r="VTY175" s="953"/>
      <c r="VTZ175" s="953"/>
      <c r="VUA175" s="953"/>
      <c r="VUB175" s="953"/>
      <c r="VUC175" s="953"/>
      <c r="VUD175" s="953"/>
      <c r="VUE175" s="953"/>
      <c r="VUF175" s="953"/>
      <c r="VUG175" s="953"/>
      <c r="VUH175" s="953"/>
      <c r="VUI175" s="953"/>
      <c r="VUJ175" s="953"/>
      <c r="VUK175" s="953"/>
      <c r="VUL175" s="953"/>
      <c r="VUM175" s="953"/>
      <c r="VUN175" s="953"/>
      <c r="VUO175" s="953"/>
      <c r="VUP175" s="953"/>
      <c r="VUQ175" s="953"/>
      <c r="VUR175" s="953"/>
      <c r="VUS175" s="953"/>
      <c r="VUT175" s="953"/>
      <c r="VUU175" s="953"/>
      <c r="VUV175" s="953"/>
      <c r="VUW175" s="953"/>
      <c r="VUX175" s="953"/>
      <c r="VUY175" s="953"/>
      <c r="VUZ175" s="953"/>
      <c r="VVA175" s="953"/>
      <c r="VVB175" s="953"/>
      <c r="VVC175" s="953"/>
      <c r="VVD175" s="953"/>
      <c r="VVE175" s="953"/>
      <c r="VVF175" s="953"/>
      <c r="VVG175" s="953"/>
      <c r="VVH175" s="953"/>
      <c r="VVI175" s="953"/>
      <c r="VVJ175" s="953"/>
      <c r="VVK175" s="953"/>
      <c r="VVL175" s="953"/>
      <c r="VVM175" s="953"/>
      <c r="VVN175" s="953"/>
      <c r="VVO175" s="953"/>
      <c r="VVP175" s="953"/>
      <c r="VVQ175" s="953"/>
      <c r="VVR175" s="953"/>
      <c r="VVS175" s="953"/>
      <c r="VVT175" s="953"/>
      <c r="VVU175" s="953"/>
      <c r="VVV175" s="953"/>
      <c r="VVW175" s="953"/>
      <c r="VVX175" s="953"/>
      <c r="VVY175" s="953"/>
      <c r="VVZ175" s="953"/>
      <c r="VWA175" s="953"/>
      <c r="VWB175" s="953"/>
      <c r="VWC175" s="953"/>
      <c r="VWD175" s="953"/>
      <c r="VWE175" s="953"/>
      <c r="VWF175" s="953"/>
      <c r="VWG175" s="953"/>
      <c r="VWH175" s="953"/>
      <c r="VWI175" s="953"/>
      <c r="VWJ175" s="953"/>
      <c r="VWK175" s="953"/>
      <c r="VWL175" s="953"/>
      <c r="VWM175" s="953"/>
      <c r="VWN175" s="953"/>
      <c r="VWO175" s="953"/>
      <c r="VWP175" s="953"/>
      <c r="VWQ175" s="953"/>
      <c r="VWR175" s="953"/>
      <c r="VWS175" s="953"/>
      <c r="VWT175" s="953"/>
      <c r="VWU175" s="953"/>
      <c r="VWV175" s="953"/>
      <c r="VWW175" s="953"/>
      <c r="VWX175" s="953"/>
      <c r="VWY175" s="953"/>
      <c r="VWZ175" s="953"/>
      <c r="VXA175" s="953"/>
      <c r="VXB175" s="953"/>
      <c r="VXC175" s="953"/>
      <c r="VXD175" s="953"/>
      <c r="VXE175" s="953"/>
      <c r="VXF175" s="953"/>
      <c r="VXG175" s="953"/>
      <c r="VXH175" s="953"/>
      <c r="VXI175" s="953"/>
      <c r="VXJ175" s="953"/>
      <c r="VXK175" s="953"/>
      <c r="VXL175" s="953"/>
      <c r="VXM175" s="953"/>
      <c r="VXN175" s="953"/>
      <c r="VXO175" s="953"/>
      <c r="VXP175" s="953"/>
      <c r="VXQ175" s="953"/>
      <c r="VXR175" s="953"/>
      <c r="VXS175" s="953"/>
      <c r="VXT175" s="953"/>
      <c r="VXU175" s="953"/>
      <c r="VXV175" s="953"/>
      <c r="VXW175" s="953"/>
      <c r="VXX175" s="953"/>
      <c r="VXY175" s="953"/>
      <c r="VXZ175" s="953"/>
      <c r="VYA175" s="953"/>
      <c r="VYB175" s="953"/>
      <c r="VYC175" s="953"/>
      <c r="VYD175" s="953"/>
      <c r="VYE175" s="953"/>
      <c r="VYF175" s="953"/>
      <c r="VYG175" s="953"/>
      <c r="VYH175" s="953"/>
      <c r="VYI175" s="953"/>
      <c r="VYJ175" s="953"/>
      <c r="VYK175" s="953"/>
      <c r="VYL175" s="953"/>
      <c r="VYM175" s="953"/>
      <c r="VYN175" s="953"/>
      <c r="VYO175" s="953"/>
      <c r="VYP175" s="953"/>
      <c r="VYQ175" s="953"/>
      <c r="VYR175" s="953"/>
      <c r="VYS175" s="953"/>
      <c r="VYT175" s="953"/>
      <c r="VYU175" s="953"/>
      <c r="VYV175" s="953"/>
      <c r="VYW175" s="953"/>
      <c r="VYX175" s="953"/>
      <c r="VYY175" s="953"/>
      <c r="VYZ175" s="953"/>
      <c r="VZA175" s="953"/>
      <c r="VZB175" s="953"/>
      <c r="VZC175" s="953"/>
      <c r="VZD175" s="953"/>
      <c r="VZE175" s="953"/>
      <c r="VZF175" s="953"/>
      <c r="VZG175" s="953"/>
      <c r="VZH175" s="953"/>
      <c r="VZI175" s="953"/>
      <c r="VZJ175" s="953"/>
      <c r="VZK175" s="953"/>
      <c r="VZL175" s="953"/>
      <c r="VZM175" s="953"/>
      <c r="VZN175" s="953"/>
      <c r="VZO175" s="953"/>
      <c r="VZP175" s="953"/>
      <c r="VZQ175" s="953"/>
      <c r="VZR175" s="953"/>
      <c r="VZS175" s="953"/>
      <c r="VZT175" s="953"/>
      <c r="VZU175" s="953"/>
      <c r="VZV175" s="953"/>
      <c r="VZW175" s="953"/>
      <c r="VZX175" s="953"/>
      <c r="VZY175" s="953"/>
      <c r="VZZ175" s="953"/>
      <c r="WAA175" s="953"/>
      <c r="WAB175" s="953"/>
      <c r="WAC175" s="953"/>
      <c r="WAD175" s="953"/>
      <c r="WAE175" s="953"/>
      <c r="WAF175" s="953"/>
      <c r="WAG175" s="953"/>
      <c r="WAH175" s="953"/>
      <c r="WAI175" s="953"/>
      <c r="WAJ175" s="953"/>
      <c r="WAK175" s="953"/>
      <c r="WAL175" s="953"/>
      <c r="WAM175" s="953"/>
      <c r="WAN175" s="953"/>
      <c r="WAO175" s="953"/>
      <c r="WAP175" s="953"/>
      <c r="WAQ175" s="953"/>
      <c r="WAR175" s="953"/>
      <c r="WAS175" s="953"/>
      <c r="WAT175" s="953"/>
      <c r="WAU175" s="953"/>
      <c r="WAV175" s="953"/>
      <c r="WAW175" s="953"/>
      <c r="WAX175" s="953"/>
      <c r="WAY175" s="953"/>
      <c r="WAZ175" s="953"/>
      <c r="WBA175" s="953"/>
      <c r="WBB175" s="953"/>
      <c r="WBC175" s="953"/>
      <c r="WBD175" s="953"/>
      <c r="WBE175" s="953"/>
      <c r="WBF175" s="953"/>
      <c r="WBG175" s="953"/>
      <c r="WBH175" s="953"/>
      <c r="WBI175" s="953"/>
      <c r="WBJ175" s="953"/>
      <c r="WBK175" s="953"/>
      <c r="WBL175" s="953"/>
      <c r="WBM175" s="953"/>
      <c r="WBN175" s="953"/>
      <c r="WBO175" s="953"/>
      <c r="WBP175" s="953"/>
      <c r="WBQ175" s="953"/>
      <c r="WBR175" s="953"/>
      <c r="WBS175" s="953"/>
      <c r="WBT175" s="953"/>
      <c r="WBU175" s="953"/>
      <c r="WBV175" s="953"/>
      <c r="WBW175" s="953"/>
      <c r="WBX175" s="953"/>
      <c r="WBY175" s="953"/>
      <c r="WBZ175" s="953"/>
      <c r="WCA175" s="953"/>
      <c r="WCB175" s="953"/>
      <c r="WCC175" s="953"/>
      <c r="WCD175" s="953"/>
      <c r="WCE175" s="953"/>
      <c r="WCF175" s="953"/>
      <c r="WCG175" s="953"/>
      <c r="WCH175" s="953"/>
      <c r="WCI175" s="953"/>
      <c r="WCJ175" s="953"/>
      <c r="WCK175" s="953"/>
      <c r="WCL175" s="953"/>
      <c r="WCM175" s="953"/>
      <c r="WCN175" s="953"/>
      <c r="WCO175" s="953"/>
      <c r="WCP175" s="953"/>
      <c r="WCQ175" s="953"/>
      <c r="WCR175" s="953"/>
      <c r="WCS175" s="953"/>
      <c r="WCT175" s="953"/>
      <c r="WCU175" s="953"/>
      <c r="WCV175" s="953"/>
      <c r="WCW175" s="953"/>
      <c r="WCX175" s="953"/>
      <c r="WCY175" s="953"/>
      <c r="WCZ175" s="953"/>
      <c r="WDA175" s="953"/>
      <c r="WDB175" s="953"/>
      <c r="WDC175" s="953"/>
      <c r="WDD175" s="953"/>
      <c r="WDE175" s="953"/>
      <c r="WDF175" s="953"/>
      <c r="WDG175" s="953"/>
      <c r="WDH175" s="953"/>
      <c r="WDI175" s="953"/>
      <c r="WDJ175" s="953"/>
      <c r="WDK175" s="953"/>
      <c r="WDL175" s="953"/>
      <c r="WDM175" s="953"/>
      <c r="WDN175" s="953"/>
      <c r="WDO175" s="953"/>
      <c r="WDP175" s="953"/>
      <c r="WDQ175" s="953"/>
      <c r="WDR175" s="953"/>
      <c r="WDS175" s="953"/>
      <c r="WDT175" s="953"/>
      <c r="WDU175" s="953"/>
      <c r="WDV175" s="953"/>
      <c r="WDW175" s="953"/>
      <c r="WDX175" s="953"/>
      <c r="WDY175" s="953"/>
      <c r="WDZ175" s="953"/>
      <c r="WEA175" s="953"/>
      <c r="WEB175" s="953"/>
      <c r="WEC175" s="953"/>
      <c r="WED175" s="953"/>
      <c r="WEE175" s="953"/>
      <c r="WEF175" s="953"/>
      <c r="WEG175" s="953"/>
      <c r="WEH175" s="953"/>
      <c r="WEI175" s="953"/>
      <c r="WEJ175" s="953"/>
      <c r="WEK175" s="953"/>
      <c r="WEL175" s="953"/>
      <c r="WEM175" s="953"/>
      <c r="WEN175" s="953"/>
      <c r="WEO175" s="953"/>
      <c r="WEP175" s="953"/>
      <c r="WEQ175" s="953"/>
      <c r="WER175" s="953"/>
      <c r="WES175" s="953"/>
      <c r="WET175" s="953"/>
      <c r="WEU175" s="953"/>
      <c r="WEV175" s="953"/>
      <c r="WEW175" s="953"/>
      <c r="WEX175" s="953"/>
      <c r="WEY175" s="953"/>
      <c r="WEZ175" s="953"/>
      <c r="WFA175" s="953"/>
      <c r="WFB175" s="953"/>
      <c r="WFC175" s="953"/>
      <c r="WFD175" s="953"/>
      <c r="WFE175" s="953"/>
      <c r="WFF175" s="953"/>
      <c r="WFG175" s="953"/>
      <c r="WFH175" s="953"/>
      <c r="WFI175" s="953"/>
      <c r="WFJ175" s="953"/>
      <c r="WFK175" s="953"/>
      <c r="WFL175" s="953"/>
      <c r="WFM175" s="953"/>
      <c r="WFN175" s="953"/>
      <c r="WFO175" s="953"/>
      <c r="WFP175" s="953"/>
      <c r="WFQ175" s="953"/>
      <c r="WFR175" s="953"/>
      <c r="WFS175" s="953"/>
      <c r="WFT175" s="953"/>
      <c r="WFU175" s="953"/>
      <c r="WFV175" s="953"/>
      <c r="WFW175" s="953"/>
      <c r="WFX175" s="953"/>
      <c r="WFY175" s="953"/>
      <c r="WFZ175" s="953"/>
      <c r="WGA175" s="953"/>
      <c r="WGB175" s="953"/>
      <c r="WGC175" s="953"/>
      <c r="WGD175" s="953"/>
      <c r="WGE175" s="953"/>
      <c r="WGF175" s="953"/>
      <c r="WGG175" s="953"/>
      <c r="WGH175" s="953"/>
      <c r="WGI175" s="953"/>
      <c r="WGJ175" s="953"/>
      <c r="WGK175" s="953"/>
      <c r="WGL175" s="953"/>
      <c r="WGM175" s="953"/>
      <c r="WGN175" s="953"/>
      <c r="WGO175" s="953"/>
      <c r="WGP175" s="953"/>
      <c r="WGQ175" s="953"/>
      <c r="WGR175" s="953"/>
      <c r="WGS175" s="953"/>
      <c r="WGT175" s="953"/>
      <c r="WGU175" s="953"/>
      <c r="WGV175" s="953"/>
      <c r="WGW175" s="953"/>
      <c r="WGX175" s="953"/>
      <c r="WGY175" s="953"/>
      <c r="WGZ175" s="953"/>
      <c r="WHA175" s="953"/>
      <c r="WHB175" s="953"/>
      <c r="WHC175" s="953"/>
      <c r="WHD175" s="953"/>
      <c r="WHE175" s="953"/>
      <c r="WHF175" s="953"/>
      <c r="WHG175" s="953"/>
      <c r="WHH175" s="953"/>
      <c r="WHI175" s="953"/>
      <c r="WHJ175" s="953"/>
      <c r="WHK175" s="953"/>
      <c r="WHL175" s="953"/>
      <c r="WHM175" s="953"/>
      <c r="WHN175" s="953"/>
      <c r="WHO175" s="953"/>
      <c r="WHP175" s="953"/>
      <c r="WHQ175" s="953"/>
      <c r="WHR175" s="953"/>
      <c r="WHS175" s="953"/>
      <c r="WHT175" s="953"/>
      <c r="WHU175" s="953"/>
      <c r="WHV175" s="953"/>
      <c r="WHW175" s="953"/>
      <c r="WHX175" s="953"/>
      <c r="WHY175" s="953"/>
      <c r="WHZ175" s="953"/>
      <c r="WIA175" s="953"/>
      <c r="WIB175" s="953"/>
      <c r="WIC175" s="953"/>
      <c r="WID175" s="953"/>
      <c r="WIE175" s="953"/>
      <c r="WIF175" s="953"/>
      <c r="WIG175" s="953"/>
      <c r="WIH175" s="953"/>
      <c r="WII175" s="953"/>
      <c r="WIJ175" s="953"/>
      <c r="WIK175" s="953"/>
      <c r="WIL175" s="953"/>
      <c r="WIM175" s="953"/>
      <c r="WIN175" s="953"/>
      <c r="WIO175" s="953"/>
      <c r="WIP175" s="953"/>
      <c r="WIQ175" s="953"/>
      <c r="WIR175" s="953"/>
      <c r="WIS175" s="953"/>
      <c r="WIT175" s="953"/>
      <c r="WIU175" s="953"/>
      <c r="WIV175" s="953"/>
      <c r="WIW175" s="953"/>
      <c r="WIX175" s="953"/>
      <c r="WIY175" s="953"/>
      <c r="WIZ175" s="953"/>
      <c r="WJA175" s="953"/>
      <c r="WJB175" s="953"/>
      <c r="WJC175" s="953"/>
      <c r="WJD175" s="953"/>
      <c r="WJE175" s="953"/>
      <c r="WJF175" s="953"/>
      <c r="WJG175" s="953"/>
      <c r="WJH175" s="953"/>
      <c r="WJI175" s="953"/>
      <c r="WJJ175" s="953"/>
      <c r="WJK175" s="953"/>
      <c r="WJL175" s="953"/>
      <c r="WJM175" s="953"/>
      <c r="WJN175" s="953"/>
      <c r="WJO175" s="953"/>
      <c r="WJP175" s="953"/>
      <c r="WJQ175" s="953"/>
      <c r="WJR175" s="953"/>
      <c r="WJS175" s="953"/>
      <c r="WJT175" s="953"/>
      <c r="WJU175" s="953"/>
      <c r="WJV175" s="953"/>
      <c r="WJW175" s="953"/>
      <c r="WJX175" s="953"/>
      <c r="WJY175" s="953"/>
      <c r="WJZ175" s="953"/>
      <c r="WKA175" s="953"/>
      <c r="WKB175" s="953"/>
      <c r="WKC175" s="953"/>
      <c r="WKD175" s="953"/>
      <c r="WKE175" s="953"/>
      <c r="WKF175" s="953"/>
      <c r="WKG175" s="953"/>
      <c r="WKH175" s="953"/>
      <c r="WKI175" s="953"/>
      <c r="WKJ175" s="953"/>
      <c r="WKK175" s="953"/>
      <c r="WKL175" s="953"/>
      <c r="WKM175" s="953"/>
      <c r="WKN175" s="953"/>
      <c r="WKO175" s="953"/>
      <c r="WKP175" s="953"/>
      <c r="WKQ175" s="953"/>
      <c r="WKR175" s="953"/>
      <c r="WKS175" s="953"/>
      <c r="WKT175" s="953"/>
      <c r="WKU175" s="953"/>
      <c r="WKV175" s="953"/>
      <c r="WKW175" s="953"/>
      <c r="WKX175" s="953"/>
      <c r="WKY175" s="953"/>
      <c r="WKZ175" s="953"/>
      <c r="WLA175" s="953"/>
      <c r="WLB175" s="953"/>
      <c r="WLC175" s="953"/>
      <c r="WLD175" s="953"/>
      <c r="WLE175" s="953"/>
      <c r="WLF175" s="953"/>
      <c r="WLG175" s="953"/>
      <c r="WLH175" s="953"/>
      <c r="WLI175" s="953"/>
      <c r="WLJ175" s="953"/>
      <c r="WLK175" s="953"/>
      <c r="WLL175" s="953"/>
      <c r="WLM175" s="953"/>
      <c r="WLN175" s="953"/>
      <c r="WLO175" s="953"/>
      <c r="WLP175" s="953"/>
      <c r="WLQ175" s="953"/>
      <c r="WLR175" s="953"/>
      <c r="WLS175" s="953"/>
      <c r="WLT175" s="953"/>
      <c r="WLU175" s="953"/>
      <c r="WLV175" s="953"/>
      <c r="WLW175" s="953"/>
      <c r="WLX175" s="953"/>
      <c r="WLY175" s="953"/>
      <c r="WLZ175" s="953"/>
      <c r="WMA175" s="953"/>
      <c r="WMB175" s="953"/>
      <c r="WMC175" s="953"/>
      <c r="WMD175" s="953"/>
      <c r="WME175" s="953"/>
      <c r="WMF175" s="953"/>
      <c r="WMG175" s="953"/>
      <c r="WMH175" s="953"/>
      <c r="WMI175" s="953"/>
      <c r="WMJ175" s="953"/>
      <c r="WMK175" s="953"/>
      <c r="WML175" s="953"/>
      <c r="WMM175" s="953"/>
      <c r="WMN175" s="953"/>
      <c r="WMO175" s="953"/>
      <c r="WMP175" s="953"/>
      <c r="WMQ175" s="953"/>
      <c r="WMR175" s="953"/>
      <c r="WMS175" s="953"/>
      <c r="WMT175" s="953"/>
      <c r="WMU175" s="953"/>
      <c r="WMV175" s="953"/>
      <c r="WMW175" s="953"/>
      <c r="WMX175" s="953"/>
      <c r="WMY175" s="953"/>
      <c r="WMZ175" s="953"/>
      <c r="WNA175" s="953"/>
      <c r="WNB175" s="953"/>
      <c r="WNC175" s="953"/>
      <c r="WND175" s="953"/>
      <c r="WNE175" s="953"/>
      <c r="WNF175" s="953"/>
      <c r="WNG175" s="953"/>
      <c r="WNH175" s="953"/>
      <c r="WNI175" s="953"/>
      <c r="WNJ175" s="953"/>
      <c r="WNK175" s="953"/>
      <c r="WNL175" s="953"/>
      <c r="WNM175" s="953"/>
      <c r="WNN175" s="953"/>
      <c r="WNO175" s="953"/>
      <c r="WNP175" s="953"/>
      <c r="WNQ175" s="953"/>
      <c r="WNR175" s="953"/>
      <c r="WNS175" s="953"/>
      <c r="WNT175" s="953"/>
      <c r="WNU175" s="953"/>
      <c r="WNV175" s="953"/>
      <c r="WNW175" s="953"/>
      <c r="WNX175" s="953"/>
      <c r="WNY175" s="953"/>
      <c r="WNZ175" s="953"/>
      <c r="WOA175" s="953"/>
      <c r="WOB175" s="953"/>
      <c r="WOC175" s="953"/>
      <c r="WOD175" s="953"/>
      <c r="WOE175" s="953"/>
      <c r="WOF175" s="953"/>
      <c r="WOG175" s="953"/>
      <c r="WOH175" s="953"/>
      <c r="WOI175" s="953"/>
      <c r="WOJ175" s="953"/>
      <c r="WOK175" s="953"/>
      <c r="WOL175" s="953"/>
      <c r="WOM175" s="953"/>
      <c r="WON175" s="953"/>
      <c r="WOO175" s="953"/>
      <c r="WOP175" s="953"/>
      <c r="WOQ175" s="953"/>
      <c r="WOR175" s="953"/>
      <c r="WOS175" s="953"/>
      <c r="WOT175" s="953"/>
      <c r="WOU175" s="953"/>
      <c r="WOV175" s="953"/>
      <c r="WOW175" s="953"/>
      <c r="WOX175" s="953"/>
      <c r="WOY175" s="953"/>
      <c r="WOZ175" s="953"/>
      <c r="WPA175" s="953"/>
      <c r="WPB175" s="953"/>
      <c r="WPC175" s="953"/>
      <c r="WPD175" s="953"/>
      <c r="WPE175" s="953"/>
      <c r="WPF175" s="953"/>
      <c r="WPG175" s="953"/>
      <c r="WPH175" s="953"/>
      <c r="WPI175" s="953"/>
      <c r="WPJ175" s="953"/>
      <c r="WPK175" s="953"/>
      <c r="WPL175" s="953"/>
      <c r="WPM175" s="953"/>
      <c r="WPN175" s="953"/>
      <c r="WPO175" s="953"/>
      <c r="WPP175" s="953"/>
      <c r="WPQ175" s="953"/>
      <c r="WPR175" s="953"/>
      <c r="WPS175" s="953"/>
      <c r="WPT175" s="953"/>
      <c r="WPU175" s="953"/>
      <c r="WPV175" s="953"/>
      <c r="WPW175" s="953"/>
      <c r="WPX175" s="953"/>
      <c r="WPY175" s="953"/>
      <c r="WPZ175" s="953"/>
      <c r="WQA175" s="953"/>
      <c r="WQB175" s="953"/>
      <c r="WQC175" s="953"/>
      <c r="WQD175" s="953"/>
      <c r="WQE175" s="953"/>
      <c r="WQF175" s="953"/>
      <c r="WQG175" s="953"/>
      <c r="WQH175" s="953"/>
      <c r="WQI175" s="953"/>
      <c r="WQJ175" s="953"/>
      <c r="WQK175" s="953"/>
      <c r="WQL175" s="953"/>
      <c r="WQM175" s="953"/>
      <c r="WQN175" s="953"/>
      <c r="WQO175" s="953"/>
      <c r="WQP175" s="953"/>
      <c r="WQQ175" s="953"/>
      <c r="WQR175" s="953"/>
      <c r="WQS175" s="953"/>
      <c r="WQT175" s="953"/>
      <c r="WQU175" s="953"/>
      <c r="WQV175" s="953"/>
      <c r="WQW175" s="953"/>
      <c r="WQX175" s="953"/>
      <c r="WQY175" s="953"/>
      <c r="WQZ175" s="953"/>
      <c r="WRA175" s="953"/>
      <c r="WRB175" s="953"/>
      <c r="WRC175" s="953"/>
      <c r="WRD175" s="953"/>
      <c r="WRE175" s="953"/>
      <c r="WRF175" s="953"/>
      <c r="WRG175" s="953"/>
      <c r="WRH175" s="953"/>
      <c r="WRI175" s="953"/>
      <c r="WRJ175" s="953"/>
      <c r="WRK175" s="953"/>
      <c r="WRL175" s="953"/>
      <c r="WRM175" s="953"/>
      <c r="WRN175" s="953"/>
      <c r="WRO175" s="953"/>
      <c r="WRP175" s="953"/>
      <c r="WRQ175" s="953"/>
      <c r="WRR175" s="953"/>
      <c r="WRS175" s="953"/>
      <c r="WRT175" s="953"/>
      <c r="WRU175" s="953"/>
      <c r="WRV175" s="953"/>
      <c r="WRW175" s="953"/>
      <c r="WRX175" s="953"/>
      <c r="WRY175" s="953"/>
      <c r="WRZ175" s="953"/>
      <c r="WSA175" s="953"/>
      <c r="WSB175" s="953"/>
      <c r="WSC175" s="953"/>
      <c r="WSD175" s="953"/>
      <c r="WSE175" s="953"/>
      <c r="WSF175" s="953"/>
      <c r="WSG175" s="953"/>
      <c r="WSH175" s="953"/>
      <c r="WSI175" s="953"/>
      <c r="WSJ175" s="953"/>
      <c r="WSK175" s="953"/>
      <c r="WSL175" s="953"/>
      <c r="WSM175" s="953"/>
      <c r="WSN175" s="953"/>
      <c r="WSO175" s="953"/>
      <c r="WSP175" s="953"/>
      <c r="WSQ175" s="953"/>
      <c r="WSR175" s="953"/>
      <c r="WSS175" s="953"/>
      <c r="WST175" s="953"/>
      <c r="WSU175" s="953"/>
      <c r="WSV175" s="953"/>
      <c r="WSW175" s="953"/>
      <c r="WSX175" s="953"/>
      <c r="WSY175" s="953"/>
      <c r="WSZ175" s="953"/>
      <c r="WTA175" s="953"/>
      <c r="WTB175" s="953"/>
      <c r="WTC175" s="953"/>
      <c r="WTD175" s="953"/>
      <c r="WTE175" s="953"/>
      <c r="WTF175" s="953"/>
      <c r="WTG175" s="953"/>
      <c r="WTH175" s="953"/>
      <c r="WTI175" s="953"/>
      <c r="WTJ175" s="953"/>
      <c r="WTK175" s="953"/>
      <c r="WTL175" s="953"/>
      <c r="WTM175" s="953"/>
      <c r="WTN175" s="953"/>
      <c r="WTO175" s="953"/>
      <c r="WTP175" s="953"/>
      <c r="WTQ175" s="953"/>
      <c r="WTR175" s="953"/>
      <c r="WTS175" s="953"/>
      <c r="WTT175" s="953"/>
      <c r="WTU175" s="953"/>
      <c r="WTV175" s="953"/>
      <c r="WTW175" s="953"/>
      <c r="WTX175" s="953"/>
      <c r="WTY175" s="953"/>
      <c r="WTZ175" s="953"/>
      <c r="WUA175" s="953"/>
      <c r="WUB175" s="953"/>
      <c r="WUC175" s="953"/>
      <c r="WUD175" s="953"/>
      <c r="WUE175" s="953"/>
      <c r="WUF175" s="953"/>
      <c r="WUG175" s="953"/>
      <c r="WUH175" s="953"/>
      <c r="WUI175" s="953"/>
      <c r="WUJ175" s="953"/>
      <c r="WUK175" s="953"/>
      <c r="WUL175" s="953"/>
      <c r="WUM175" s="953"/>
      <c r="WUN175" s="953"/>
      <c r="WUO175" s="953"/>
      <c r="WUP175" s="953"/>
      <c r="WUQ175" s="953"/>
      <c r="WUR175" s="953"/>
      <c r="WUS175" s="953"/>
      <c r="WUT175" s="953"/>
      <c r="WUU175" s="953"/>
      <c r="WUV175" s="953"/>
      <c r="WUW175" s="953"/>
      <c r="WUX175" s="953"/>
      <c r="WUY175" s="953"/>
      <c r="WUZ175" s="953"/>
      <c r="WVA175" s="953"/>
      <c r="WVB175" s="953"/>
      <c r="WVC175" s="953"/>
      <c r="WVD175" s="953"/>
      <c r="WVE175" s="953"/>
      <c r="WVF175" s="953"/>
      <c r="WVG175" s="953"/>
      <c r="WVH175" s="953"/>
      <c r="WVI175" s="953"/>
      <c r="WVJ175" s="953"/>
      <c r="WVK175" s="953"/>
      <c r="WVL175" s="953"/>
      <c r="WVM175" s="953"/>
      <c r="WVN175" s="953"/>
      <c r="WVO175" s="953"/>
      <c r="WVP175" s="953"/>
      <c r="WVQ175" s="953"/>
      <c r="WVR175" s="953"/>
      <c r="WVS175" s="953"/>
      <c r="WVT175" s="953"/>
      <c r="WVU175" s="953"/>
      <c r="WVV175" s="953"/>
      <c r="WVW175" s="953"/>
      <c r="WVX175" s="953"/>
      <c r="WVY175" s="953"/>
      <c r="WVZ175" s="953"/>
      <c r="WWA175" s="953"/>
      <c r="WWB175" s="953"/>
      <c r="WWC175" s="953"/>
      <c r="WWD175" s="953"/>
      <c r="WWE175" s="953"/>
      <c r="WWF175" s="953"/>
      <c r="WWG175" s="953"/>
      <c r="WWH175" s="953"/>
      <c r="WWI175" s="953"/>
      <c r="WWJ175" s="953"/>
      <c r="WWK175" s="953"/>
      <c r="WWL175" s="953"/>
      <c r="WWM175" s="953"/>
      <c r="WWN175" s="953"/>
      <c r="WWO175" s="953"/>
      <c r="WWP175" s="953"/>
      <c r="WWQ175" s="953"/>
      <c r="WWR175" s="953"/>
      <c r="WWS175" s="953"/>
      <c r="WWT175" s="953"/>
      <c r="WWU175" s="953"/>
      <c r="WWV175" s="953"/>
      <c r="WWW175" s="953"/>
      <c r="WWX175" s="953"/>
      <c r="WWY175" s="953"/>
      <c r="WWZ175" s="953"/>
      <c r="WXA175" s="953"/>
      <c r="WXB175" s="953"/>
      <c r="WXC175" s="953"/>
      <c r="WXD175" s="953"/>
      <c r="WXE175" s="953"/>
      <c r="WXF175" s="953"/>
      <c r="WXG175" s="953"/>
      <c r="WXH175" s="953"/>
      <c r="WXI175" s="953"/>
      <c r="WXJ175" s="953"/>
      <c r="WXK175" s="953"/>
      <c r="WXL175" s="953"/>
      <c r="WXM175" s="953"/>
      <c r="WXN175" s="953"/>
      <c r="WXO175" s="953"/>
      <c r="WXP175" s="953"/>
      <c r="WXQ175" s="953"/>
      <c r="WXR175" s="953"/>
      <c r="WXS175" s="953"/>
      <c r="WXT175" s="953"/>
      <c r="WXU175" s="953"/>
      <c r="WXV175" s="953"/>
      <c r="WXW175" s="953"/>
      <c r="WXX175" s="953"/>
      <c r="WXY175" s="953"/>
      <c r="WXZ175" s="953"/>
      <c r="WYA175" s="953"/>
      <c r="WYB175" s="953"/>
      <c r="WYC175" s="953"/>
      <c r="WYD175" s="953"/>
      <c r="WYE175" s="953"/>
      <c r="WYF175" s="953"/>
      <c r="WYG175" s="953"/>
      <c r="WYH175" s="953"/>
      <c r="WYI175" s="953"/>
      <c r="WYJ175" s="953"/>
      <c r="WYK175" s="953"/>
      <c r="WYL175" s="953"/>
      <c r="WYM175" s="953"/>
      <c r="WYN175" s="953"/>
      <c r="WYO175" s="953"/>
      <c r="WYP175" s="953"/>
      <c r="WYQ175" s="953"/>
      <c r="WYR175" s="953"/>
      <c r="WYS175" s="953"/>
      <c r="WYT175" s="953"/>
      <c r="WYU175" s="953"/>
      <c r="WYV175" s="953"/>
      <c r="WYW175" s="953"/>
      <c r="WYX175" s="953"/>
      <c r="WYY175" s="953"/>
      <c r="WYZ175" s="953"/>
      <c r="WZA175" s="953"/>
      <c r="WZB175" s="953"/>
      <c r="WZC175" s="953"/>
      <c r="WZD175" s="953"/>
      <c r="WZE175" s="953"/>
      <c r="WZF175" s="953"/>
      <c r="WZG175" s="953"/>
      <c r="WZH175" s="953"/>
      <c r="WZI175" s="953"/>
      <c r="WZJ175" s="953"/>
      <c r="WZK175" s="953"/>
      <c r="WZL175" s="953"/>
      <c r="WZM175" s="953"/>
      <c r="WZN175" s="953"/>
      <c r="WZO175" s="953"/>
      <c r="WZP175" s="953"/>
      <c r="WZQ175" s="953"/>
      <c r="WZR175" s="953"/>
      <c r="WZS175" s="953"/>
      <c r="WZT175" s="953"/>
      <c r="WZU175" s="953"/>
      <c r="WZV175" s="953"/>
      <c r="WZW175" s="953"/>
      <c r="WZX175" s="953"/>
      <c r="WZY175" s="953"/>
      <c r="WZZ175" s="953"/>
      <c r="XAA175" s="953"/>
      <c r="XAB175" s="953"/>
      <c r="XAC175" s="953"/>
      <c r="XAD175" s="953"/>
      <c r="XAE175" s="953"/>
      <c r="XAF175" s="953"/>
      <c r="XAG175" s="953"/>
      <c r="XAH175" s="953"/>
      <c r="XAI175" s="953"/>
      <c r="XAJ175" s="953"/>
      <c r="XAK175" s="953"/>
      <c r="XAL175" s="953"/>
      <c r="XAM175" s="953"/>
      <c r="XAN175" s="953"/>
      <c r="XAO175" s="953"/>
      <c r="XAP175" s="953"/>
      <c r="XAQ175" s="953"/>
      <c r="XAR175" s="953"/>
      <c r="XAS175" s="953"/>
      <c r="XAT175" s="953"/>
      <c r="XAU175" s="953"/>
      <c r="XAV175" s="953"/>
      <c r="XAW175" s="953"/>
      <c r="XAX175" s="953"/>
      <c r="XAY175" s="953"/>
      <c r="XAZ175" s="953"/>
      <c r="XBA175" s="953"/>
      <c r="XBB175" s="953"/>
      <c r="XBC175" s="953"/>
      <c r="XBD175" s="953"/>
      <c r="XBE175" s="953"/>
      <c r="XBF175" s="953"/>
      <c r="XBG175" s="953"/>
      <c r="XBH175" s="953"/>
      <c r="XBI175" s="953"/>
      <c r="XBJ175" s="953"/>
      <c r="XBK175" s="953"/>
      <c r="XBL175" s="953"/>
      <c r="XBM175" s="953"/>
      <c r="XBN175" s="953"/>
      <c r="XBO175" s="953"/>
      <c r="XBP175" s="953"/>
      <c r="XBQ175" s="953"/>
      <c r="XBR175" s="953"/>
      <c r="XBS175" s="953"/>
      <c r="XBT175" s="953"/>
      <c r="XBU175" s="953"/>
      <c r="XBV175" s="953"/>
      <c r="XBW175" s="953"/>
      <c r="XBX175" s="953"/>
      <c r="XBY175" s="953"/>
      <c r="XBZ175" s="953"/>
      <c r="XCA175" s="953"/>
      <c r="XCB175" s="953"/>
      <c r="XCC175" s="953"/>
      <c r="XCD175" s="953"/>
      <c r="XCE175" s="953"/>
      <c r="XCF175" s="953"/>
      <c r="XCG175" s="953"/>
      <c r="XCH175" s="953"/>
      <c r="XCI175" s="953"/>
      <c r="XCJ175" s="953"/>
      <c r="XCK175" s="953"/>
      <c r="XCL175" s="953"/>
      <c r="XCM175" s="953"/>
      <c r="XCN175" s="953"/>
      <c r="XCO175" s="953"/>
      <c r="XCP175" s="953"/>
      <c r="XCQ175" s="953"/>
      <c r="XCR175" s="953"/>
      <c r="XCS175" s="953"/>
      <c r="XCT175" s="953"/>
      <c r="XCU175" s="953"/>
      <c r="XCV175" s="953"/>
      <c r="XCW175" s="953"/>
      <c r="XCX175" s="953"/>
      <c r="XCY175" s="953"/>
      <c r="XCZ175" s="953"/>
      <c r="XDA175" s="953"/>
      <c r="XDB175" s="953"/>
      <c r="XDC175" s="953"/>
      <c r="XDD175" s="953"/>
      <c r="XDE175" s="953"/>
      <c r="XDF175" s="953"/>
      <c r="XDG175" s="953"/>
      <c r="XDH175" s="953"/>
      <c r="XDI175" s="953"/>
      <c r="XDJ175" s="953"/>
      <c r="XDK175" s="953"/>
      <c r="XDL175" s="953"/>
      <c r="XDM175" s="953"/>
      <c r="XDN175" s="953"/>
      <c r="XDO175" s="953"/>
      <c r="XDP175" s="953"/>
      <c r="XDQ175" s="953"/>
      <c r="XDR175" s="953"/>
      <c r="XDS175" s="953"/>
      <c r="XDT175" s="953"/>
      <c r="XDU175" s="953"/>
      <c r="XDV175" s="953"/>
      <c r="XDW175" s="953"/>
      <c r="XDX175" s="953"/>
      <c r="XDY175" s="953"/>
      <c r="XDZ175" s="953"/>
      <c r="XEA175" s="953"/>
      <c r="XEB175" s="953"/>
      <c r="XEC175" s="953"/>
      <c r="XED175" s="953"/>
      <c r="XEE175" s="953"/>
      <c r="XEF175" s="953"/>
      <c r="XEG175" s="953"/>
      <c r="XEH175" s="953"/>
      <c r="XEI175" s="953"/>
      <c r="XEJ175" s="953"/>
      <c r="XEK175" s="953"/>
      <c r="XEL175" s="953"/>
      <c r="XEM175" s="953"/>
      <c r="XEN175" s="953"/>
      <c r="XEO175" s="953"/>
      <c r="XEP175" s="953"/>
      <c r="XEQ175" s="953"/>
      <c r="XER175" s="953"/>
      <c r="XES175" s="953"/>
      <c r="XET175" s="953"/>
      <c r="XEU175" s="953"/>
      <c r="XEV175" s="953"/>
      <c r="XEW175" s="953"/>
      <c r="XEX175" s="953"/>
      <c r="XEY175" s="953"/>
      <c r="XEZ175" s="953"/>
      <c r="XFA175" s="953"/>
      <c r="XFB175" s="953"/>
      <c r="XFC175" s="953"/>
      <c r="XFD175" s="953"/>
    </row>
    <row r="176" spans="2:16384" ht="21" customHeight="1" thickBot="1">
      <c r="B176" s="1" t="s">
        <v>3377</v>
      </c>
      <c r="C176" s="1">
        <v>1</v>
      </c>
      <c r="D176" s="953"/>
      <c r="E176" s="537"/>
      <c r="F176" s="537"/>
      <c r="G176" s="957" t="s">
        <v>209</v>
      </c>
      <c r="H176" s="462"/>
      <c r="I176" s="462"/>
      <c r="J176" s="1454" t="s">
        <v>479</v>
      </c>
      <c r="K176" s="1455">
        <f>COUNTIF(G179:G198,"無")</f>
        <v>0</v>
      </c>
      <c r="L176" s="1395" t="s">
        <v>2151</v>
      </c>
      <c r="M176" s="537"/>
      <c r="N176" s="537"/>
      <c r="O176" s="537"/>
    </row>
    <row r="177" spans="2:15" ht="15.75">
      <c r="B177" s="1" t="s">
        <v>3376</v>
      </c>
      <c r="C177" s="1">
        <v>2</v>
      </c>
      <c r="D177" s="953"/>
      <c r="E177" s="537"/>
      <c r="F177" s="1457"/>
      <c r="G177" s="3072" t="s">
        <v>210</v>
      </c>
      <c r="H177" s="1415" t="s">
        <v>211</v>
      </c>
      <c r="I177" s="1458"/>
      <c r="J177" s="1415" t="s">
        <v>2764</v>
      </c>
      <c r="K177" s="1459"/>
      <c r="L177" s="1460"/>
      <c r="M177" s="950"/>
      <c r="N177" s="1248"/>
      <c r="O177" s="1248"/>
    </row>
    <row r="178" spans="2:15" ht="11.25" customHeight="1">
      <c r="B178" s="1">
        <v>3</v>
      </c>
      <c r="C178" s="1">
        <v>3</v>
      </c>
      <c r="D178" s="953"/>
      <c r="E178" s="537"/>
      <c r="F178" s="1461"/>
      <c r="G178" s="3073"/>
      <c r="H178" s="1364"/>
      <c r="I178" s="1462"/>
      <c r="J178" s="1463"/>
      <c r="K178" s="1464"/>
      <c r="L178" s="1465"/>
      <c r="M178" s="950"/>
      <c r="N178" s="956"/>
      <c r="O178" s="956"/>
    </row>
    <row r="179" spans="2:15" ht="15" customHeight="1">
      <c r="B179" s="1">
        <v>4</v>
      </c>
      <c r="C179" s="1">
        <v>4</v>
      </c>
      <c r="D179" s="953"/>
      <c r="E179" s="537"/>
      <c r="F179" s="1466"/>
      <c r="G179" s="1467"/>
      <c r="H179" s="1468" t="s">
        <v>2765</v>
      </c>
      <c r="I179" s="1469"/>
      <c r="J179" s="1468" t="s">
        <v>2766</v>
      </c>
      <c r="K179" s="1470"/>
      <c r="L179" s="1471"/>
      <c r="M179" s="950"/>
      <c r="N179" s="537"/>
      <c r="O179" s="537"/>
    </row>
    <row r="180" spans="2:15" ht="15" customHeight="1">
      <c r="B180" s="1">
        <v>5</v>
      </c>
      <c r="C180" s="1">
        <v>5</v>
      </c>
      <c r="D180" s="953"/>
      <c r="E180" s="537"/>
      <c r="F180" s="1472"/>
      <c r="G180" s="1473"/>
      <c r="H180" s="1474"/>
      <c r="I180" s="1475"/>
      <c r="J180" s="1476" t="s">
        <v>2767</v>
      </c>
      <c r="K180" s="1477"/>
      <c r="L180" s="1475"/>
      <c r="M180" s="950"/>
      <c r="N180" s="155"/>
      <c r="O180" s="155"/>
    </row>
    <row r="181" spans="2:15" ht="15" customHeight="1">
      <c r="B181" s="1002">
        <v>0</v>
      </c>
      <c r="C181" s="1002">
        <v>0</v>
      </c>
      <c r="D181" s="953"/>
      <c r="E181" s="537"/>
      <c r="F181" s="1478"/>
      <c r="G181" s="1473"/>
      <c r="H181" s="1474"/>
      <c r="I181" s="1475"/>
      <c r="J181" s="1476" t="s">
        <v>2768</v>
      </c>
      <c r="K181" s="1477"/>
      <c r="L181" s="1475"/>
      <c r="M181" s="950"/>
      <c r="N181" s="1479"/>
      <c r="O181" s="1479"/>
    </row>
    <row r="182" spans="2:15" ht="15" customHeight="1">
      <c r="D182" s="953"/>
      <c r="E182" s="537"/>
      <c r="F182" s="1472"/>
      <c r="G182" s="1480"/>
      <c r="H182" s="1481"/>
      <c r="I182" s="1482"/>
      <c r="J182" s="1481" t="s">
        <v>2769</v>
      </c>
      <c r="K182" s="1483"/>
      <c r="L182" s="1484"/>
      <c r="M182" s="950"/>
      <c r="N182" s="155"/>
      <c r="O182" s="155"/>
    </row>
    <row r="183" spans="2:15" ht="15" customHeight="1">
      <c r="D183" s="953"/>
      <c r="E183" s="537"/>
      <c r="F183" s="1472"/>
      <c r="G183" s="1467" t="s">
        <v>2672</v>
      </c>
      <c r="H183" s="1468" t="s">
        <v>2770</v>
      </c>
      <c r="I183" s="1469"/>
      <c r="J183" s="1468" t="s">
        <v>2771</v>
      </c>
      <c r="K183" s="1470"/>
      <c r="L183" s="1471"/>
      <c r="M183" s="950"/>
      <c r="N183" s="155"/>
      <c r="O183" s="155"/>
    </row>
    <row r="184" spans="2:15" ht="15" customHeight="1">
      <c r="D184" s="953"/>
      <c r="E184" s="537"/>
      <c r="F184" s="1472"/>
      <c r="G184" s="1473" t="s">
        <v>2672</v>
      </c>
      <c r="H184" s="1474"/>
      <c r="I184" s="1137"/>
      <c r="J184" s="1474" t="s">
        <v>2772</v>
      </c>
      <c r="K184" s="1485"/>
      <c r="L184" s="1475"/>
      <c r="M184" s="950"/>
      <c r="N184" s="155"/>
      <c r="O184" s="155"/>
    </row>
    <row r="185" spans="2:15" ht="15" customHeight="1">
      <c r="D185" s="953"/>
      <c r="E185" s="537"/>
      <c r="F185" s="1472"/>
      <c r="G185" s="1473" t="s">
        <v>2672</v>
      </c>
      <c r="H185" s="1474"/>
      <c r="I185" s="1137"/>
      <c r="J185" s="1474" t="s">
        <v>2773</v>
      </c>
      <c r="K185" s="1485"/>
      <c r="L185" s="1475"/>
      <c r="M185" s="950"/>
      <c r="N185" s="155"/>
      <c r="O185" s="155"/>
    </row>
    <row r="186" spans="2:15" ht="15" customHeight="1">
      <c r="D186" s="953"/>
      <c r="E186" s="537"/>
      <c r="F186" s="1472"/>
      <c r="G186" s="1480" t="s">
        <v>2672</v>
      </c>
      <c r="H186" s="1481"/>
      <c r="I186" s="1482"/>
      <c r="J186" s="1481" t="s">
        <v>2774</v>
      </c>
      <c r="K186" s="1483"/>
      <c r="L186" s="1484"/>
      <c r="M186" s="950"/>
      <c r="N186" s="155"/>
      <c r="O186" s="155"/>
    </row>
    <row r="187" spans="2:15" ht="15" customHeight="1">
      <c r="D187" s="953"/>
      <c r="E187" s="537"/>
      <c r="F187" s="1486"/>
      <c r="G187" s="1467" t="s">
        <v>2672</v>
      </c>
      <c r="H187" s="1468" t="s">
        <v>2775</v>
      </c>
      <c r="I187" s="1469"/>
      <c r="J187" s="1468" t="s">
        <v>2776</v>
      </c>
      <c r="K187" s="1470"/>
      <c r="L187" s="1471"/>
      <c r="M187" s="950"/>
      <c r="N187" s="1046"/>
      <c r="O187" s="1046"/>
    </row>
    <row r="188" spans="2:15" ht="15" customHeight="1">
      <c r="D188" s="953"/>
      <c r="E188" s="537"/>
      <c r="F188" s="1478"/>
      <c r="G188" s="1480" t="s">
        <v>2672</v>
      </c>
      <c r="H188" s="1481"/>
      <c r="I188" s="1482"/>
      <c r="J188" s="1481" t="s">
        <v>2382</v>
      </c>
      <c r="K188" s="1483"/>
      <c r="L188" s="1484"/>
      <c r="M188" s="950"/>
      <c r="N188" s="1479"/>
      <c r="O188" s="1479"/>
    </row>
    <row r="189" spans="2:15" ht="15" customHeight="1">
      <c r="D189" s="953"/>
      <c r="E189" s="537"/>
      <c r="F189" s="1472"/>
      <c r="G189" s="1467" t="s">
        <v>2672</v>
      </c>
      <c r="H189" s="1468" t="s">
        <v>2383</v>
      </c>
      <c r="I189" s="1469"/>
      <c r="J189" s="1468" t="s">
        <v>2384</v>
      </c>
      <c r="K189" s="1470"/>
      <c r="L189" s="1471"/>
      <c r="M189" s="950"/>
      <c r="N189" s="155"/>
      <c r="O189" s="155"/>
    </row>
    <row r="190" spans="2:15" ht="15" customHeight="1">
      <c r="D190" s="953"/>
      <c r="E190" s="537"/>
      <c r="F190" s="1472"/>
      <c r="G190" s="1473" t="s">
        <v>2672</v>
      </c>
      <c r="H190" s="1474"/>
      <c r="I190" s="1137"/>
      <c r="J190" s="1474" t="s">
        <v>2385</v>
      </c>
      <c r="K190" s="1485"/>
      <c r="L190" s="1475"/>
      <c r="M190" s="950"/>
      <c r="N190" s="155"/>
      <c r="O190" s="155"/>
    </row>
    <row r="191" spans="2:15" ht="15" customHeight="1">
      <c r="D191" s="953"/>
      <c r="E191" s="537"/>
      <c r="F191" s="1472"/>
      <c r="G191" s="1473" t="s">
        <v>2672</v>
      </c>
      <c r="H191" s="1474"/>
      <c r="I191" s="1137"/>
      <c r="J191" s="1474" t="s">
        <v>2386</v>
      </c>
      <c r="K191" s="1485"/>
      <c r="L191" s="1475"/>
      <c r="M191" s="950"/>
      <c r="N191" s="155"/>
      <c r="O191" s="155"/>
    </row>
    <row r="192" spans="2:15" ht="15" customHeight="1">
      <c r="D192" s="953"/>
      <c r="E192" s="537"/>
      <c r="F192" s="1472"/>
      <c r="G192" s="1480" t="s">
        <v>2672</v>
      </c>
      <c r="H192" s="1481"/>
      <c r="I192" s="1482"/>
      <c r="J192" s="1481" t="s">
        <v>2387</v>
      </c>
      <c r="K192" s="1483"/>
      <c r="L192" s="1484"/>
      <c r="M192" s="950"/>
      <c r="N192" s="155"/>
      <c r="O192" s="155"/>
    </row>
    <row r="193" spans="2:15" ht="15" customHeight="1">
      <c r="D193" s="953"/>
      <c r="E193" s="537"/>
      <c r="F193" s="1472"/>
      <c r="G193" s="1467" t="s">
        <v>2672</v>
      </c>
      <c r="H193" s="1468" t="s">
        <v>2759</v>
      </c>
      <c r="I193" s="1469"/>
      <c r="J193" s="1468" t="s">
        <v>2760</v>
      </c>
      <c r="K193" s="1470"/>
      <c r="L193" s="1471"/>
      <c r="M193" s="950"/>
      <c r="N193" s="155"/>
      <c r="O193" s="155"/>
    </row>
    <row r="194" spans="2:15" ht="15" customHeight="1">
      <c r="D194" s="953"/>
      <c r="E194" s="537"/>
      <c r="F194" s="1478"/>
      <c r="G194" s="1480" t="s">
        <v>2672</v>
      </c>
      <c r="H194" s="1481"/>
      <c r="I194" s="1482"/>
      <c r="J194" s="1481" t="s">
        <v>2761</v>
      </c>
      <c r="K194" s="1483"/>
      <c r="L194" s="1484"/>
      <c r="M194" s="950"/>
      <c r="N194" s="1479"/>
      <c r="O194" s="1479"/>
    </row>
    <row r="195" spans="2:15" ht="15" customHeight="1">
      <c r="D195" s="953"/>
      <c r="E195" s="537"/>
      <c r="F195" s="1472"/>
      <c r="G195" s="1467"/>
      <c r="H195" s="1487" t="s">
        <v>2762</v>
      </c>
      <c r="I195" s="1488"/>
      <c r="J195" s="1487" t="s">
        <v>1819</v>
      </c>
      <c r="K195" s="1489"/>
      <c r="L195" s="1488"/>
      <c r="M195" s="950"/>
      <c r="N195" s="155"/>
      <c r="O195" s="155"/>
    </row>
    <row r="196" spans="2:15" ht="15" customHeight="1">
      <c r="D196" s="953"/>
      <c r="E196" s="537"/>
      <c r="F196" s="1472"/>
      <c r="G196" s="1473"/>
      <c r="H196" s="1474" t="s">
        <v>1820</v>
      </c>
      <c r="I196" s="1137"/>
      <c r="J196" s="1474" t="s">
        <v>1821</v>
      </c>
      <c r="K196" s="1485"/>
      <c r="L196" s="1137"/>
      <c r="M196" s="950"/>
      <c r="N196" s="155"/>
      <c r="O196" s="155"/>
    </row>
    <row r="197" spans="2:15" ht="15.75">
      <c r="D197" s="953"/>
      <c r="E197" s="537"/>
      <c r="F197" s="1472"/>
      <c r="G197" s="1473"/>
      <c r="H197" s="1474" t="s">
        <v>1822</v>
      </c>
      <c r="I197" s="1137"/>
      <c r="J197" s="1474" t="s">
        <v>2754</v>
      </c>
      <c r="K197" s="1490"/>
      <c r="L197" s="1491"/>
      <c r="M197" s="950"/>
      <c r="N197" s="155"/>
      <c r="O197" s="155"/>
    </row>
    <row r="198" spans="2:15" ht="15.75">
      <c r="D198" s="953"/>
      <c r="E198" s="537"/>
      <c r="F198" s="1478"/>
      <c r="G198" s="1492"/>
      <c r="H198" s="1493" t="s">
        <v>3278</v>
      </c>
      <c r="I198" s="1494"/>
      <c r="J198" s="1493" t="s">
        <v>3279</v>
      </c>
      <c r="K198" s="1483"/>
      <c r="L198" s="1482"/>
      <c r="M198" s="950"/>
      <c r="N198" s="1479"/>
      <c r="O198" s="1479"/>
    </row>
    <row r="199" spans="2:15">
      <c r="D199" s="950"/>
      <c r="E199" s="950"/>
      <c r="F199" s="950"/>
      <c r="G199" s="1495"/>
      <c r="H199" s="1495"/>
      <c r="I199" s="1495"/>
      <c r="J199" s="1495"/>
      <c r="K199" s="1495"/>
      <c r="L199" s="1496"/>
      <c r="M199" s="950"/>
      <c r="N199" s="950"/>
      <c r="O199" s="950"/>
    </row>
    <row r="200" spans="2:15" ht="13.5" customHeight="1">
      <c r="D200" s="949">
        <v>3.2</v>
      </c>
      <c r="E200" s="958" t="s">
        <v>1285</v>
      </c>
      <c r="F200" s="958"/>
      <c r="G200" s="962"/>
      <c r="H200" s="959"/>
      <c r="I200" s="959"/>
      <c r="J200" s="959"/>
      <c r="K200" s="962"/>
      <c r="L200" s="1398"/>
      <c r="M200" s="959"/>
      <c r="N200" s="962"/>
      <c r="O200" s="959"/>
    </row>
    <row r="201" spans="2:15" ht="13.5" customHeight="1">
      <c r="D201" s="949"/>
      <c r="E201" s="958"/>
      <c r="F201" s="1101" t="s">
        <v>2755</v>
      </c>
      <c r="G201" s="962"/>
      <c r="H201" s="959"/>
      <c r="I201" s="959"/>
      <c r="J201" s="959"/>
      <c r="K201" s="1101" t="s">
        <v>2756</v>
      </c>
      <c r="L201" s="1398"/>
      <c r="M201" s="959"/>
      <c r="N201" s="962"/>
      <c r="O201" s="959"/>
    </row>
    <row r="202" spans="2:15" ht="13.5" customHeight="1" thickBot="1">
      <c r="D202" s="953"/>
      <c r="E202" s="950"/>
      <c r="F202" s="965"/>
      <c r="G202" s="966"/>
      <c r="H202" s="967"/>
      <c r="I202" s="968" t="s">
        <v>1358</v>
      </c>
      <c r="J202" s="971">
        <f>重み!M156</f>
        <v>0.33333333333333337</v>
      </c>
      <c r="K202" s="965"/>
      <c r="L202" s="966"/>
      <c r="M202" s="967"/>
      <c r="N202" s="968" t="s">
        <v>1358</v>
      </c>
      <c r="O202" s="971">
        <f>重み!M157</f>
        <v>0.33333333333333337</v>
      </c>
    </row>
    <row r="203" spans="2:15" ht="27" customHeight="1" thickBot="1">
      <c r="D203" s="953"/>
      <c r="E203" s="950"/>
      <c r="F203" s="972">
        <v>4</v>
      </c>
      <c r="G203" s="976" t="s">
        <v>501</v>
      </c>
      <c r="H203" s="977"/>
      <c r="I203" s="977"/>
      <c r="J203" s="1084" t="s">
        <v>1316</v>
      </c>
      <c r="K203" s="972">
        <v>3</v>
      </c>
      <c r="L203" s="1497" t="s">
        <v>501</v>
      </c>
      <c r="M203" s="977"/>
      <c r="N203" s="977"/>
      <c r="O203" s="978"/>
    </row>
    <row r="204" spans="2:15" ht="33" customHeight="1">
      <c r="B204" s="1">
        <v>1</v>
      </c>
      <c r="C204" s="1498" t="s">
        <v>3280</v>
      </c>
      <c r="D204" s="953"/>
      <c r="E204" s="950"/>
      <c r="F204" s="979" t="str">
        <f>IF(F203=$S$16,$T$10,IF(ROUNDDOWN(F203,0)=$S$10,$U$10,$T$10))</f>
        <v>　レベル　1</v>
      </c>
      <c r="G204" s="2731" t="s">
        <v>2757</v>
      </c>
      <c r="H204" s="2757"/>
      <c r="I204" s="2732"/>
      <c r="J204" s="3064" t="s">
        <v>116</v>
      </c>
      <c r="K204" s="979" t="str">
        <f>IF(K203=$S$16,$T$10,IF(ROUNDDOWN(K203,0)=$S$10,$U$10,$T$10))</f>
        <v>　レベル　1</v>
      </c>
      <c r="L204" s="988" t="s">
        <v>2168</v>
      </c>
      <c r="M204" s="982"/>
      <c r="N204" s="982"/>
      <c r="O204" s="983"/>
    </row>
    <row r="205" spans="2:15" ht="18.75" customHeight="1">
      <c r="B205" s="1">
        <v>2</v>
      </c>
      <c r="C205" s="1498" t="s">
        <v>3280</v>
      </c>
      <c r="D205" s="953"/>
      <c r="E205" s="950"/>
      <c r="F205" s="984" t="str">
        <f>IF(F203=$S$16,$T$11,IF(ROUNDDOWN(F203,0)=$S$11,$U$11,$T$11))</f>
        <v>　レベル　2</v>
      </c>
      <c r="G205" s="988" t="s">
        <v>2758</v>
      </c>
      <c r="H205" s="989"/>
      <c r="I205" s="989"/>
      <c r="J205" s="3065"/>
      <c r="K205" s="984" t="str">
        <f>IF(K203=$S$16,$T$11,IF(ROUNDDOWN(K203,0)=$S$11,$U$11,$T$11))</f>
        <v>　レベル　2</v>
      </c>
      <c r="L205" s="988" t="s">
        <v>2168</v>
      </c>
      <c r="M205" s="989"/>
      <c r="N205" s="989"/>
      <c r="O205" s="990"/>
    </row>
    <row r="206" spans="2:15" ht="33" customHeight="1">
      <c r="B206" s="1" t="s">
        <v>1152</v>
      </c>
      <c r="C206" s="1">
        <v>3</v>
      </c>
      <c r="D206" s="953"/>
      <c r="E206" s="950"/>
      <c r="F206" s="984" t="str">
        <f>IF(F203=$S$16,$T$12,IF(ROUNDDOWN(F203,0)=$S$12,$U$12,$T$12))</f>
        <v>　レベル　3</v>
      </c>
      <c r="G206" s="988" t="s">
        <v>2168</v>
      </c>
      <c r="H206" s="989"/>
      <c r="I206" s="989"/>
      <c r="J206" s="3065"/>
      <c r="K206" s="984" t="str">
        <f>IF(K203=$S$16,$T$12,IF(ROUNDDOWN(K203,0)=$S$12,$U$12,$T$12))</f>
        <v>■レベル　3</v>
      </c>
      <c r="L206" s="2727" t="s">
        <v>3283</v>
      </c>
      <c r="M206" s="2728"/>
      <c r="N206" s="2728"/>
      <c r="O206" s="2729"/>
    </row>
    <row r="207" spans="2:15" ht="33" customHeight="1">
      <c r="B207" s="1">
        <v>4</v>
      </c>
      <c r="C207" s="1">
        <v>4</v>
      </c>
      <c r="D207" s="953"/>
      <c r="E207" s="950"/>
      <c r="F207" s="984" t="str">
        <f>IF(F203=$S$16,$T$13,IF(ROUNDDOWN(F203,0)=$S$13,$U$13,$T$13))</f>
        <v>■レベル　4</v>
      </c>
      <c r="G207" s="2727" t="s">
        <v>65</v>
      </c>
      <c r="H207" s="2728"/>
      <c r="I207" s="2729"/>
      <c r="J207" s="3065"/>
      <c r="K207" s="984" t="str">
        <f>IF(K203=$S$16,$T$13,IF(ROUNDDOWN(K203,0)=$S$13,$U$13,$T$13))</f>
        <v>　レベル　4</v>
      </c>
      <c r="L207" s="2727" t="s">
        <v>3282</v>
      </c>
      <c r="M207" s="2728"/>
      <c r="N207" s="2728"/>
      <c r="O207" s="2729"/>
    </row>
    <row r="208" spans="2:15" ht="45.75" customHeight="1">
      <c r="B208" s="1" t="s">
        <v>1153</v>
      </c>
      <c r="C208" s="1">
        <v>5</v>
      </c>
      <c r="D208" s="953"/>
      <c r="E208" s="1097"/>
      <c r="F208" s="995" t="str">
        <f>IF(F203=$S$16,$T$14,IF(ROUNDDOWN(F203,0)=$S$14,$U$14,$T$14))</f>
        <v>　レベル　5</v>
      </c>
      <c r="G208" s="999" t="s">
        <v>2168</v>
      </c>
      <c r="H208" s="1000"/>
      <c r="I208" s="1000"/>
      <c r="J208" s="3066"/>
      <c r="K208" s="995" t="str">
        <f>IF(K203=$S$16,$T$14,IF(ROUNDDOWN(K203,0)=$S$14,$U$14,$T$14))</f>
        <v>　レベル　5</v>
      </c>
      <c r="L208" s="2724" t="s">
        <v>3281</v>
      </c>
      <c r="M208" s="2780"/>
      <c r="N208" s="2780"/>
      <c r="O208" s="2730"/>
    </row>
    <row r="209" spans="2:15" ht="13.5" customHeight="1">
      <c r="B209" s="1002">
        <v>0</v>
      </c>
      <c r="C209" s="1002">
        <v>0</v>
      </c>
      <c r="D209" s="953"/>
      <c r="E209" s="1097"/>
      <c r="F209" s="1245"/>
      <c r="G209" s="1245"/>
      <c r="H209" s="1245"/>
      <c r="I209" s="1245"/>
      <c r="J209" s="1245"/>
      <c r="K209" s="1245"/>
      <c r="L209" s="1453"/>
      <c r="M209" s="1453"/>
      <c r="N209" s="1453"/>
      <c r="O209" s="1453"/>
    </row>
    <row r="210" spans="2:15" ht="13.5" customHeight="1">
      <c r="D210" s="953"/>
      <c r="E210" s="1097"/>
      <c r="F210" s="1101" t="s">
        <v>2127</v>
      </c>
      <c r="G210" s="1245"/>
      <c r="H210" s="1245"/>
      <c r="I210" s="1245"/>
      <c r="J210" s="1245"/>
      <c r="K210" s="1245"/>
      <c r="L210" s="1453"/>
      <c r="M210" s="1453"/>
      <c r="N210" s="1453"/>
      <c r="O210" s="1453"/>
    </row>
    <row r="211" spans="2:15" ht="13.5" customHeight="1" thickBot="1">
      <c r="D211" s="953"/>
      <c r="E211" s="1097"/>
      <c r="F211" s="965"/>
      <c r="G211" s="966"/>
      <c r="H211" s="967"/>
      <c r="I211" s="968" t="s">
        <v>1358</v>
      </c>
      <c r="J211" s="971">
        <f>重み!M158</f>
        <v>0.33333333333333337</v>
      </c>
      <c r="K211" s="1245"/>
      <c r="L211" s="1453"/>
      <c r="M211" s="1453"/>
      <c r="N211" s="1453"/>
      <c r="O211" s="1453"/>
    </row>
    <row r="212" spans="2:15" ht="27.75" customHeight="1" thickBot="1">
      <c r="D212" s="953"/>
      <c r="E212" s="1097"/>
      <c r="F212" s="972">
        <v>3</v>
      </c>
      <c r="G212" s="976" t="s">
        <v>501</v>
      </c>
      <c r="H212" s="977"/>
      <c r="I212" s="977"/>
      <c r="J212" s="978"/>
      <c r="K212" s="1109" t="s">
        <v>1316</v>
      </c>
      <c r="L212" s="1453"/>
      <c r="M212" s="1453"/>
      <c r="N212" s="1453"/>
      <c r="O212" s="1453"/>
    </row>
    <row r="213" spans="2:15" ht="24.75" customHeight="1">
      <c r="B213" s="1" t="s">
        <v>2845</v>
      </c>
      <c r="C213" s="1">
        <v>1</v>
      </c>
      <c r="D213" s="953"/>
      <c r="E213" s="1097"/>
      <c r="F213" s="979" t="str">
        <f>IF(F212=$S$16,$T$10,IF(ROUNDDOWN(F212,0)=$S$10,$U$10,$T$10))</f>
        <v>　レベル　1</v>
      </c>
      <c r="G213" s="2731" t="s">
        <v>2168</v>
      </c>
      <c r="H213" s="3077"/>
      <c r="I213" s="3077"/>
      <c r="J213" s="3078"/>
      <c r="K213" s="3064" t="s">
        <v>115</v>
      </c>
      <c r="L213" s="1453"/>
      <c r="M213" s="1453"/>
      <c r="N213" s="1453"/>
      <c r="O213" s="1453"/>
    </row>
    <row r="214" spans="2:15" ht="24.75" customHeight="1">
      <c r="B214" s="1">
        <v>2</v>
      </c>
      <c r="C214" s="1">
        <v>2</v>
      </c>
      <c r="D214" s="953"/>
      <c r="E214" s="1097"/>
      <c r="F214" s="984" t="str">
        <f>IF(F212=$S$16,$T$11,IF(ROUNDDOWN(F212,0)=$S$11,$U$11,$T$11))</f>
        <v>　レベル　2</v>
      </c>
      <c r="G214" s="2727" t="s">
        <v>2128</v>
      </c>
      <c r="H214" s="2802"/>
      <c r="I214" s="2802"/>
      <c r="J214" s="2803"/>
      <c r="K214" s="3065"/>
      <c r="L214" s="1453"/>
      <c r="M214" s="1453"/>
      <c r="N214" s="1453"/>
      <c r="O214" s="1453"/>
    </row>
    <row r="215" spans="2:15" ht="24.75" customHeight="1">
      <c r="B215" s="1">
        <v>3</v>
      </c>
      <c r="C215" s="1">
        <v>3</v>
      </c>
      <c r="D215" s="953"/>
      <c r="E215" s="1097"/>
      <c r="F215" s="984" t="str">
        <f>IF(F212=$S$16,$T$12,IF(ROUNDDOWN(F212,0)=$S$12,$U$12,$T$12))</f>
        <v>■レベル　3</v>
      </c>
      <c r="G215" s="2727" t="s">
        <v>2129</v>
      </c>
      <c r="H215" s="2802"/>
      <c r="I215" s="2802"/>
      <c r="J215" s="2803"/>
      <c r="K215" s="3065"/>
      <c r="L215" s="1453"/>
      <c r="M215" s="1453"/>
      <c r="N215" s="1453"/>
      <c r="O215" s="1453"/>
    </row>
    <row r="216" spans="2:15" ht="40.5" customHeight="1">
      <c r="B216" s="1">
        <v>4</v>
      </c>
      <c r="C216" s="1">
        <v>4</v>
      </c>
      <c r="D216" s="953"/>
      <c r="E216" s="1097"/>
      <c r="F216" s="984" t="str">
        <f>IF(F212=$S$16,$T$13,IF(ROUNDDOWN(F212,0)=$S$13,$U$13,$T$13))</f>
        <v>　レベル　4</v>
      </c>
      <c r="G216" s="2727" t="s">
        <v>2130</v>
      </c>
      <c r="H216" s="2802"/>
      <c r="I216" s="2802"/>
      <c r="J216" s="2803"/>
      <c r="K216" s="3065"/>
      <c r="L216" s="1453"/>
      <c r="M216" s="1453"/>
      <c r="N216" s="1453"/>
      <c r="O216" s="1453"/>
    </row>
    <row r="217" spans="2:15" ht="24.75" customHeight="1">
      <c r="B217" s="1" t="s">
        <v>2845</v>
      </c>
      <c r="C217" s="1">
        <v>5</v>
      </c>
      <c r="D217" s="953"/>
      <c r="E217" s="1097"/>
      <c r="F217" s="995" t="str">
        <f>IF(F212=$S$16,$T$14,IF(ROUNDDOWN(F212,0)=$S$14,$U$14,$T$14))</f>
        <v>　レベル　5</v>
      </c>
      <c r="G217" s="2724" t="s">
        <v>2168</v>
      </c>
      <c r="H217" s="2800"/>
      <c r="I217" s="2800"/>
      <c r="J217" s="2801"/>
      <c r="K217" s="3066"/>
      <c r="L217" s="1453"/>
      <c r="M217" s="1453"/>
      <c r="N217" s="1453"/>
      <c r="O217" s="1453"/>
    </row>
    <row r="218" spans="2:15" ht="13.5" customHeight="1">
      <c r="B218" s="1002">
        <v>0</v>
      </c>
      <c r="C218" s="1002">
        <v>0</v>
      </c>
      <c r="D218" s="953"/>
      <c r="E218" s="537"/>
      <c r="F218" s="1499" t="s">
        <v>2131</v>
      </c>
      <c r="G218" s="1500"/>
      <c r="H218" s="1500"/>
      <c r="I218" s="1500"/>
      <c r="J218" s="1500"/>
      <c r="K218" s="1500"/>
      <c r="L218" s="1501"/>
      <c r="M218" s="1453"/>
      <c r="N218" s="1453"/>
      <c r="O218" s="1453"/>
    </row>
    <row r="219" spans="2:15" ht="13.5" customHeight="1">
      <c r="D219" s="953"/>
      <c r="E219" s="537"/>
      <c r="F219" s="1502" t="s">
        <v>2132</v>
      </c>
      <c r="G219" s="1503"/>
      <c r="H219" s="1504"/>
      <c r="I219" s="1505" t="s">
        <v>2133</v>
      </c>
      <c r="J219" s="1506"/>
      <c r="K219" s="1506"/>
      <c r="L219" s="1507"/>
      <c r="M219" s="1506"/>
      <c r="N219" s="1506"/>
      <c r="O219" s="1508"/>
    </row>
    <row r="220" spans="2:15" ht="13.5" customHeight="1">
      <c r="D220" s="953"/>
      <c r="E220" s="537"/>
      <c r="F220" s="1086" t="s">
        <v>704</v>
      </c>
      <c r="G220" s="1502" t="s">
        <v>1016</v>
      </c>
      <c r="H220" s="1504"/>
      <c r="I220" s="1509" t="s">
        <v>705</v>
      </c>
      <c r="J220" s="1510"/>
      <c r="K220" s="1510"/>
      <c r="L220" s="1511"/>
      <c r="M220" s="1510"/>
      <c r="N220" s="1510"/>
      <c r="O220" s="1512"/>
    </row>
    <row r="221" spans="2:15" ht="13.5" customHeight="1">
      <c r="D221" s="953"/>
      <c r="E221" s="537"/>
      <c r="F221" s="1513"/>
      <c r="G221" s="1502" t="s">
        <v>706</v>
      </c>
      <c r="H221" s="1504"/>
      <c r="I221" s="1502" t="s">
        <v>1017</v>
      </c>
      <c r="J221" s="1503"/>
      <c r="K221" s="1503"/>
      <c r="L221" s="1514"/>
      <c r="M221" s="1503"/>
      <c r="N221" s="1503"/>
      <c r="O221" s="1504"/>
    </row>
    <row r="222" spans="2:15" ht="13.5" customHeight="1">
      <c r="D222" s="953"/>
      <c r="E222" s="537"/>
      <c r="F222" s="1513"/>
      <c r="G222" s="1502" t="s">
        <v>707</v>
      </c>
      <c r="H222" s="1504"/>
      <c r="I222" s="1502" t="s">
        <v>1018</v>
      </c>
      <c r="J222" s="1503"/>
      <c r="K222" s="1503"/>
      <c r="L222" s="1514"/>
      <c r="M222" s="1503"/>
      <c r="N222" s="1503"/>
      <c r="O222" s="1504"/>
    </row>
    <row r="223" spans="2:15" ht="13.5" customHeight="1">
      <c r="D223" s="953"/>
      <c r="E223" s="537"/>
      <c r="F223" s="1513"/>
      <c r="G223" s="1502" t="s">
        <v>708</v>
      </c>
      <c r="H223" s="1504"/>
      <c r="I223" s="1502" t="s">
        <v>1019</v>
      </c>
      <c r="J223" s="1503"/>
      <c r="K223" s="1503"/>
      <c r="L223" s="1514"/>
      <c r="M223" s="1503"/>
      <c r="N223" s="1503"/>
      <c r="O223" s="1504"/>
    </row>
    <row r="224" spans="2:15" ht="13.5" customHeight="1">
      <c r="D224" s="953"/>
      <c r="E224" s="537"/>
      <c r="F224" s="1383"/>
      <c r="G224" s="1502" t="s">
        <v>709</v>
      </c>
      <c r="H224" s="1504"/>
      <c r="I224" s="1502" t="s">
        <v>1020</v>
      </c>
      <c r="J224" s="1503"/>
      <c r="K224" s="1503"/>
      <c r="L224" s="1514"/>
      <c r="M224" s="1503"/>
      <c r="N224" s="1503"/>
      <c r="O224" s="1504"/>
    </row>
    <row r="225" spans="4:15" ht="13.5" customHeight="1">
      <c r="D225" s="953"/>
      <c r="E225" s="537"/>
      <c r="F225" s="1515" t="s">
        <v>2194</v>
      </c>
      <c r="G225" s="1502" t="s">
        <v>1021</v>
      </c>
      <c r="H225" s="1504"/>
      <c r="I225" s="1502" t="s">
        <v>1022</v>
      </c>
      <c r="J225" s="1503"/>
      <c r="K225" s="1503"/>
      <c r="L225" s="1514"/>
      <c r="M225" s="1503"/>
      <c r="N225" s="1503"/>
      <c r="O225" s="1504"/>
    </row>
    <row r="226" spans="4:15" ht="13.5" customHeight="1">
      <c r="D226" s="953"/>
      <c r="E226" s="537"/>
      <c r="F226" s="1515" t="s">
        <v>2195</v>
      </c>
      <c r="G226" s="1502" t="s">
        <v>1023</v>
      </c>
      <c r="H226" s="1504"/>
      <c r="I226" s="1502" t="s">
        <v>1024</v>
      </c>
      <c r="J226" s="1503"/>
      <c r="K226" s="1503"/>
      <c r="L226" s="1514"/>
      <c r="M226" s="1503"/>
      <c r="N226" s="1503"/>
      <c r="O226" s="1504"/>
    </row>
    <row r="227" spans="4:15" ht="13.5" customHeight="1">
      <c r="D227" s="953"/>
      <c r="E227" s="537"/>
      <c r="F227" s="1515" t="s">
        <v>1025</v>
      </c>
      <c r="G227" s="1502" t="s">
        <v>675</v>
      </c>
      <c r="H227" s="1504"/>
      <c r="I227" s="1502" t="s">
        <v>1373</v>
      </c>
      <c r="J227" s="1503"/>
      <c r="K227" s="1503"/>
      <c r="L227" s="1514"/>
      <c r="M227" s="1503"/>
      <c r="N227" s="1503"/>
      <c r="O227" s="1504"/>
    </row>
    <row r="228" spans="4:15" ht="13.5" customHeight="1">
      <c r="D228" s="953"/>
      <c r="E228" s="537"/>
      <c r="F228" s="1516" t="s">
        <v>2196</v>
      </c>
      <c r="G228" s="1245"/>
      <c r="H228" s="1245"/>
      <c r="I228" s="1245"/>
      <c r="J228" s="1245"/>
      <c r="K228" s="1245"/>
      <c r="L228" s="1517"/>
      <c r="M228" s="1453"/>
      <c r="N228" s="1453"/>
      <c r="O228" s="1453"/>
    </row>
    <row r="229" spans="4:15" ht="13.5" customHeight="1">
      <c r="D229" s="953"/>
      <c r="E229" s="537"/>
      <c r="F229" s="1518" t="s">
        <v>1374</v>
      </c>
      <c r="G229" s="1519"/>
      <c r="H229" s="1520"/>
      <c r="I229" s="1521" t="s">
        <v>1375</v>
      </c>
      <c r="J229" s="1522" t="s">
        <v>1376</v>
      </c>
      <c r="K229" s="1523"/>
      <c r="L229" s="1524" t="s">
        <v>2197</v>
      </c>
      <c r="M229" s="1525" t="s">
        <v>1377</v>
      </c>
      <c r="O229" s="1453"/>
    </row>
    <row r="230" spans="4:15" ht="13.5" customHeight="1">
      <c r="D230" s="953"/>
      <c r="E230" s="537"/>
      <c r="F230" s="1526" t="s">
        <v>1378</v>
      </c>
      <c r="G230" s="1527"/>
      <c r="H230" s="1528"/>
      <c r="I230" s="1521" t="s">
        <v>1379</v>
      </c>
      <c r="J230" s="1518" t="s">
        <v>2198</v>
      </c>
      <c r="K230" s="1520"/>
      <c r="L230" s="1529">
        <v>1</v>
      </c>
      <c r="M230" s="1530">
        <v>4750</v>
      </c>
      <c r="O230" s="1453"/>
    </row>
    <row r="231" spans="4:15" ht="13.5" customHeight="1">
      <c r="D231" s="953"/>
      <c r="E231" s="537"/>
      <c r="F231" s="1531"/>
      <c r="G231" s="1532"/>
      <c r="H231" s="1533"/>
      <c r="I231" s="1521" t="s">
        <v>403</v>
      </c>
      <c r="J231" s="1518" t="s">
        <v>2199</v>
      </c>
      <c r="K231" s="1520"/>
      <c r="L231" s="1529">
        <v>0.11</v>
      </c>
      <c r="M231" s="1151">
        <v>725</v>
      </c>
      <c r="O231" s="1453"/>
    </row>
    <row r="232" spans="4:15" ht="13.5" customHeight="1">
      <c r="D232" s="953"/>
      <c r="E232" s="537"/>
      <c r="F232" s="1534" t="s">
        <v>404</v>
      </c>
      <c r="G232" s="1535"/>
      <c r="H232" s="1536"/>
      <c r="I232" s="1518" t="s">
        <v>405</v>
      </c>
      <c r="J232" s="1518" t="s">
        <v>2200</v>
      </c>
      <c r="K232" s="1520"/>
      <c r="L232" s="1529">
        <v>0</v>
      </c>
      <c r="M232" s="1537">
        <v>1430</v>
      </c>
      <c r="O232" s="1453"/>
    </row>
    <row r="233" spans="4:15" ht="13.5" customHeight="1">
      <c r="D233" s="953"/>
      <c r="E233" s="537"/>
      <c r="F233" s="1538"/>
      <c r="G233" s="1539"/>
      <c r="H233" s="1540"/>
      <c r="I233" s="1518"/>
      <c r="J233" s="1518" t="s">
        <v>2201</v>
      </c>
      <c r="K233" s="1520"/>
      <c r="L233" s="1529">
        <v>0</v>
      </c>
      <c r="M233" s="1151">
        <v>560</v>
      </c>
      <c r="O233" s="1453"/>
    </row>
    <row r="234" spans="4:15" ht="13.5" customHeight="1">
      <c r="D234" s="953"/>
      <c r="E234" s="537"/>
      <c r="F234" s="1541"/>
      <c r="G234" s="1542"/>
      <c r="H234" s="1543"/>
      <c r="I234" s="1518"/>
      <c r="J234" s="1518" t="s">
        <v>813</v>
      </c>
      <c r="K234" s="1520"/>
      <c r="L234" s="1529">
        <v>0</v>
      </c>
      <c r="M234" s="1151">
        <v>3</v>
      </c>
      <c r="O234" s="1453"/>
    </row>
    <row r="235" spans="4:15" ht="13.5" customHeight="1">
      <c r="D235" s="953"/>
      <c r="E235" s="537"/>
      <c r="F235" s="1526" t="s">
        <v>406</v>
      </c>
      <c r="G235" s="1527"/>
      <c r="H235" s="1528"/>
      <c r="I235" s="1521" t="s">
        <v>1379</v>
      </c>
      <c r="J235" s="1518" t="s">
        <v>814</v>
      </c>
      <c r="K235" s="1520"/>
      <c r="L235" s="1529">
        <v>1</v>
      </c>
      <c r="M235" s="1537">
        <v>10900</v>
      </c>
      <c r="O235" s="1453"/>
    </row>
    <row r="236" spans="4:15" ht="13.5" customHeight="1">
      <c r="D236" s="953"/>
      <c r="E236" s="537"/>
      <c r="F236" s="1544"/>
      <c r="G236" s="1545"/>
      <c r="H236" s="1546"/>
      <c r="I236" s="1521" t="s">
        <v>403</v>
      </c>
      <c r="J236" s="1518" t="s">
        <v>815</v>
      </c>
      <c r="K236" s="1520"/>
      <c r="L236" s="1529">
        <v>6.5000000000000002E-2</v>
      </c>
      <c r="M236" s="1537">
        <v>2310</v>
      </c>
      <c r="O236" s="1453"/>
    </row>
    <row r="237" spans="4:15" ht="13.5" customHeight="1">
      <c r="D237" s="953"/>
      <c r="E237" s="537"/>
      <c r="F237" s="1531"/>
      <c r="G237" s="1532"/>
      <c r="H237" s="1533"/>
      <c r="I237" s="1521" t="s">
        <v>405</v>
      </c>
      <c r="J237" s="1518" t="s">
        <v>2200</v>
      </c>
      <c r="K237" s="1520"/>
      <c r="L237" s="1529">
        <v>0</v>
      </c>
      <c r="M237" s="1537">
        <v>1430</v>
      </c>
      <c r="O237" s="1453"/>
    </row>
    <row r="238" spans="4:15" ht="13.5" customHeight="1">
      <c r="D238" s="953"/>
      <c r="E238" s="537"/>
      <c r="F238" s="1526" t="s">
        <v>816</v>
      </c>
      <c r="G238" s="1527"/>
      <c r="H238" s="1528"/>
      <c r="I238" s="1521" t="s">
        <v>1379</v>
      </c>
      <c r="J238" s="1518" t="s">
        <v>817</v>
      </c>
      <c r="K238" s="1520"/>
      <c r="L238" s="1529">
        <v>0.8</v>
      </c>
      <c r="M238" s="1537">
        <v>6130</v>
      </c>
      <c r="O238" s="1453"/>
    </row>
    <row r="239" spans="4:15" ht="15.75">
      <c r="D239" s="953"/>
      <c r="E239" s="537"/>
      <c r="F239" s="1531"/>
      <c r="G239" s="1532"/>
      <c r="H239" s="1533"/>
      <c r="I239" s="1521" t="s">
        <v>407</v>
      </c>
      <c r="J239" s="1518" t="s">
        <v>818</v>
      </c>
      <c r="K239" s="1520"/>
      <c r="L239" s="1529">
        <v>0</v>
      </c>
      <c r="M239" s="1151"/>
      <c r="O239" s="1453"/>
    </row>
    <row r="240" spans="4:15">
      <c r="F240" s="1547" t="s">
        <v>1046</v>
      </c>
      <c r="G240" s="1548"/>
      <c r="H240" s="1548"/>
      <c r="I240" s="1549"/>
    </row>
    <row r="241" spans="6:11">
      <c r="F241" s="1550" t="s">
        <v>1047</v>
      </c>
      <c r="G241" s="1007" t="s">
        <v>1048</v>
      </c>
      <c r="H241" s="1024" t="s">
        <v>819</v>
      </c>
      <c r="I241" s="1551" t="s">
        <v>1049</v>
      </c>
      <c r="J241" s="1374" t="s">
        <v>1316</v>
      </c>
      <c r="K241" s="1376"/>
    </row>
    <row r="242" spans="6:11">
      <c r="F242" s="1550" t="s">
        <v>1050</v>
      </c>
      <c r="G242" s="1024">
        <v>50</v>
      </c>
      <c r="H242" s="1024">
        <v>1</v>
      </c>
      <c r="I242" s="1552">
        <v>4750</v>
      </c>
      <c r="J242" s="1550" t="s">
        <v>820</v>
      </c>
      <c r="K242" s="1553"/>
    </row>
    <row r="243" spans="6:11">
      <c r="F243" s="1392" t="s">
        <v>1051</v>
      </c>
      <c r="G243" s="1026">
        <v>120</v>
      </c>
      <c r="H243" s="1026">
        <v>1</v>
      </c>
      <c r="I243" s="1554">
        <v>10900</v>
      </c>
      <c r="J243" s="1392"/>
      <c r="K243" s="1555"/>
    </row>
    <row r="244" spans="6:11">
      <c r="F244" s="1392" t="s">
        <v>1052</v>
      </c>
      <c r="G244" s="1026">
        <v>85</v>
      </c>
      <c r="H244" s="1026">
        <v>0.8</v>
      </c>
      <c r="I244" s="1554">
        <v>6130</v>
      </c>
      <c r="J244" s="1392"/>
      <c r="K244" s="1555"/>
    </row>
    <row r="245" spans="6:11">
      <c r="F245" s="1392" t="s">
        <v>1053</v>
      </c>
      <c r="G245" s="1026">
        <v>300</v>
      </c>
      <c r="H245" s="1026">
        <v>1</v>
      </c>
      <c r="I245" s="1554">
        <v>10000</v>
      </c>
      <c r="J245" s="1392"/>
      <c r="K245" s="1555"/>
    </row>
    <row r="246" spans="6:11">
      <c r="F246" s="1556" t="s">
        <v>1054</v>
      </c>
      <c r="G246" s="1557">
        <v>1700</v>
      </c>
      <c r="H246" s="1557">
        <v>0.6</v>
      </c>
      <c r="I246" s="1558">
        <v>7370</v>
      </c>
      <c r="J246" s="1556"/>
      <c r="K246" s="1559"/>
    </row>
    <row r="247" spans="6:11">
      <c r="F247" s="1550" t="s">
        <v>1055</v>
      </c>
      <c r="G247" s="1024">
        <v>13.3</v>
      </c>
      <c r="H247" s="1024">
        <v>5.5E-2</v>
      </c>
      <c r="I247" s="1552">
        <v>1810</v>
      </c>
      <c r="J247" s="1550" t="s">
        <v>821</v>
      </c>
      <c r="K247" s="1553"/>
    </row>
    <row r="248" spans="6:11">
      <c r="F248" s="1392" t="s">
        <v>1056</v>
      </c>
      <c r="G248" s="1026">
        <v>1.4</v>
      </c>
      <c r="H248" s="1026" t="s">
        <v>822</v>
      </c>
      <c r="I248" s="1554">
        <v>77</v>
      </c>
      <c r="J248" s="1392"/>
      <c r="K248" s="1555"/>
    </row>
    <row r="249" spans="6:11">
      <c r="F249" s="1392" t="s">
        <v>1846</v>
      </c>
      <c r="G249" s="1026">
        <v>5.9</v>
      </c>
      <c r="H249" s="1026">
        <v>2.1999999999999999E-2</v>
      </c>
      <c r="I249" s="1554">
        <v>609</v>
      </c>
      <c r="J249" s="1392"/>
      <c r="K249" s="1555"/>
    </row>
    <row r="250" spans="6:11">
      <c r="F250" s="1392" t="s">
        <v>1847</v>
      </c>
      <c r="G250" s="1026">
        <v>9.4</v>
      </c>
      <c r="H250" s="1026">
        <v>0.11</v>
      </c>
      <c r="I250" s="1554">
        <v>725</v>
      </c>
      <c r="J250" s="1392"/>
      <c r="K250" s="1555"/>
    </row>
    <row r="251" spans="6:11">
      <c r="F251" s="1392" t="s">
        <v>1848</v>
      </c>
      <c r="G251" s="1026">
        <v>19.5</v>
      </c>
      <c r="H251" s="1026">
        <v>6.5000000000000002E-2</v>
      </c>
      <c r="I251" s="1554">
        <v>2310</v>
      </c>
      <c r="J251" s="1392"/>
      <c r="K251" s="1555"/>
    </row>
    <row r="252" spans="6:11">
      <c r="F252" s="1392" t="s">
        <v>1849</v>
      </c>
      <c r="G252" s="1026">
        <v>2.5</v>
      </c>
      <c r="H252" s="1026">
        <v>0.25</v>
      </c>
      <c r="I252" s="1554">
        <v>122</v>
      </c>
      <c r="J252" s="1392"/>
      <c r="K252" s="1555"/>
    </row>
    <row r="253" spans="6:11">
      <c r="F253" s="1556" t="s">
        <v>1850</v>
      </c>
      <c r="G253" s="1557">
        <v>2.6</v>
      </c>
      <c r="H253" s="1557">
        <v>3.3000000000000002E-2</v>
      </c>
      <c r="I253" s="1558">
        <v>595</v>
      </c>
      <c r="J253" s="1556"/>
      <c r="K253" s="1559"/>
    </row>
    <row r="254" spans="6:11">
      <c r="F254" s="1550" t="s">
        <v>1851</v>
      </c>
      <c r="G254" s="1024">
        <v>264</v>
      </c>
      <c r="H254" s="1024">
        <v>0</v>
      </c>
      <c r="I254" s="1552">
        <v>14800</v>
      </c>
      <c r="J254" s="1550" t="s">
        <v>1852</v>
      </c>
      <c r="K254" s="1553"/>
    </row>
    <row r="255" spans="6:11">
      <c r="F255" s="1392" t="s">
        <v>1853</v>
      </c>
      <c r="G255" s="1026">
        <v>5.6</v>
      </c>
      <c r="H255" s="1026"/>
      <c r="I255" s="1554">
        <v>675</v>
      </c>
      <c r="J255" s="1392"/>
      <c r="K255" s="1555"/>
    </row>
    <row r="256" spans="6:11">
      <c r="F256" s="1392" t="s">
        <v>1854</v>
      </c>
      <c r="G256" s="1026">
        <v>32.6</v>
      </c>
      <c r="H256" s="1026"/>
      <c r="I256" s="1554">
        <v>3500</v>
      </c>
      <c r="J256" s="1392"/>
      <c r="K256" s="1555"/>
    </row>
    <row r="257" spans="6:11">
      <c r="F257" s="1392" t="s">
        <v>1855</v>
      </c>
      <c r="G257" s="1026">
        <v>14.6</v>
      </c>
      <c r="H257" s="1026"/>
      <c r="I257" s="1554">
        <v>1430</v>
      </c>
      <c r="J257" s="1392"/>
      <c r="K257" s="1555"/>
    </row>
    <row r="258" spans="6:11">
      <c r="F258" s="1392" t="s">
        <v>1856</v>
      </c>
      <c r="G258" s="1026">
        <v>48.3</v>
      </c>
      <c r="H258" s="1026"/>
      <c r="I258" s="1554">
        <v>4470</v>
      </c>
      <c r="J258" s="1392"/>
      <c r="K258" s="1555"/>
    </row>
    <row r="259" spans="6:11">
      <c r="F259" s="1392" t="s">
        <v>1857</v>
      </c>
      <c r="G259" s="1026">
        <v>1.5</v>
      </c>
      <c r="H259" s="1026"/>
      <c r="I259" s="1554">
        <v>124</v>
      </c>
      <c r="J259" s="1392"/>
      <c r="K259" s="1555"/>
    </row>
    <row r="260" spans="6:11">
      <c r="F260" s="1392" t="s">
        <v>1858</v>
      </c>
      <c r="G260" s="1026">
        <v>36.5</v>
      </c>
      <c r="H260" s="1026"/>
      <c r="I260" s="1554">
        <v>3220</v>
      </c>
      <c r="J260" s="1392"/>
      <c r="K260" s="1555"/>
    </row>
    <row r="261" spans="6:11">
      <c r="F261" s="1392" t="s">
        <v>1859</v>
      </c>
      <c r="G261" s="1026">
        <v>209</v>
      </c>
      <c r="H261" s="1026"/>
      <c r="I261" s="1554">
        <v>9810</v>
      </c>
      <c r="J261" s="1392"/>
      <c r="K261" s="1555"/>
    </row>
    <row r="262" spans="6:11">
      <c r="F262" s="1556" t="s">
        <v>1365</v>
      </c>
      <c r="G262" s="1557">
        <v>6.6</v>
      </c>
      <c r="H262" s="1557"/>
      <c r="I262" s="1558">
        <v>560</v>
      </c>
      <c r="J262" s="1556"/>
      <c r="K262" s="1559"/>
    </row>
    <row r="263" spans="6:11">
      <c r="F263" s="1550" t="s">
        <v>1366</v>
      </c>
      <c r="G263" s="1552">
        <v>50000</v>
      </c>
      <c r="H263" s="1024">
        <v>0</v>
      </c>
      <c r="I263" s="1552">
        <v>6500</v>
      </c>
      <c r="J263" s="1550" t="s">
        <v>823</v>
      </c>
      <c r="K263" s="1553"/>
    </row>
    <row r="264" spans="6:11">
      <c r="F264" s="1392" t="s">
        <v>1367</v>
      </c>
      <c r="G264" s="1554">
        <v>10000</v>
      </c>
      <c r="H264" s="1026"/>
      <c r="I264" s="1554">
        <v>9200</v>
      </c>
      <c r="J264" s="1392"/>
      <c r="K264" s="1555"/>
    </row>
    <row r="265" spans="6:11">
      <c r="F265" s="1392" t="s">
        <v>1368</v>
      </c>
      <c r="G265" s="1554">
        <v>2600</v>
      </c>
      <c r="H265" s="1026"/>
      <c r="I265" s="1554">
        <v>7000</v>
      </c>
      <c r="J265" s="1392"/>
      <c r="K265" s="1555"/>
    </row>
    <row r="266" spans="6:11">
      <c r="F266" s="1556" t="s">
        <v>1369</v>
      </c>
      <c r="G266" s="1558">
        <v>3200</v>
      </c>
      <c r="H266" s="1557"/>
      <c r="I266" s="1558">
        <v>8700</v>
      </c>
      <c r="J266" s="1556"/>
      <c r="K266" s="1559"/>
    </row>
    <row r="267" spans="6:11"/>
    <row r="268" spans="6:11"/>
    <row r="269" spans="6:11"/>
    <row r="270" spans="6:11"/>
  </sheetData>
  <sheetProtection password="B4B8" sheet="1" objects="1" scenarios="1"/>
  <mergeCells count="38">
    <mergeCell ref="G213:J213"/>
    <mergeCell ref="K213:K217"/>
    <mergeCell ref="G214:J214"/>
    <mergeCell ref="G215:J215"/>
    <mergeCell ref="G216:J216"/>
    <mergeCell ref="G217:J217"/>
    <mergeCell ref="G204:I204"/>
    <mergeCell ref="J204:J208"/>
    <mergeCell ref="L208:O208"/>
    <mergeCell ref="K30:L34"/>
    <mergeCell ref="N32:O32"/>
    <mergeCell ref="N34:O34"/>
    <mergeCell ref="K92:O92"/>
    <mergeCell ref="H46:J46"/>
    <mergeCell ref="N61:O65"/>
    <mergeCell ref="K67:O67"/>
    <mergeCell ref="G207:I207"/>
    <mergeCell ref="L207:O207"/>
    <mergeCell ref="N86:O90"/>
    <mergeCell ref="N144:O148"/>
    <mergeCell ref="G177:G178"/>
    <mergeCell ref="G38:G40"/>
    <mergeCell ref="L21:O21"/>
    <mergeCell ref="G21:J21"/>
    <mergeCell ref="G22:J22"/>
    <mergeCell ref="G146:M146"/>
    <mergeCell ref="L206:O206"/>
    <mergeCell ref="G34:J34"/>
    <mergeCell ref="H36:J36"/>
    <mergeCell ref="G30:J30"/>
    <mergeCell ref="G31:J31"/>
    <mergeCell ref="G32:J32"/>
    <mergeCell ref="G33:J33"/>
    <mergeCell ref="H38:J40"/>
    <mergeCell ref="G41:G43"/>
    <mergeCell ref="G44:G45"/>
    <mergeCell ref="H44:J45"/>
    <mergeCell ref="K44:N44"/>
  </mergeCells>
  <phoneticPr fontId="21"/>
  <conditionalFormatting sqref="F8 F18 F51 F60 F85 F143 F203 F212">
    <cfRule type="expression" dxfId="35" priority="14" stopIfTrue="1">
      <formula>AND(OR(F8&lt;1,F8&gt;5),F8&lt;&gt;0)</formula>
    </cfRule>
    <cfRule type="expression" dxfId="34" priority="15" stopIfTrue="1">
      <formula>$J7&gt;0</formula>
    </cfRule>
  </conditionalFormatting>
  <conditionalFormatting sqref="G37">
    <cfRule type="expression" dxfId="33" priority="17" stopIfTrue="1">
      <formula>$G$37&lt;&gt;""</formula>
    </cfRule>
  </conditionalFormatting>
  <conditionalFormatting sqref="G38:G45">
    <cfRule type="expression" dxfId="32" priority="18" stopIfTrue="1">
      <formula>$G$37=$R$3</formula>
    </cfRule>
    <cfRule type="expression" dxfId="31" priority="19" stopIfTrue="1">
      <formula>$O$28&gt;0.001</formula>
    </cfRule>
  </conditionalFormatting>
  <conditionalFormatting sqref="G159">
    <cfRule type="expression" dxfId="30" priority="4" stopIfTrue="1">
      <formula>AND(OR(G159&lt;1,G159&gt;5),G159&lt;&gt;0)</formula>
    </cfRule>
    <cfRule type="expression" dxfId="29" priority="5" stopIfTrue="1">
      <formula>AND($J$151&gt;0,$I$159="ON")</formula>
    </cfRule>
  </conditionalFormatting>
  <conditionalFormatting sqref="G161:G164">
    <cfRule type="expression" dxfId="28" priority="12" stopIfTrue="1">
      <formula>AND($J$151&gt;0.001,$I$159="")</formula>
    </cfRule>
  </conditionalFormatting>
  <conditionalFormatting sqref="G175">
    <cfRule type="expression" dxfId="27" priority="1" stopIfTrue="1">
      <formula>AND(OR(G175&lt;1,G175&gt;5),G175&lt;&gt;0)</formula>
    </cfRule>
    <cfRule type="expression" dxfId="26" priority="2" stopIfTrue="1">
      <formula>AND($J$168&gt;0,$I$175="ON")</formula>
    </cfRule>
  </conditionalFormatting>
  <conditionalFormatting sqref="G179:G198">
    <cfRule type="expression" dxfId="25" priority="13" stopIfTrue="1">
      <formula>AND($J$168&gt;0,$I$175="")</formula>
    </cfRule>
  </conditionalFormatting>
  <conditionalFormatting sqref="I159">
    <cfRule type="expression" dxfId="24" priority="6" stopIfTrue="1">
      <formula>$J$151&gt;0</formula>
    </cfRule>
  </conditionalFormatting>
  <conditionalFormatting sqref="I175">
    <cfRule type="expression" dxfId="23" priority="3" stopIfTrue="1">
      <formula>$J$168&gt;0</formula>
    </cfRule>
  </conditionalFormatting>
  <conditionalFormatting sqref="K18 K203">
    <cfRule type="expression" dxfId="22" priority="9" stopIfTrue="1">
      <formula>AND(OR(K18&lt;1,K18&gt;5),K18&lt;&gt;0)</formula>
    </cfRule>
    <cfRule type="expression" dxfId="21" priority="10" stopIfTrue="1">
      <formula>$O17&gt;0</formula>
    </cfRule>
  </conditionalFormatting>
  <conditionalFormatting sqref="K67 K92">
    <cfRule type="expression" dxfId="20" priority="11" stopIfTrue="1">
      <formula>J59&gt;0</formula>
    </cfRule>
  </conditionalFormatting>
  <conditionalFormatting sqref="L67 L92">
    <cfRule type="expression" dxfId="19" priority="7" stopIfTrue="1">
      <formula>P59&gt;0</formula>
    </cfRule>
  </conditionalFormatting>
  <conditionalFormatting sqref="M67:N67 M92:N92">
    <cfRule type="expression" dxfId="18" priority="16" stopIfTrue="1">
      <formula>#REF!&gt;0</formula>
    </cfRule>
  </conditionalFormatting>
  <conditionalFormatting sqref="O67 O92">
    <cfRule type="expression" dxfId="17" priority="8" stopIfTrue="1">
      <formula>Q59&gt;0</formula>
    </cfRule>
  </conditionalFormatting>
  <dataValidations count="8">
    <dataValidation type="list" allowBlank="1" showInputMessage="1" sqref="K18 K203 M29" xr:uid="{00000000-0002-0000-0C00-000000000000}">
      <formula1>$C19:$C24</formula1>
    </dataValidation>
    <dataValidation type="list" allowBlank="1" showInputMessage="1" showErrorMessage="1" sqref="G161:G164" xr:uid="{00000000-0002-0000-0C00-000001000000}">
      <formula1>"○,　"</formula1>
    </dataValidation>
    <dataValidation type="list" allowBlank="1" showInputMessage="1" showErrorMessage="1" sqref="G179:G198" xr:uid="{00000000-0002-0000-0C00-000002000000}">
      <formula1>"　,無"</formula1>
    </dataValidation>
    <dataValidation type="list" allowBlank="1" showInputMessage="1" sqref="F8 F18 F51 F60 F85 F143 F203 F212 G159 G175" xr:uid="{00000000-0002-0000-0C00-000003000000}">
      <formula1>$B9:$B14</formula1>
    </dataValidation>
    <dataValidation type="list" allowBlank="1" showInputMessage="1" showErrorMessage="1" sqref="G38:G43" xr:uid="{00000000-0002-0000-0C00-000004000000}">
      <formula1>$B$38:$B$41</formula1>
    </dataValidation>
    <dataValidation type="list" allowBlank="1" showInputMessage="1" showErrorMessage="1" sqref="G44:G45" xr:uid="{00000000-0002-0000-0C00-000005000000}">
      <formula1>$C$38:$C$47</formula1>
    </dataValidation>
    <dataValidation type="list" allowBlank="1" showInputMessage="1" sqref="G37" xr:uid="{00000000-0002-0000-0C00-000006000000}">
      <formula1>$R$2:$R$3</formula1>
    </dataValidation>
    <dataValidation type="list" allowBlank="1" showInputMessage="1" showErrorMessage="1" sqref="I159 I175" xr:uid="{00000000-0002-0000-0C00-000007000000}">
      <formula1>$S$3:$S$4</formula1>
    </dataValidation>
  </dataValidations>
  <printOptions horizontalCentered="1"/>
  <pageMargins left="0.59055118110236227" right="0.59055118110236227" top="0.78740157480314965" bottom="0.59055118110236227" header="0.51181102362204722" footer="0.51181102362204722"/>
  <pageSetup paperSize="9" scale="67" fitToHeight="9" orientation="portrait" verticalDpi="4294967293" r:id="rId1"/>
  <headerFooter alignWithMargins="0">
    <oddHeader>&amp;L&amp;F&amp;R&amp;A</oddHeader>
    <oddFooter>&amp;C&amp;P/&amp;N</oddFooter>
  </headerFooter>
  <rowBreaks count="3" manualBreakCount="3">
    <brk id="57" min="2" max="15" man="1"/>
    <brk id="140" min="2" max="15" man="1"/>
    <brk id="199" min="2" max="1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pageSetUpPr autoPageBreaks="0"/>
  </sheetPr>
  <dimension ref="B1:Y239"/>
  <sheetViews>
    <sheetView showGridLines="0" topLeftCell="A23" zoomScaleNormal="100" zoomScaleSheetLayoutView="100" workbookViewId="0">
      <selection activeCell="L208" sqref="L208"/>
    </sheetView>
  </sheetViews>
  <sheetFormatPr defaultColWidth="0" defaultRowHeight="13.5" zeroHeight="1"/>
  <cols>
    <col min="1" max="1" width="1.875" customWidth="1"/>
    <col min="2" max="2" width="18.625" hidden="1" customWidth="1"/>
    <col min="3" max="3" width="6" hidden="1" customWidth="1"/>
    <col min="4" max="4" width="4.875" style="1989" customWidth="1"/>
    <col min="5" max="5" width="1.875" style="1989" customWidth="1"/>
    <col min="6" max="6" width="11.5" style="1989" customWidth="1"/>
    <col min="7" max="15" width="11.625" style="1989" customWidth="1"/>
    <col min="16" max="16" width="2.25" customWidth="1"/>
    <col min="17" max="17" width="2" hidden="1" customWidth="1"/>
    <col min="18" max="18" width="16.25" hidden="1" customWidth="1"/>
    <col min="19" max="19" width="2.5" hidden="1" customWidth="1"/>
    <col min="20" max="20" width="6.375" hidden="1" customWidth="1"/>
    <col min="21" max="21" width="9.125" hidden="1" customWidth="1"/>
    <col min="22" max="22" width="9.625" hidden="1" customWidth="1"/>
    <col min="23" max="23" width="3.5" hidden="1" customWidth="1"/>
    <col min="24" max="24" width="0" hidden="1" customWidth="1"/>
    <col min="25" max="25" width="10.5" hidden="1" customWidth="1"/>
  </cols>
  <sheetData>
    <row r="1" spans="4:21" ht="14.25">
      <c r="D1" s="1575"/>
      <c r="E1" s="950"/>
      <c r="F1" s="950"/>
      <c r="G1" s="950"/>
      <c r="H1" s="950"/>
      <c r="I1" s="950"/>
      <c r="J1" s="950"/>
      <c r="K1" s="950"/>
      <c r="M1" s="1560" t="s">
        <v>2697</v>
      </c>
      <c r="N1" s="952" t="str">
        <f>メイン!C11</f>
        <v>○○ビル</v>
      </c>
      <c r="O1" s="952"/>
    </row>
    <row r="2" spans="4:21" ht="6" customHeight="1" thickBot="1">
      <c r="D2" s="949"/>
      <c r="E2" s="950"/>
      <c r="F2" s="950"/>
      <c r="G2" s="950"/>
      <c r="H2" s="950"/>
      <c r="I2" s="950"/>
      <c r="J2" s="950"/>
      <c r="K2" s="950"/>
      <c r="L2" s="950"/>
      <c r="O2" s="950"/>
    </row>
    <row r="3" spans="4:21" ht="18.75" thickBot="1">
      <c r="D3" s="1396" t="s">
        <v>1154</v>
      </c>
      <c r="E3" s="551"/>
      <c r="F3" s="1991"/>
      <c r="G3" s="537"/>
      <c r="H3" s="1991"/>
      <c r="I3" s="955"/>
      <c r="J3" s="956" t="s">
        <v>2589</v>
      </c>
      <c r="K3" s="956"/>
      <c r="O3" s="964" t="str">
        <f>IF(メイン!E39=0,"",メイン!E39)</f>
        <v/>
      </c>
      <c r="R3" t="s">
        <v>1326</v>
      </c>
      <c r="U3" t="str">
        <f>メイン!I39</f>
        <v>基本設計段階</v>
      </c>
    </row>
    <row r="4" spans="4:21" ht="6" customHeight="1">
      <c r="D4" s="953"/>
      <c r="E4" s="551"/>
      <c r="F4" s="1991"/>
      <c r="G4" s="537"/>
      <c r="H4" s="1991"/>
      <c r="I4" s="1991"/>
      <c r="J4" s="1991"/>
      <c r="K4" s="1991"/>
      <c r="L4" s="1991"/>
      <c r="M4" s="1991"/>
      <c r="N4" s="1991"/>
      <c r="O4" s="1991"/>
      <c r="R4">
        <v>0</v>
      </c>
      <c r="T4" t="s">
        <v>1362</v>
      </c>
      <c r="U4" t="str">
        <f>メイン!I40</f>
        <v>実施設計段階</v>
      </c>
    </row>
    <row r="5" spans="4:21" ht="22.5" customHeight="1">
      <c r="D5" s="949">
        <v>1</v>
      </c>
      <c r="E5" s="958" t="s">
        <v>2636</v>
      </c>
      <c r="F5" s="1991"/>
      <c r="G5" s="950"/>
      <c r="H5" s="950"/>
      <c r="I5" s="950"/>
      <c r="J5" s="950"/>
      <c r="K5" s="950"/>
      <c r="L5" s="950"/>
      <c r="M5" s="950"/>
      <c r="N5" s="950"/>
      <c r="R5">
        <v>1</v>
      </c>
      <c r="U5" t="str">
        <f>メイン!I41</f>
        <v>竣工段階</v>
      </c>
    </row>
    <row r="6" spans="4:21" ht="18.75" customHeight="1" thickBot="1">
      <c r="D6" s="1365"/>
      <c r="E6" s="950"/>
      <c r="F6" s="1102"/>
      <c r="G6" s="966"/>
      <c r="H6" s="967" t="s">
        <v>1358</v>
      </c>
      <c r="I6" s="968"/>
      <c r="J6" s="969">
        <f>重み!M160</f>
        <v>0.33333333333333337</v>
      </c>
      <c r="K6" s="1103"/>
      <c r="L6" s="1103"/>
      <c r="M6" s="1103"/>
      <c r="N6" s="1103"/>
      <c r="O6" s="978"/>
      <c r="R6">
        <v>2</v>
      </c>
    </row>
    <row r="7" spans="4:21" ht="16.5" thickBot="1">
      <c r="D7" s="2012"/>
      <c r="E7" s="953"/>
      <c r="F7" s="2022" t="e">
        <f>O15</f>
        <v>#N/A</v>
      </c>
      <c r="G7" s="2265" t="s">
        <v>829</v>
      </c>
      <c r="H7" s="1352"/>
      <c r="I7" s="1352"/>
      <c r="J7" s="1352"/>
      <c r="K7" s="1352"/>
      <c r="L7" s="2266"/>
      <c r="M7" s="1352"/>
      <c r="N7" s="1352"/>
      <c r="O7" s="1184"/>
      <c r="R7" t="s">
        <v>1370</v>
      </c>
    </row>
    <row r="8" spans="4:21" ht="17.25" customHeight="1">
      <c r="D8" s="2012"/>
      <c r="E8" s="953"/>
      <c r="F8" s="1171" t="e">
        <f>IF(F7=$S$15,$T$10,IF(ROUNDDOWN(F7,0)=$S$10,$U$10,$T$10))</f>
        <v>#N/A</v>
      </c>
      <c r="G8" s="2262" t="s">
        <v>1371</v>
      </c>
      <c r="H8" s="2263"/>
      <c r="I8" s="2263"/>
      <c r="J8" s="2263"/>
      <c r="K8" s="2263"/>
      <c r="L8" s="2267"/>
      <c r="M8" s="2263"/>
      <c r="N8" s="1527"/>
      <c r="O8" s="1528"/>
      <c r="R8" t="s">
        <v>1290</v>
      </c>
    </row>
    <row r="9" spans="4:21" ht="17.25" customHeight="1">
      <c r="D9" s="2012"/>
      <c r="E9" s="953"/>
      <c r="F9" s="1171" t="e">
        <f>IF(F7=$S$15,$T$11,IF(ROUNDDOWN(F7,0)=$S$11,$U$11,$T$11))</f>
        <v>#N/A</v>
      </c>
      <c r="G9" s="2268"/>
      <c r="H9" s="2261"/>
      <c r="I9" s="2261"/>
      <c r="J9" s="2261"/>
      <c r="K9" s="2261"/>
      <c r="L9" s="2269"/>
      <c r="M9" s="2261"/>
      <c r="N9" s="1545" t="s">
        <v>1033</v>
      </c>
      <c r="O9" s="1546"/>
    </row>
    <row r="10" spans="4:21" ht="17.25" customHeight="1">
      <c r="D10" s="2012"/>
      <c r="E10" s="953"/>
      <c r="F10" s="1171" t="e">
        <f>IF(F7=$S$15,$T$12,IF(ROUNDDOWN(F7,0)=$S$12,$U$12,$T$12))</f>
        <v>#N/A</v>
      </c>
      <c r="G10" s="2268" t="s">
        <v>1372</v>
      </c>
      <c r="H10" s="2261"/>
      <c r="I10" s="2261"/>
      <c r="J10" s="2261"/>
      <c r="K10" s="2261"/>
      <c r="L10" s="2269"/>
      <c r="M10" s="2261"/>
      <c r="N10" s="1545" t="s">
        <v>1034</v>
      </c>
      <c r="O10" s="1546"/>
      <c r="S10">
        <v>1</v>
      </c>
      <c r="T10" t="s">
        <v>2603</v>
      </c>
      <c r="U10" t="s">
        <v>2604</v>
      </c>
    </row>
    <row r="11" spans="4:21" ht="17.25" customHeight="1">
      <c r="D11" s="2012"/>
      <c r="E11" s="953"/>
      <c r="F11" s="1171" t="e">
        <f>IF(F7=$S$15,$T$13,IF(ROUNDDOWN(F7,0)=$S$13,$U$13,$T$13))</f>
        <v>#N/A</v>
      </c>
      <c r="G11" s="2268"/>
      <c r="H11" s="2261"/>
      <c r="I11" s="2261"/>
      <c r="J11" s="2261"/>
      <c r="K11" s="2261"/>
      <c r="L11" s="2269"/>
      <c r="M11" s="2261"/>
      <c r="N11" s="1545" t="s">
        <v>1035</v>
      </c>
      <c r="O11" s="1546"/>
      <c r="S11">
        <v>2</v>
      </c>
      <c r="T11" t="s">
        <v>1327</v>
      </c>
      <c r="U11" t="s">
        <v>1328</v>
      </c>
    </row>
    <row r="12" spans="4:21" ht="17.25" customHeight="1">
      <c r="D12" s="2012"/>
      <c r="E12" s="953"/>
      <c r="F12" s="1172" t="e">
        <f>IF(F7=$S$15,$T$14,IF(ROUNDDOWN(F7,0)=$S$14,$U$14,$T$14))</f>
        <v>#N/A</v>
      </c>
      <c r="G12" s="2270" t="s">
        <v>1039</v>
      </c>
      <c r="H12" s="2264"/>
      <c r="I12" s="2264"/>
      <c r="J12" s="2264"/>
      <c r="K12" s="2264"/>
      <c r="L12" s="2271"/>
      <c r="M12" s="2264"/>
      <c r="N12" s="1532"/>
      <c r="O12" s="1533"/>
      <c r="S12">
        <v>3</v>
      </c>
      <c r="T12" t="s">
        <v>1332</v>
      </c>
      <c r="U12" t="s">
        <v>1333</v>
      </c>
    </row>
    <row r="13" spans="4:21" ht="15.75">
      <c r="D13" s="2012"/>
      <c r="E13" s="2012"/>
      <c r="F13" s="2012"/>
      <c r="G13" s="1563" t="s">
        <v>1363</v>
      </c>
      <c r="H13" s="537"/>
      <c r="I13" s="537"/>
      <c r="J13" s="950"/>
      <c r="K13" s="950" t="s">
        <v>1364</v>
      </c>
      <c r="L13" s="950"/>
      <c r="M13" s="1248"/>
      <c r="N13" s="2012"/>
      <c r="O13" s="2012"/>
      <c r="S13">
        <v>4</v>
      </c>
      <c r="T13" t="s">
        <v>1216</v>
      </c>
      <c r="U13" t="s">
        <v>1217</v>
      </c>
    </row>
    <row r="14" spans="4:21" ht="16.5" thickBot="1">
      <c r="D14" s="2012"/>
      <c r="E14" s="953"/>
      <c r="F14" s="950"/>
      <c r="G14" s="1564"/>
      <c r="H14" s="1565" t="s">
        <v>724</v>
      </c>
      <c r="I14" s="1566" t="s">
        <v>2162</v>
      </c>
      <c r="J14" s="1567" t="s">
        <v>726</v>
      </c>
      <c r="K14" s="1565" t="s">
        <v>479</v>
      </c>
      <c r="L14" s="1564" t="s">
        <v>1040</v>
      </c>
      <c r="M14" s="950"/>
      <c r="N14" s="950"/>
      <c r="O14" s="1568" t="s">
        <v>1211</v>
      </c>
      <c r="S14">
        <v>5</v>
      </c>
      <c r="T14" t="s">
        <v>1223</v>
      </c>
      <c r="U14" t="s">
        <v>1224</v>
      </c>
    </row>
    <row r="15" spans="4:21" ht="16.5" thickBot="1">
      <c r="D15" s="2012"/>
      <c r="E15" s="953"/>
      <c r="F15" s="950"/>
      <c r="G15" s="1569" t="s">
        <v>2401</v>
      </c>
      <c r="H15" s="1570">
        <f>CO2計算!O133</f>
        <v>13.77</v>
      </c>
      <c r="I15" s="1570">
        <f>CO2計算!O134</f>
        <v>13.322862068965517</v>
      </c>
      <c r="J15" s="1570" t="e">
        <f>CO2計算!O135</f>
        <v>#N/A</v>
      </c>
      <c r="K15" s="1571" t="e">
        <f>CO2計算!O136</f>
        <v>#N/A</v>
      </c>
      <c r="L15" s="1572">
        <v>1</v>
      </c>
      <c r="M15" s="950"/>
      <c r="N15" s="1568" t="s">
        <v>1041</v>
      </c>
      <c r="O15" s="1573" t="e">
        <f>IF(K15=0,0,ROUNDDOWN(IF(L16=R16,0,IF(L16&lt;0.5,5,IF(L16&gt;1.25,1,IF(L16&gt;1,-8*L16+11,3+(1-L16)*4)))),1))</f>
        <v>#N/A</v>
      </c>
      <c r="S15">
        <v>0</v>
      </c>
      <c r="T15" t="s">
        <v>1212</v>
      </c>
      <c r="U15" t="s">
        <v>1212</v>
      </c>
    </row>
    <row r="16" spans="4:21" ht="14.25">
      <c r="D16" s="1575"/>
      <c r="E16" s="950"/>
      <c r="F16" s="950"/>
      <c r="G16" s="1569" t="s">
        <v>2400</v>
      </c>
      <c r="H16" s="1570">
        <f>CO2計算!L133</f>
        <v>13.77</v>
      </c>
      <c r="I16" s="1570">
        <f>CO2計算!L134</f>
        <v>13.322862068965517</v>
      </c>
      <c r="J16" s="1570" t="e">
        <f>CO2計算!L135</f>
        <v>#VALUE!</v>
      </c>
      <c r="K16" s="1571" t="e">
        <f>CO2計算!L136</f>
        <v>#VALUE!</v>
      </c>
      <c r="L16" s="1574" t="e">
        <f>IF(K15=R16,R16,K16/K15)</f>
        <v>#N/A</v>
      </c>
      <c r="M16" s="950"/>
      <c r="N16" s="950"/>
      <c r="O16" s="950"/>
      <c r="R16" t="s">
        <v>1213</v>
      </c>
    </row>
    <row r="17" spans="2:15" ht="13.5" customHeight="1">
      <c r="D17" s="537"/>
      <c r="E17" s="537"/>
      <c r="F17" s="537"/>
      <c r="G17" s="537"/>
      <c r="H17" s="537"/>
      <c r="I17" s="537"/>
      <c r="J17" s="537"/>
      <c r="K17" s="537"/>
      <c r="L17" s="537"/>
      <c r="M17" s="537"/>
      <c r="N17" s="537"/>
      <c r="O17" s="537"/>
    </row>
    <row r="18" spans="2:15" ht="18.75" customHeight="1">
      <c r="D18" s="1575">
        <v>2</v>
      </c>
      <c r="E18" s="958" t="s">
        <v>2639</v>
      </c>
      <c r="F18" s="950"/>
      <c r="G18" s="950"/>
      <c r="H18" s="950"/>
      <c r="I18" s="950"/>
      <c r="J18" s="950"/>
      <c r="K18" s="950"/>
      <c r="L18" s="950"/>
      <c r="M18" s="950"/>
      <c r="N18" s="950"/>
      <c r="O18" s="950"/>
    </row>
    <row r="19" spans="2:15" ht="18.75" customHeight="1">
      <c r="D19" s="1575">
        <v>2.1</v>
      </c>
      <c r="E19" s="551" t="s">
        <v>1042</v>
      </c>
      <c r="F19" s="1991"/>
      <c r="G19" s="950"/>
      <c r="H19" s="950"/>
      <c r="I19" s="950"/>
      <c r="J19" s="950"/>
      <c r="K19" s="950"/>
      <c r="L19" s="950"/>
      <c r="M19" s="950"/>
      <c r="N19" s="950"/>
      <c r="O19" s="950"/>
    </row>
    <row r="20" spans="2:15" ht="18.75" customHeight="1" thickBot="1">
      <c r="F20" s="1102"/>
      <c r="G20" s="966"/>
      <c r="H20" s="967" t="s">
        <v>1358</v>
      </c>
      <c r="I20" s="968"/>
      <c r="J20" s="969">
        <f>重み!M162</f>
        <v>0.25</v>
      </c>
      <c r="K20" s="1103"/>
      <c r="L20" s="1103"/>
      <c r="M20" s="1103"/>
      <c r="N20" s="1103"/>
      <c r="O20" s="978"/>
    </row>
    <row r="21" spans="2:15" ht="26.25" customHeight="1" thickBot="1">
      <c r="D21" s="953"/>
      <c r="E21" s="953"/>
      <c r="F21" s="972">
        <v>3</v>
      </c>
      <c r="G21" s="976" t="s">
        <v>501</v>
      </c>
      <c r="H21" s="977"/>
      <c r="I21" s="977"/>
      <c r="J21" s="977"/>
      <c r="K21" s="977"/>
      <c r="L21" s="1277"/>
      <c r="M21" s="977"/>
      <c r="N21" s="977"/>
      <c r="O21" s="978"/>
    </row>
    <row r="22" spans="2:15" ht="33" customHeight="1">
      <c r="B22" s="1">
        <v>1</v>
      </c>
      <c r="C22" s="1">
        <v>1</v>
      </c>
      <c r="D22" s="953"/>
      <c r="E22" s="953"/>
      <c r="F22" s="984" t="str">
        <f>IF(F21=$S$15,$T$10,IF(ROUNDDOWN(F21,0)=$S$10,$U$10,$T$10))</f>
        <v>　レベル　1</v>
      </c>
      <c r="G22" s="2865" t="s">
        <v>434</v>
      </c>
      <c r="H22" s="3077"/>
      <c r="I22" s="3077"/>
      <c r="J22" s="3077"/>
      <c r="K22" s="3077"/>
      <c r="L22" s="3077"/>
      <c r="M22" s="3077"/>
      <c r="N22" s="3077"/>
      <c r="O22" s="3078"/>
    </row>
    <row r="23" spans="2:15" ht="18.75" customHeight="1">
      <c r="B23" s="1" t="s">
        <v>220</v>
      </c>
      <c r="C23" s="1">
        <v>2</v>
      </c>
      <c r="D23" s="953"/>
      <c r="E23" s="953"/>
      <c r="F23" s="984" t="str">
        <f>IF(F21=$S$15,$T$11,IF(ROUNDDOWN(F21,0)=$S$11,$U$11,$T$11))</f>
        <v>　レベル　2</v>
      </c>
      <c r="G23" s="1561" t="s">
        <v>2168</v>
      </c>
      <c r="H23" s="2238"/>
      <c r="I23" s="2238"/>
      <c r="J23" s="2238"/>
      <c r="K23" s="2238"/>
      <c r="L23" s="2238"/>
      <c r="M23" s="2238"/>
      <c r="N23" s="989"/>
      <c r="O23" s="990"/>
    </row>
    <row r="24" spans="2:15" ht="28.5" customHeight="1">
      <c r="B24" s="1">
        <v>3</v>
      </c>
      <c r="C24" s="1">
        <v>3</v>
      </c>
      <c r="D24" s="953"/>
      <c r="E24" s="953"/>
      <c r="F24" s="984" t="str">
        <f>IF(F21=$S$15,$T$12,IF(ROUNDDOWN(F21,0)=$S$12,$U$12,$T$12))</f>
        <v>■レベル　3</v>
      </c>
      <c r="G24" s="3091" t="s">
        <v>435</v>
      </c>
      <c r="H24" s="2802"/>
      <c r="I24" s="2802"/>
      <c r="J24" s="2802"/>
      <c r="K24" s="2802"/>
      <c r="L24" s="2802"/>
      <c r="M24" s="2802"/>
      <c r="N24" s="2802"/>
      <c r="O24" s="2803"/>
    </row>
    <row r="25" spans="2:15" ht="27" customHeight="1">
      <c r="B25" s="1">
        <v>4</v>
      </c>
      <c r="C25" s="1">
        <v>4</v>
      </c>
      <c r="D25" s="953"/>
      <c r="E25" s="953"/>
      <c r="F25" s="984" t="str">
        <f>IF(F21=$S$15,$T$13,IF(ROUNDDOWN(F21,0)=$S$13,$U$13,$T$13))</f>
        <v>　レベル　4</v>
      </c>
      <c r="G25" s="3091" t="s">
        <v>436</v>
      </c>
      <c r="H25" s="2802"/>
      <c r="I25" s="2802"/>
      <c r="J25" s="2802"/>
      <c r="K25" s="2802"/>
      <c r="L25" s="2802"/>
      <c r="M25" s="2802"/>
      <c r="N25" s="2802"/>
      <c r="O25" s="2803"/>
    </row>
    <row r="26" spans="2:15" ht="22.5" customHeight="1">
      <c r="B26" s="1">
        <v>5</v>
      </c>
      <c r="C26" s="1">
        <v>5</v>
      </c>
      <c r="D26" s="953"/>
      <c r="E26" s="953"/>
      <c r="F26" s="995" t="str">
        <f>IF(F21=$S$15,$T$14,IF(ROUNDDOWN(F21,0)=$S$14,$U$14,$T$14))</f>
        <v>　レベル　5</v>
      </c>
      <c r="G26" s="1562" t="s">
        <v>1193</v>
      </c>
      <c r="H26" s="2239"/>
      <c r="I26" s="2239"/>
      <c r="J26" s="2239"/>
      <c r="K26" s="2239"/>
      <c r="L26" s="2239"/>
      <c r="M26" s="2239"/>
      <c r="N26" s="1000"/>
      <c r="O26" s="1001"/>
    </row>
    <row r="27" spans="2:15" ht="15.75">
      <c r="B27" s="1002">
        <v>0</v>
      </c>
      <c r="C27" s="1002">
        <v>0</v>
      </c>
      <c r="D27" s="953"/>
      <c r="E27" s="953"/>
      <c r="F27" s="1576"/>
      <c r="G27" s="1576"/>
      <c r="H27" s="1576"/>
      <c r="I27" s="1576"/>
      <c r="J27" s="1576"/>
      <c r="K27" s="1576"/>
      <c r="L27" s="1576"/>
      <c r="M27" s="1576"/>
      <c r="N27" s="1576"/>
      <c r="O27" s="1576"/>
    </row>
    <row r="28" spans="2:15" ht="24" customHeight="1">
      <c r="D28" s="1575">
        <v>2.2000000000000002</v>
      </c>
      <c r="E28" s="1349" t="s">
        <v>1043</v>
      </c>
      <c r="F28" s="1577"/>
      <c r="G28" s="1577"/>
      <c r="H28" s="1577"/>
      <c r="I28" s="1577"/>
      <c r="J28" s="1577"/>
      <c r="K28" s="1577"/>
      <c r="L28" s="1577"/>
      <c r="M28" s="1577"/>
      <c r="N28" s="1577"/>
      <c r="O28" s="1577"/>
    </row>
    <row r="29" spans="2:15" ht="19.5" customHeight="1" thickBot="1">
      <c r="F29" s="1102"/>
      <c r="G29" s="966"/>
      <c r="H29" s="967" t="s">
        <v>1358</v>
      </c>
      <c r="I29" s="968"/>
      <c r="J29" s="969">
        <f>重み!M163</f>
        <v>0.5</v>
      </c>
      <c r="K29" s="1103"/>
      <c r="L29" s="1103"/>
      <c r="M29" s="1103"/>
      <c r="N29" s="1103"/>
      <c r="O29" s="978"/>
    </row>
    <row r="30" spans="2:15" ht="21.75" customHeight="1" thickBot="1">
      <c r="D30" s="953"/>
      <c r="E30" s="950"/>
      <c r="F30" s="1301">
        <f>IF(H58&lt;=0,1,IF(H58&lt;=5,2,IF(H58&lt;=12,3,IF(H58&lt;=19,4,IF(H58&gt;=20,5)))))</f>
        <v>3</v>
      </c>
      <c r="G30" s="976" t="s">
        <v>501</v>
      </c>
      <c r="H30" s="977"/>
      <c r="I30" s="977"/>
      <c r="J30" s="977"/>
      <c r="K30" s="977"/>
      <c r="L30" s="1277"/>
      <c r="M30" s="977"/>
      <c r="N30" s="977"/>
      <c r="O30" s="978"/>
    </row>
    <row r="31" spans="2:15" ht="19.5" customHeight="1">
      <c r="D31" s="953"/>
      <c r="E31" s="950"/>
      <c r="F31" s="984" t="str">
        <f>IF(F30=$S$15,$T$10,IF(ROUNDDOWN(F30,0)=$S$10,$U$10,$T$10))</f>
        <v>　レベル　1</v>
      </c>
      <c r="G31" s="1187" t="s">
        <v>1194</v>
      </c>
      <c r="H31" s="1188"/>
      <c r="I31" s="1188"/>
      <c r="J31" s="1188"/>
      <c r="K31" s="1188"/>
      <c r="L31" s="1188"/>
      <c r="M31" s="1188"/>
      <c r="N31" s="982"/>
      <c r="O31" s="983"/>
    </row>
    <row r="32" spans="2:15" ht="19.5" customHeight="1">
      <c r="D32" s="953"/>
      <c r="E32" s="950"/>
      <c r="F32" s="984" t="str">
        <f>IF(F30=$S$15,$T$11,IF(ROUNDDOWN(F30,0)=$S$11,$U$11,$T$11))</f>
        <v>　レベル　2</v>
      </c>
      <c r="G32" s="1561" t="s">
        <v>1195</v>
      </c>
      <c r="H32" s="2013"/>
      <c r="I32" s="2013"/>
      <c r="J32" s="2013"/>
      <c r="K32" s="2013"/>
      <c r="L32" s="2013"/>
      <c r="M32" s="2013"/>
      <c r="N32" s="989"/>
      <c r="O32" s="990"/>
    </row>
    <row r="33" spans="2:18" ht="19.5" customHeight="1">
      <c r="D33" s="953"/>
      <c r="E33" s="950"/>
      <c r="F33" s="984" t="str">
        <f>IF(F30=$S$15,$T$12,IF(ROUNDDOWN(F30,0)=$S$12,$U$12,$T$12))</f>
        <v>■レベル　3</v>
      </c>
      <c r="G33" s="1561" t="s">
        <v>2513</v>
      </c>
      <c r="H33" s="2013"/>
      <c r="I33" s="2013"/>
      <c r="J33" s="2013"/>
      <c r="K33" s="2013"/>
      <c r="L33" s="2013"/>
      <c r="M33" s="2013"/>
      <c r="N33" s="989"/>
      <c r="O33" s="990"/>
    </row>
    <row r="34" spans="2:18" ht="19.5" customHeight="1">
      <c r="D34" s="953"/>
      <c r="E34" s="950"/>
      <c r="F34" s="984" t="str">
        <f>IF(F30=$S$15,$T$13,IF(ROUNDDOWN(F30,0)=$S$13,$U$13,$T$13))</f>
        <v>　レベル　4</v>
      </c>
      <c r="G34" s="1561" t="s">
        <v>2514</v>
      </c>
      <c r="H34" s="2013"/>
      <c r="I34" s="2013"/>
      <c r="J34" s="2013"/>
      <c r="K34" s="2013"/>
      <c r="L34" s="2013"/>
      <c r="M34" s="2013"/>
      <c r="N34" s="989"/>
      <c r="O34" s="990"/>
    </row>
    <row r="35" spans="2:18" ht="19.5" customHeight="1">
      <c r="D35" s="953"/>
      <c r="E35" s="950"/>
      <c r="F35" s="995" t="str">
        <f>IF(F30=$S$15,$T$14,IF(ROUNDDOWN(F30,0)=$S$14,$U$14,$T$14))</f>
        <v>　レベル　5</v>
      </c>
      <c r="G35" s="1562" t="s">
        <v>2515</v>
      </c>
      <c r="H35" s="2014"/>
      <c r="I35" s="2014"/>
      <c r="J35" s="2014"/>
      <c r="K35" s="2014"/>
      <c r="L35" s="2014"/>
      <c r="M35" s="2014"/>
      <c r="N35" s="1000"/>
      <c r="O35" s="1001"/>
    </row>
    <row r="36" spans="2:18" ht="21" customHeight="1">
      <c r="D36" s="950"/>
      <c r="E36" s="950"/>
      <c r="F36" s="950"/>
      <c r="G36" s="1303" t="s">
        <v>2682</v>
      </c>
      <c r="H36" s="950"/>
      <c r="I36" s="2015"/>
      <c r="J36" s="2015"/>
      <c r="K36" s="1990"/>
      <c r="L36" s="1990"/>
      <c r="M36" s="1990"/>
      <c r="N36" s="1990"/>
      <c r="O36" s="537"/>
    </row>
    <row r="37" spans="2:18" ht="16.5" thickBot="1">
      <c r="D37" s="953"/>
      <c r="E37" s="537"/>
      <c r="F37" s="953"/>
      <c r="G37" s="1304" t="s">
        <v>225</v>
      </c>
      <c r="H37" s="2953" t="s">
        <v>2516</v>
      </c>
      <c r="I37" s="2954"/>
      <c r="J37" s="2955"/>
      <c r="K37" s="3092" t="s">
        <v>1044</v>
      </c>
      <c r="L37" s="3093"/>
      <c r="M37" s="3093"/>
      <c r="N37" s="3094"/>
      <c r="O37" s="1125" t="s">
        <v>2517</v>
      </c>
      <c r="P37" s="136"/>
      <c r="Q37" s="136"/>
      <c r="R37" s="136"/>
    </row>
    <row r="38" spans="2:18" ht="30.75" customHeight="1">
      <c r="D38" s="953"/>
      <c r="E38" s="537"/>
      <c r="F38" s="953"/>
      <c r="G38" s="3105">
        <v>2</v>
      </c>
      <c r="H38" s="3106" t="s">
        <v>3286</v>
      </c>
      <c r="I38" s="3098" t="s">
        <v>3285</v>
      </c>
      <c r="J38" s="3099"/>
      <c r="K38" s="3095" t="s">
        <v>3284</v>
      </c>
      <c r="L38" s="3096"/>
      <c r="M38" s="3096"/>
      <c r="N38" s="3097"/>
      <c r="O38" s="2999">
        <v>2</v>
      </c>
      <c r="P38" s="136"/>
      <c r="Q38" s="136"/>
      <c r="R38" s="136"/>
    </row>
    <row r="39" spans="2:18" ht="42" hidden="1" customHeight="1">
      <c r="B39" s="1147" t="s">
        <v>2224</v>
      </c>
      <c r="D39" s="953"/>
      <c r="E39" s="537"/>
      <c r="F39" s="953"/>
      <c r="G39" s="2902"/>
      <c r="H39" s="3089"/>
      <c r="I39" s="3100"/>
      <c r="J39" s="3101"/>
      <c r="K39" s="3082" t="s">
        <v>2225</v>
      </c>
      <c r="L39" s="3035"/>
      <c r="M39" s="3035"/>
      <c r="N39" s="3037"/>
      <c r="O39" s="3084"/>
      <c r="P39" s="136"/>
      <c r="Q39" s="136"/>
      <c r="R39" s="136"/>
    </row>
    <row r="40" spans="2:18" ht="30.75" customHeight="1">
      <c r="D40" s="953"/>
      <c r="E40" s="537"/>
      <c r="F40" s="953"/>
      <c r="G40" s="2901">
        <v>2</v>
      </c>
      <c r="H40" s="3087" t="s">
        <v>2226</v>
      </c>
      <c r="I40" s="3079" t="s">
        <v>840</v>
      </c>
      <c r="J40" s="3081"/>
      <c r="K40" s="3079" t="s">
        <v>841</v>
      </c>
      <c r="L40" s="3080"/>
      <c r="M40" s="3080"/>
      <c r="N40" s="3081"/>
      <c r="O40" s="3083" t="s">
        <v>2518</v>
      </c>
      <c r="P40" s="136"/>
      <c r="Q40" s="136"/>
      <c r="R40" s="136"/>
    </row>
    <row r="41" spans="2:18" ht="36" customHeight="1">
      <c r="D41" s="953"/>
      <c r="E41" s="537"/>
      <c r="F41" s="953"/>
      <c r="G41" s="3075"/>
      <c r="H41" s="3088"/>
      <c r="I41" s="3102"/>
      <c r="J41" s="3103"/>
      <c r="K41" s="3085" t="s">
        <v>1236</v>
      </c>
      <c r="L41" s="3086"/>
      <c r="M41" s="3086"/>
      <c r="N41" s="3036"/>
      <c r="O41" s="3168"/>
      <c r="P41" s="136"/>
      <c r="Q41" s="136"/>
      <c r="R41" s="136"/>
    </row>
    <row r="42" spans="2:18" ht="20.25" customHeight="1">
      <c r="D42" s="953"/>
      <c r="E42" s="537"/>
      <c r="F42" s="953"/>
      <c r="G42" s="2901">
        <v>2</v>
      </c>
      <c r="H42" s="3088"/>
      <c r="I42" s="3102"/>
      <c r="J42" s="3103"/>
      <c r="K42" s="3079" t="s">
        <v>842</v>
      </c>
      <c r="L42" s="3080"/>
      <c r="M42" s="3080"/>
      <c r="N42" s="3081"/>
      <c r="O42" s="3083" t="s">
        <v>227</v>
      </c>
      <c r="P42" s="136"/>
      <c r="Q42" s="136"/>
      <c r="R42" s="136"/>
    </row>
    <row r="43" spans="2:18" ht="55.5" customHeight="1">
      <c r="D43" s="953"/>
      <c r="E43" s="537"/>
      <c r="F43" s="953"/>
      <c r="G43" s="2902"/>
      <c r="H43" s="3088"/>
      <c r="I43" s="3102"/>
      <c r="J43" s="3103"/>
      <c r="K43" s="3085" t="s">
        <v>1237</v>
      </c>
      <c r="L43" s="3086"/>
      <c r="M43" s="3086"/>
      <c r="N43" s="3036"/>
      <c r="O43" s="3084"/>
      <c r="P43" s="136"/>
      <c r="Q43" s="136"/>
      <c r="R43" s="136"/>
    </row>
    <row r="44" spans="2:18" ht="20.25" customHeight="1">
      <c r="D44" s="953"/>
      <c r="E44" s="537"/>
      <c r="F44" s="953"/>
      <c r="G44" s="2901">
        <v>0</v>
      </c>
      <c r="H44" s="3088"/>
      <c r="I44" s="3102"/>
      <c r="J44" s="3103"/>
      <c r="K44" s="3079" t="s">
        <v>843</v>
      </c>
      <c r="L44" s="3080"/>
      <c r="M44" s="3080"/>
      <c r="N44" s="3081"/>
      <c r="O44" s="3083" t="s">
        <v>227</v>
      </c>
      <c r="P44" s="136"/>
      <c r="Q44" s="136"/>
      <c r="R44" s="136"/>
    </row>
    <row r="45" spans="2:18" ht="57.75" customHeight="1">
      <c r="D45" s="953"/>
      <c r="E45" s="537"/>
      <c r="F45" s="953"/>
      <c r="G45" s="2902"/>
      <c r="H45" s="3088"/>
      <c r="I45" s="3104"/>
      <c r="J45" s="3036"/>
      <c r="K45" s="3085" t="s">
        <v>2529</v>
      </c>
      <c r="L45" s="3086"/>
      <c r="M45" s="3086"/>
      <c r="N45" s="3036"/>
      <c r="O45" s="3000"/>
      <c r="P45" s="136"/>
      <c r="Q45" s="136"/>
      <c r="R45" s="136"/>
    </row>
    <row r="46" spans="2:18" ht="20.25" customHeight="1">
      <c r="D46" s="953"/>
      <c r="E46" s="537"/>
      <c r="F46" s="953"/>
      <c r="G46" s="2901">
        <v>0</v>
      </c>
      <c r="H46" s="3088"/>
      <c r="I46" s="3079" t="s">
        <v>844</v>
      </c>
      <c r="J46" s="3081"/>
      <c r="K46" s="3079" t="s">
        <v>845</v>
      </c>
      <c r="L46" s="3080"/>
      <c r="M46" s="3080"/>
      <c r="N46" s="3081"/>
      <c r="O46" s="3083" t="s">
        <v>227</v>
      </c>
      <c r="P46" s="136"/>
      <c r="Q46" s="136"/>
      <c r="R46" s="136"/>
    </row>
    <row r="47" spans="2:18" ht="55.5" customHeight="1">
      <c r="D47" s="953"/>
      <c r="E47" s="537"/>
      <c r="F47" s="953"/>
      <c r="G47" s="2902"/>
      <c r="H47" s="3088"/>
      <c r="I47" s="3104"/>
      <c r="J47" s="3036"/>
      <c r="K47" s="3085" t="s">
        <v>2530</v>
      </c>
      <c r="L47" s="3086"/>
      <c r="M47" s="3086"/>
      <c r="N47" s="3036"/>
      <c r="O47" s="3090"/>
      <c r="P47" s="136"/>
      <c r="Q47" s="136"/>
      <c r="R47" s="136"/>
    </row>
    <row r="48" spans="2:18" ht="20.25" customHeight="1">
      <c r="D48" s="953"/>
      <c r="E48" s="537"/>
      <c r="F48" s="953"/>
      <c r="G48" s="2901">
        <v>0</v>
      </c>
      <c r="H48" s="3088"/>
      <c r="I48" s="3079" t="s">
        <v>846</v>
      </c>
      <c r="J48" s="3081"/>
      <c r="K48" s="3079" t="s">
        <v>847</v>
      </c>
      <c r="L48" s="3080"/>
      <c r="M48" s="3080"/>
      <c r="N48" s="3081"/>
      <c r="O48" s="3083" t="s">
        <v>227</v>
      </c>
      <c r="P48" s="136"/>
      <c r="Q48" s="136"/>
      <c r="R48" s="136"/>
    </row>
    <row r="49" spans="2:18" ht="55.5" customHeight="1">
      <c r="D49" s="953"/>
      <c r="E49" s="537"/>
      <c r="F49" s="953"/>
      <c r="G49" s="2902"/>
      <c r="H49" s="3088"/>
      <c r="I49" s="3102"/>
      <c r="J49" s="3103"/>
      <c r="K49" s="3085" t="s">
        <v>2531</v>
      </c>
      <c r="L49" s="3086"/>
      <c r="M49" s="3086"/>
      <c r="N49" s="3036"/>
      <c r="O49" s="3084"/>
      <c r="P49" s="136"/>
      <c r="Q49" s="136"/>
      <c r="R49" s="136"/>
    </row>
    <row r="50" spans="2:18" ht="20.25" customHeight="1">
      <c r="D50" s="953"/>
      <c r="E50" s="537"/>
      <c r="F50" s="953"/>
      <c r="G50" s="2901">
        <v>0</v>
      </c>
      <c r="H50" s="3088"/>
      <c r="I50" s="3102"/>
      <c r="J50" s="3103"/>
      <c r="K50" s="3079" t="s">
        <v>848</v>
      </c>
      <c r="L50" s="3080"/>
      <c r="M50" s="3080"/>
      <c r="N50" s="3081"/>
      <c r="O50" s="3083" t="s">
        <v>227</v>
      </c>
      <c r="P50" s="136"/>
      <c r="Q50" s="136"/>
      <c r="R50" s="136"/>
    </row>
    <row r="51" spans="2:18" ht="58.5" customHeight="1">
      <c r="D51" s="953"/>
      <c r="E51" s="537"/>
      <c r="F51" s="953"/>
      <c r="G51" s="2902"/>
      <c r="H51" s="3088"/>
      <c r="I51" s="3104"/>
      <c r="J51" s="3036"/>
      <c r="K51" s="3085" t="s">
        <v>2532</v>
      </c>
      <c r="L51" s="3086"/>
      <c r="M51" s="3086"/>
      <c r="N51" s="3036"/>
      <c r="O51" s="3084"/>
      <c r="P51" s="136"/>
      <c r="Q51" s="136"/>
      <c r="R51" s="136"/>
    </row>
    <row r="52" spans="2:18" ht="30.75" customHeight="1">
      <c r="D52" s="953"/>
      <c r="E52" s="537"/>
      <c r="F52" s="953"/>
      <c r="G52" s="2901">
        <v>0</v>
      </c>
      <c r="H52" s="3088"/>
      <c r="I52" s="3079" t="s">
        <v>849</v>
      </c>
      <c r="J52" s="3081"/>
      <c r="K52" s="3079" t="s">
        <v>850</v>
      </c>
      <c r="L52" s="3080"/>
      <c r="M52" s="3080"/>
      <c r="N52" s="3081"/>
      <c r="O52" s="3083" t="s">
        <v>227</v>
      </c>
      <c r="P52" s="136"/>
      <c r="Q52" s="136"/>
      <c r="R52" s="136"/>
    </row>
    <row r="53" spans="2:18" ht="56.25" customHeight="1">
      <c r="D53" s="953"/>
      <c r="E53" s="537"/>
      <c r="F53" s="953"/>
      <c r="G53" s="2902"/>
      <c r="H53" s="3088"/>
      <c r="I53" s="3102"/>
      <c r="J53" s="3103"/>
      <c r="K53" s="3085" t="s">
        <v>2533</v>
      </c>
      <c r="L53" s="3086"/>
      <c r="M53" s="3086"/>
      <c r="N53" s="3036"/>
      <c r="O53" s="3090"/>
      <c r="P53" s="136"/>
      <c r="Q53" s="136"/>
      <c r="R53" s="136"/>
    </row>
    <row r="54" spans="2:18" ht="27" customHeight="1">
      <c r="D54" s="953"/>
      <c r="E54" s="537"/>
      <c r="F54" s="953"/>
      <c r="G54" s="2901">
        <v>0</v>
      </c>
      <c r="H54" s="3088"/>
      <c r="I54" s="3102"/>
      <c r="J54" s="3103"/>
      <c r="K54" s="3079" t="s">
        <v>851</v>
      </c>
      <c r="L54" s="3080"/>
      <c r="M54" s="3080"/>
      <c r="N54" s="3081"/>
      <c r="O54" s="3083" t="s">
        <v>227</v>
      </c>
      <c r="P54" s="136"/>
      <c r="Q54" s="136"/>
      <c r="R54" s="136"/>
    </row>
    <row r="55" spans="2:18" ht="56.25" customHeight="1" thickBot="1">
      <c r="D55" s="953"/>
      <c r="E55" s="537"/>
      <c r="F55" s="953"/>
      <c r="G55" s="2902"/>
      <c r="H55" s="3089"/>
      <c r="I55" s="3104"/>
      <c r="J55" s="3036"/>
      <c r="K55" s="3085" t="s">
        <v>1201</v>
      </c>
      <c r="L55" s="3086"/>
      <c r="M55" s="3086"/>
      <c r="N55" s="3036"/>
      <c r="O55" s="3084"/>
      <c r="P55" s="136"/>
      <c r="Q55" s="136"/>
      <c r="R55" s="136"/>
    </row>
    <row r="56" spans="2:18" ht="32.25" hidden="1" customHeight="1">
      <c r="D56" s="953"/>
      <c r="E56" s="537"/>
      <c r="F56" s="953"/>
      <c r="G56" s="2901">
        <v>0</v>
      </c>
      <c r="H56" s="3087" t="s">
        <v>852</v>
      </c>
      <c r="I56" s="3079" t="s">
        <v>853</v>
      </c>
      <c r="J56" s="3081"/>
      <c r="K56" s="3079" t="s">
        <v>1202</v>
      </c>
      <c r="L56" s="3080"/>
      <c r="M56" s="3080"/>
      <c r="N56" s="3081"/>
      <c r="O56" s="3083" t="s">
        <v>228</v>
      </c>
      <c r="P56" s="136"/>
      <c r="Q56" s="136"/>
      <c r="R56" s="136"/>
    </row>
    <row r="57" spans="2:18" ht="30.75" hidden="1" customHeight="1" thickBot="1">
      <c r="D57" s="953"/>
      <c r="E57" s="537"/>
      <c r="F57" s="953"/>
      <c r="G57" s="2984"/>
      <c r="H57" s="3117"/>
      <c r="I57" s="3118"/>
      <c r="J57" s="3119"/>
      <c r="K57" s="3082" t="s">
        <v>854</v>
      </c>
      <c r="L57" s="3035"/>
      <c r="M57" s="3035"/>
      <c r="N57" s="3037"/>
      <c r="O57" s="3131"/>
      <c r="P57" s="136"/>
      <c r="Q57" s="136"/>
      <c r="R57" s="136"/>
    </row>
    <row r="58" spans="2:18" ht="15.75">
      <c r="D58" s="953"/>
      <c r="E58" s="537"/>
      <c r="F58" s="953"/>
      <c r="G58" s="2457" t="s">
        <v>1755</v>
      </c>
      <c r="H58" s="3107">
        <f>SUM(G38:G57)</f>
        <v>6</v>
      </c>
      <c r="I58" s="3107"/>
      <c r="J58" s="3107"/>
      <c r="K58" s="1210"/>
      <c r="L58" s="1211"/>
      <c r="M58" s="1210"/>
      <c r="N58" s="1211"/>
      <c r="O58" s="1305"/>
      <c r="P58" s="136"/>
      <c r="Q58" s="136"/>
      <c r="R58" s="136"/>
    </row>
    <row r="59" spans="2:18" ht="15" customHeight="1">
      <c r="D59" s="953"/>
      <c r="E59" s="953"/>
      <c r="F59" s="953"/>
      <c r="G59" s="1578"/>
      <c r="H59" s="1578"/>
      <c r="I59" s="1579"/>
      <c r="J59" s="1580"/>
      <c r="K59" s="1580"/>
      <c r="L59" s="2016"/>
      <c r="M59" s="537"/>
      <c r="N59" s="537"/>
      <c r="O59" s="537"/>
    </row>
    <row r="60" spans="2:18" ht="14.25" customHeight="1">
      <c r="D60" s="1575">
        <v>2.2999999999999998</v>
      </c>
      <c r="E60" s="958" t="s">
        <v>673</v>
      </c>
      <c r="F60" s="959"/>
      <c r="G60" s="537"/>
      <c r="H60" s="959"/>
      <c r="I60" s="958"/>
      <c r="J60" s="958"/>
      <c r="K60" s="958"/>
      <c r="L60" s="958"/>
      <c r="M60" s="958"/>
      <c r="N60" s="1152"/>
      <c r="O60" s="959"/>
    </row>
    <row r="61" spans="2:18" ht="14.25" customHeight="1">
      <c r="D61" s="1575"/>
      <c r="E61" s="958"/>
      <c r="F61" s="372" t="s">
        <v>1203</v>
      </c>
      <c r="G61" s="537"/>
      <c r="H61" s="959"/>
      <c r="I61" s="958"/>
      <c r="J61" s="958"/>
      <c r="K61" s="958"/>
      <c r="L61" s="958"/>
      <c r="M61" s="958"/>
      <c r="N61" s="1152"/>
      <c r="O61" s="959"/>
    </row>
    <row r="62" spans="2:18" ht="18" customHeight="1" thickBot="1">
      <c r="D62" s="1575"/>
      <c r="E62" s="1152"/>
      <c r="F62" s="1102"/>
      <c r="G62" s="966"/>
      <c r="H62" s="967" t="s">
        <v>1358</v>
      </c>
      <c r="I62" s="968"/>
      <c r="J62" s="969">
        <f>重み!M165</f>
        <v>0.25</v>
      </c>
      <c r="K62" s="1103"/>
      <c r="L62" s="1103"/>
      <c r="M62" s="1103"/>
      <c r="N62" s="1103"/>
      <c r="O62" s="978"/>
    </row>
    <row r="63" spans="2:18" ht="17.25" customHeight="1" thickBot="1">
      <c r="F63" s="972">
        <v>3</v>
      </c>
      <c r="G63" s="976" t="s">
        <v>1204</v>
      </c>
      <c r="H63" s="977"/>
      <c r="I63" s="977"/>
      <c r="J63" s="977"/>
      <c r="K63" s="977"/>
      <c r="L63" s="1277"/>
      <c r="M63" s="1277"/>
      <c r="N63" s="3108" t="s">
        <v>1205</v>
      </c>
      <c r="O63" s="2782"/>
    </row>
    <row r="64" spans="2:18" ht="17.25" customHeight="1">
      <c r="B64" s="1498">
        <v>1</v>
      </c>
      <c r="C64" s="1">
        <v>1</v>
      </c>
      <c r="F64" s="984" t="str">
        <f>IF(F63=$S$15,$T$10,IF(ROUNDDOWN(F63,0)=$S$10,$U$10,$T$10))</f>
        <v>　レベル　1</v>
      </c>
      <c r="G64" s="981" t="s">
        <v>3287</v>
      </c>
      <c r="H64" s="1188"/>
      <c r="I64" s="1188"/>
      <c r="J64" s="1188"/>
      <c r="K64" s="1188"/>
      <c r="L64" s="1188"/>
      <c r="M64" s="1188"/>
      <c r="N64" s="3120" t="s">
        <v>1206</v>
      </c>
      <c r="O64" s="3121"/>
    </row>
    <row r="65" spans="2:15" ht="24.75" customHeight="1">
      <c r="B65" s="1" t="s">
        <v>1494</v>
      </c>
      <c r="C65" s="1">
        <v>2</v>
      </c>
      <c r="F65" s="984" t="str">
        <f>IF(F63=$S$15,$T$11,IF(ROUNDDOWN(F63,0)=$S$11,$U$11,$T$11))</f>
        <v>　レベル　2</v>
      </c>
      <c r="G65" s="1561" t="s">
        <v>2168</v>
      </c>
      <c r="H65" s="2013"/>
      <c r="I65" s="2013"/>
      <c r="J65" s="2013"/>
      <c r="K65" s="2013"/>
      <c r="L65" s="2013"/>
      <c r="M65" s="2013"/>
      <c r="N65" s="3122"/>
      <c r="O65" s="3123"/>
    </row>
    <row r="66" spans="2:15" ht="24.75" customHeight="1">
      <c r="B66" s="1">
        <v>3</v>
      </c>
      <c r="C66" s="1">
        <v>3</v>
      </c>
      <c r="F66" s="984" t="str">
        <f>IF(F63=$S$15,$T$12,IF(ROUNDDOWN(F63,0)=$S$12,$U$12,$T$12))</f>
        <v>■レベル　3</v>
      </c>
      <c r="G66" s="1561" t="s">
        <v>3288</v>
      </c>
      <c r="H66" s="2013"/>
      <c r="I66" s="2013"/>
      <c r="J66" s="2013"/>
      <c r="K66" s="2013"/>
      <c r="L66" s="2013"/>
      <c r="M66" s="2013"/>
      <c r="N66" s="3122"/>
      <c r="O66" s="3123"/>
    </row>
    <row r="67" spans="2:15" ht="24.75" customHeight="1">
      <c r="B67" s="1">
        <v>4</v>
      </c>
      <c r="C67" s="1">
        <v>4</v>
      </c>
      <c r="F67" s="984" t="str">
        <f>IF(F63=$S$15,$T$13,IF(ROUNDDOWN(F63,0)=$S$13,$U$13,$T$13))</f>
        <v>　レベル　4</v>
      </c>
      <c r="G67" s="1561" t="s">
        <v>3289</v>
      </c>
      <c r="H67" s="2013"/>
      <c r="I67" s="2013"/>
      <c r="J67" s="2013"/>
      <c r="K67" s="2013"/>
      <c r="L67" s="2013"/>
      <c r="M67" s="2013"/>
      <c r="N67" s="3122"/>
      <c r="O67" s="3123"/>
    </row>
    <row r="68" spans="2:15" ht="24.75" customHeight="1">
      <c r="B68" s="1" t="s">
        <v>1214</v>
      </c>
      <c r="C68" s="1">
        <v>5</v>
      </c>
      <c r="F68" s="995" t="str">
        <f>IF(F63=$S$15,$T$14,IF(ROUNDDOWN(F63,0)=$S$14,$U$14,$T$14))</f>
        <v>　レベル　5</v>
      </c>
      <c r="G68" s="1562" t="s">
        <v>2168</v>
      </c>
      <c r="H68" s="2014"/>
      <c r="I68" s="2014"/>
      <c r="J68" s="2014"/>
      <c r="K68" s="2014"/>
      <c r="L68" s="2014"/>
      <c r="M68" s="2014"/>
      <c r="N68" s="3124"/>
      <c r="O68" s="3125"/>
    </row>
    <row r="69" spans="2:15">
      <c r="B69" s="1002">
        <v>0</v>
      </c>
      <c r="C69" s="1002">
        <v>0</v>
      </c>
    </row>
    <row r="70" spans="2:15" ht="16.5" customHeight="1">
      <c r="F70" s="372" t="s">
        <v>1207</v>
      </c>
    </row>
    <row r="71" spans="2:15" ht="19.5" customHeight="1" thickBot="1">
      <c r="D71" s="1575"/>
      <c r="E71" s="537"/>
      <c r="F71" s="1102"/>
      <c r="G71" s="966"/>
      <c r="H71" s="967" t="s">
        <v>1358</v>
      </c>
      <c r="I71" s="968"/>
      <c r="J71" s="969">
        <f>重み!M166</f>
        <v>0.25</v>
      </c>
      <c r="K71" s="1103"/>
      <c r="L71" s="1103"/>
      <c r="M71" s="1103"/>
      <c r="N71" s="1103"/>
      <c r="O71" s="978"/>
    </row>
    <row r="72" spans="2:15" ht="19.5" customHeight="1" thickBot="1">
      <c r="F72" s="972">
        <v>3</v>
      </c>
      <c r="G72" s="976" t="s">
        <v>2216</v>
      </c>
      <c r="H72" s="977"/>
      <c r="I72" s="977"/>
      <c r="J72" s="977"/>
      <c r="K72" s="977"/>
      <c r="L72" s="1277"/>
      <c r="M72" s="977"/>
      <c r="N72" s="977"/>
      <c r="O72" s="978"/>
    </row>
    <row r="73" spans="2:15" ht="19.5" customHeight="1">
      <c r="B73" s="1498">
        <v>1</v>
      </c>
      <c r="C73" s="1">
        <v>1</v>
      </c>
      <c r="F73" s="984" t="str">
        <f>IF(F72=$S$15,$T$10,IF(ROUNDDOWN(F72,0)=$S$10,$U$10,$T$10))</f>
        <v>　レベル　1</v>
      </c>
      <c r="G73" s="981" t="s">
        <v>3290</v>
      </c>
      <c r="H73" s="1188"/>
      <c r="I73" s="1188"/>
      <c r="J73" s="1188"/>
      <c r="K73" s="1188"/>
      <c r="L73" s="1188"/>
      <c r="M73" s="1188"/>
      <c r="N73" s="982"/>
      <c r="O73" s="983"/>
    </row>
    <row r="74" spans="2:15" ht="19.5" customHeight="1">
      <c r="B74" s="1" t="s">
        <v>1494</v>
      </c>
      <c r="C74" s="1">
        <v>2</v>
      </c>
      <c r="F74" s="984" t="str">
        <f>IF(F72=$S$15,$T$11,IF(ROUNDDOWN(F72,0)=$S$11,$U$11,$T$11))</f>
        <v>　レベル　2</v>
      </c>
      <c r="G74" s="1561" t="s">
        <v>2168</v>
      </c>
      <c r="H74" s="2013"/>
      <c r="I74" s="2013"/>
      <c r="J74" s="2013"/>
      <c r="K74" s="2013"/>
      <c r="L74" s="2013"/>
      <c r="M74" s="2013"/>
      <c r="N74" s="989"/>
      <c r="O74" s="990"/>
    </row>
    <row r="75" spans="2:15" ht="19.5" customHeight="1">
      <c r="B75" s="1">
        <v>3</v>
      </c>
      <c r="C75" s="1">
        <v>3</v>
      </c>
      <c r="F75" s="984" t="str">
        <f>IF(F72=$S$15,$T$12,IF(ROUNDDOWN(F72,0)=$S$12,$U$12,$T$12))</f>
        <v>■レベル　3</v>
      </c>
      <c r="G75" s="1561" t="s">
        <v>855</v>
      </c>
      <c r="H75" s="2013"/>
      <c r="I75" s="2013"/>
      <c r="J75" s="2013"/>
      <c r="K75" s="2013"/>
      <c r="L75" s="2013"/>
      <c r="M75" s="2013"/>
      <c r="N75" s="989"/>
      <c r="O75" s="990"/>
    </row>
    <row r="76" spans="2:15" ht="19.5" customHeight="1">
      <c r="B76" s="1">
        <v>4</v>
      </c>
      <c r="C76" s="1">
        <v>4</v>
      </c>
      <c r="F76" s="984" t="str">
        <f>IF(F72=$S$15,$T$13,IF(ROUNDDOWN(F72,0)=$S$13,$U$13,$T$13))</f>
        <v>　レベル　4</v>
      </c>
      <c r="G76" s="1561" t="s">
        <v>1208</v>
      </c>
      <c r="H76" s="2013"/>
      <c r="I76" s="2013"/>
      <c r="J76" s="2013"/>
      <c r="K76" s="2013"/>
      <c r="L76" s="2013"/>
      <c r="M76" s="2013"/>
      <c r="N76" s="989"/>
      <c r="O76" s="990"/>
    </row>
    <row r="77" spans="2:15" ht="19.5" customHeight="1">
      <c r="B77" s="1" t="s">
        <v>2167</v>
      </c>
      <c r="C77" s="1">
        <v>5</v>
      </c>
      <c r="F77" s="995" t="str">
        <f>IF(F72=$S$15,$T$14,IF(ROUNDDOWN(F72,0)=$S$14,$U$14,$T$14))</f>
        <v>　レベル　5</v>
      </c>
      <c r="G77" s="1562" t="s">
        <v>2168</v>
      </c>
      <c r="H77" s="2014"/>
      <c r="I77" s="2014"/>
      <c r="J77" s="2014"/>
      <c r="K77" s="2014"/>
      <c r="L77" s="2014"/>
      <c r="M77" s="2014"/>
      <c r="N77" s="1000"/>
      <c r="O77" s="1001"/>
    </row>
    <row r="78" spans="2:15" ht="13.5" customHeight="1">
      <c r="B78" s="1002">
        <v>0</v>
      </c>
      <c r="C78" s="1002">
        <v>0</v>
      </c>
    </row>
    <row r="79" spans="2:15" ht="13.5" customHeight="1">
      <c r="F79" s="372" t="s">
        <v>1209</v>
      </c>
    </row>
    <row r="80" spans="2:15" ht="14.25" customHeight="1" thickBot="1">
      <c r="D80" s="1575"/>
      <c r="E80" s="537"/>
      <c r="F80" s="1102"/>
      <c r="G80" s="966"/>
      <c r="H80" s="967" t="s">
        <v>1358</v>
      </c>
      <c r="I80" s="968"/>
      <c r="J80" s="969">
        <f>重み!M167</f>
        <v>0.25</v>
      </c>
      <c r="K80" s="1103"/>
      <c r="L80" s="1103"/>
      <c r="M80" s="1103"/>
      <c r="N80" s="1103"/>
      <c r="O80" s="978"/>
    </row>
    <row r="81" spans="4:15" ht="22.5" customHeight="1" thickBot="1">
      <c r="F81" s="1301">
        <f>IF(H97=0,1,IF(H97=1,2,IF(H97=2,3,IF(H97=3,4,IF(H97&gt;=4,5)))))</f>
        <v>3</v>
      </c>
      <c r="G81" s="976" t="s">
        <v>501</v>
      </c>
      <c r="H81" s="977"/>
      <c r="I81" s="977"/>
      <c r="J81" s="977"/>
      <c r="K81" s="977"/>
      <c r="L81" s="1277"/>
      <c r="M81" s="977"/>
      <c r="N81" s="977"/>
      <c r="O81" s="978"/>
    </row>
    <row r="82" spans="4:15" ht="22.5" customHeight="1">
      <c r="F82" s="984" t="str">
        <f>IF(F81=$S$15,$T$10,IF(ROUNDDOWN(F81,0)=$S$10,$U$10,$T$10))</f>
        <v>　レベル　1</v>
      </c>
      <c r="G82" s="1187" t="s">
        <v>1210</v>
      </c>
      <c r="H82" s="1188"/>
      <c r="I82" s="1188"/>
      <c r="J82" s="1188"/>
      <c r="K82" s="1188"/>
      <c r="L82" s="1188"/>
      <c r="M82" s="1188"/>
      <c r="N82" s="982"/>
      <c r="O82" s="983"/>
    </row>
    <row r="83" spans="4:15" ht="22.5" customHeight="1">
      <c r="F83" s="984" t="str">
        <f>IF(F81=$S$15,$T$11,IF(ROUNDDOWN(F81,0)=$S$11,$U$11,$T$11))</f>
        <v>　レベル　2</v>
      </c>
      <c r="G83" s="1561" t="s">
        <v>1634</v>
      </c>
      <c r="H83" s="2013"/>
      <c r="I83" s="2013"/>
      <c r="J83" s="2013"/>
      <c r="K83" s="2013"/>
      <c r="L83" s="2013"/>
      <c r="M83" s="2013"/>
      <c r="N83" s="989"/>
      <c r="O83" s="990"/>
    </row>
    <row r="84" spans="4:15" ht="22.5" customHeight="1">
      <c r="F84" s="984" t="str">
        <f>IF(F81=$S$15,$T$12,IF(ROUNDDOWN(F81,0)=$S$12,$U$12,$T$12))</f>
        <v>■レベル　3</v>
      </c>
      <c r="G84" s="1561" t="s">
        <v>1635</v>
      </c>
      <c r="H84" s="2013"/>
      <c r="I84" s="2013"/>
      <c r="J84" s="2013"/>
      <c r="K84" s="2013"/>
      <c r="L84" s="2013"/>
      <c r="M84" s="2013"/>
      <c r="N84" s="989"/>
      <c r="O84" s="990"/>
    </row>
    <row r="85" spans="4:15" ht="22.5" customHeight="1">
      <c r="F85" s="984" t="str">
        <f>IF(F81=$S$15,$T$13,IF(ROUNDDOWN(F81,0)=$S$13,$U$13,$T$13))</f>
        <v>　レベル　4</v>
      </c>
      <c r="G85" s="1561" t="s">
        <v>1636</v>
      </c>
      <c r="H85" s="2013"/>
      <c r="I85" s="2013"/>
      <c r="J85" s="2013"/>
      <c r="K85" s="2013"/>
      <c r="L85" s="2013"/>
      <c r="M85" s="2013"/>
      <c r="N85" s="989"/>
      <c r="O85" s="990"/>
    </row>
    <row r="86" spans="4:15" ht="22.5" customHeight="1">
      <c r="F86" s="995" t="str">
        <f>IF(F81=$S$15,$T$14,IF(ROUNDDOWN(F81,0)=$S$14,$U$14,$T$14))</f>
        <v>　レベル　5</v>
      </c>
      <c r="G86" s="1562" t="s">
        <v>1637</v>
      </c>
      <c r="H86" s="2014"/>
      <c r="I86" s="2014"/>
      <c r="J86" s="2014"/>
      <c r="K86" s="2014"/>
      <c r="L86" s="2014"/>
      <c r="M86" s="2014"/>
      <c r="N86" s="1000"/>
      <c r="O86" s="1001"/>
    </row>
    <row r="87" spans="4:15" ht="21" customHeight="1">
      <c r="F87" s="950"/>
      <c r="G87" s="1303" t="s">
        <v>2682</v>
      </c>
      <c r="H87" s="950"/>
      <c r="I87" s="2015"/>
      <c r="J87" s="2015"/>
      <c r="K87" s="1990"/>
      <c r="L87" s="1990"/>
      <c r="M87" s="1990"/>
      <c r="N87" s="1990"/>
      <c r="O87" s="950"/>
    </row>
    <row r="88" spans="4:15" ht="24.75" customHeight="1" thickBot="1">
      <c r="F88" s="953"/>
      <c r="G88" s="1304" t="s">
        <v>225</v>
      </c>
      <c r="H88" s="2953" t="s">
        <v>1736</v>
      </c>
      <c r="I88" s="2954"/>
      <c r="J88" s="2955"/>
      <c r="K88" s="2953" t="s">
        <v>1729</v>
      </c>
      <c r="L88" s="2954"/>
      <c r="M88" s="2954"/>
      <c r="N88" s="2954"/>
      <c r="O88" s="1125" t="s">
        <v>1737</v>
      </c>
    </row>
    <row r="89" spans="4:15" ht="41.25" customHeight="1">
      <c r="D89" s="1575"/>
      <c r="E89" s="950"/>
      <c r="F89" s="950"/>
      <c r="G89" s="1328">
        <v>1</v>
      </c>
      <c r="H89" s="3145" t="s">
        <v>1638</v>
      </c>
      <c r="I89" s="3145"/>
      <c r="J89" s="3164"/>
      <c r="K89" s="2748" t="s">
        <v>1639</v>
      </c>
      <c r="L89" s="3126"/>
      <c r="M89" s="3126"/>
      <c r="N89" s="3126"/>
      <c r="O89" s="2017">
        <v>1</v>
      </c>
    </row>
    <row r="90" spans="4:15" ht="20.25" customHeight="1">
      <c r="D90" s="1575"/>
      <c r="E90" s="950"/>
      <c r="F90" s="950"/>
      <c r="G90" s="2901">
        <v>0</v>
      </c>
      <c r="H90" s="3111"/>
      <c r="I90" s="3111"/>
      <c r="J90" s="3112"/>
      <c r="K90" s="3115" t="s">
        <v>1640</v>
      </c>
      <c r="L90" s="3111"/>
      <c r="M90" s="3111"/>
      <c r="N90" s="3111"/>
      <c r="O90" s="3127">
        <v>1</v>
      </c>
    </row>
    <row r="91" spans="4:15" ht="25.5" customHeight="1">
      <c r="D91" s="1575"/>
      <c r="E91" s="950"/>
      <c r="F91" s="950"/>
      <c r="G91" s="2902"/>
      <c r="H91" s="3165"/>
      <c r="I91" s="3165"/>
      <c r="J91" s="3166"/>
      <c r="K91" s="3129"/>
      <c r="L91" s="3130"/>
      <c r="M91" s="3130"/>
      <c r="N91" s="3130"/>
      <c r="O91" s="3127"/>
    </row>
    <row r="92" spans="4:15" ht="30.75" customHeight="1">
      <c r="D92" s="1575"/>
      <c r="E92" s="950"/>
      <c r="F92" s="950"/>
      <c r="G92" s="1330">
        <v>1</v>
      </c>
      <c r="H92" s="3109" t="s">
        <v>1641</v>
      </c>
      <c r="I92" s="3109"/>
      <c r="J92" s="3110"/>
      <c r="K92" s="3115" t="s">
        <v>1642</v>
      </c>
      <c r="L92" s="3111"/>
      <c r="M92" s="3111"/>
      <c r="N92" s="3111"/>
      <c r="O92" s="2018">
        <v>1</v>
      </c>
    </row>
    <row r="93" spans="4:15" ht="22.5" customHeight="1">
      <c r="D93" s="1575"/>
      <c r="E93" s="950"/>
      <c r="F93" s="950"/>
      <c r="G93" s="1330">
        <v>0</v>
      </c>
      <c r="H93" s="3111"/>
      <c r="I93" s="3111"/>
      <c r="J93" s="3112"/>
      <c r="K93" s="2750" t="s">
        <v>1643</v>
      </c>
      <c r="L93" s="3116"/>
      <c r="M93" s="3116"/>
      <c r="N93" s="3116"/>
      <c r="O93" s="2018">
        <v>1</v>
      </c>
    </row>
    <row r="94" spans="4:15" ht="33" customHeight="1">
      <c r="D94" s="1575"/>
      <c r="E94" s="950"/>
      <c r="F94" s="950"/>
      <c r="G94" s="1330">
        <v>0</v>
      </c>
      <c r="H94" s="3111"/>
      <c r="I94" s="3111"/>
      <c r="J94" s="3112"/>
      <c r="K94" s="2750" t="s">
        <v>1644</v>
      </c>
      <c r="L94" s="3116"/>
      <c r="M94" s="3116"/>
      <c r="N94" s="3116"/>
      <c r="O94" s="2018">
        <v>1</v>
      </c>
    </row>
    <row r="95" spans="4:15" ht="21.75" customHeight="1">
      <c r="D95" s="1575"/>
      <c r="E95" s="950"/>
      <c r="F95" s="950"/>
      <c r="G95" s="2901" t="s">
        <v>856</v>
      </c>
      <c r="H95" s="3111"/>
      <c r="I95" s="3111"/>
      <c r="J95" s="3112"/>
      <c r="K95" s="3115" t="s">
        <v>1645</v>
      </c>
      <c r="L95" s="3111"/>
      <c r="M95" s="3111"/>
      <c r="N95" s="3111"/>
      <c r="O95" s="3127">
        <v>1</v>
      </c>
    </row>
    <row r="96" spans="4:15" ht="25.5" customHeight="1" thickBot="1">
      <c r="D96" s="1575"/>
      <c r="E96" s="950"/>
      <c r="F96" s="950"/>
      <c r="G96" s="2984"/>
      <c r="H96" s="3113"/>
      <c r="I96" s="3113"/>
      <c r="J96" s="3114"/>
      <c r="K96" s="2942"/>
      <c r="L96" s="2943"/>
      <c r="M96" s="2943"/>
      <c r="N96" s="2943"/>
      <c r="O96" s="3128"/>
    </row>
    <row r="97" spans="2:15" ht="14.25">
      <c r="D97" s="1575"/>
      <c r="E97" s="950"/>
      <c r="F97" s="950"/>
      <c r="G97" s="1208" t="s">
        <v>1755</v>
      </c>
      <c r="H97" s="3107">
        <f>SUM(G89:G96)</f>
        <v>2</v>
      </c>
      <c r="I97" s="3107"/>
      <c r="J97" s="3107"/>
      <c r="K97" s="1210"/>
      <c r="L97" s="1211"/>
      <c r="M97" s="1210"/>
      <c r="N97" s="1211"/>
      <c r="O97" s="1305"/>
    </row>
    <row r="98" spans="2:15" ht="14.25">
      <c r="D98" s="1575"/>
      <c r="E98" s="950"/>
      <c r="F98" s="950"/>
      <c r="G98" s="950"/>
      <c r="H98" s="950"/>
      <c r="I98" s="950"/>
      <c r="J98" s="950"/>
      <c r="K98" s="950"/>
      <c r="L98" s="950"/>
      <c r="M98" s="950"/>
      <c r="N98" s="950"/>
      <c r="O98" s="950"/>
    </row>
    <row r="99" spans="2:15" ht="14.25">
      <c r="D99" s="1575"/>
      <c r="E99" s="950"/>
      <c r="F99" s="372" t="s">
        <v>857</v>
      </c>
      <c r="G99" s="950"/>
      <c r="H99" s="950"/>
      <c r="I99" s="950"/>
      <c r="J99" s="950"/>
      <c r="K99" s="950"/>
      <c r="L99" s="950"/>
      <c r="M99" s="950"/>
      <c r="N99" s="950"/>
      <c r="O99" s="950"/>
    </row>
    <row r="100" spans="2:15" ht="15" thickBot="1">
      <c r="B100" s="1581" t="s">
        <v>858</v>
      </c>
      <c r="D100" s="1575"/>
      <c r="E100" s="950"/>
      <c r="F100" s="1102"/>
      <c r="G100" s="966"/>
      <c r="H100" s="967" t="s">
        <v>1358</v>
      </c>
      <c r="I100" s="968"/>
      <c r="J100" s="969">
        <f>重み!M168</f>
        <v>0.25</v>
      </c>
      <c r="K100" s="1103"/>
      <c r="L100" s="1103"/>
      <c r="M100" s="1103"/>
      <c r="N100" s="1103"/>
      <c r="O100" s="978"/>
    </row>
    <row r="101" spans="2:15" ht="14.25" thickBot="1">
      <c r="F101" s="1301">
        <f>IF(メイン!I54=メイン!I56,IF(H116=0,1,IF(H116=1,2,IF(H116=2,3,IF(H116=3,4,IF(H116&gt;=4,5))))),IF(H116&lt;=1,1,IF(H116=2,2,IF(H116=3,3,IF(H116=4,4,IF(H116&gt;=5,5))))))</f>
        <v>3</v>
      </c>
      <c r="G101" s="976" t="s">
        <v>3291</v>
      </c>
      <c r="H101" s="977"/>
      <c r="I101" s="977"/>
      <c r="J101" s="977"/>
      <c r="K101" s="1084" t="s">
        <v>1893</v>
      </c>
      <c r="L101" s="977"/>
      <c r="M101" s="977"/>
      <c r="N101" s="977"/>
      <c r="O101" s="978"/>
    </row>
    <row r="102" spans="2:15" ht="23.25" customHeight="1">
      <c r="F102" s="984" t="str">
        <f>IF(F101=$S$15,$T$10,IF(ROUNDDOWN(F101,0)=$S$10,$U$10,$T$10))</f>
        <v>　レベル　1</v>
      </c>
      <c r="G102" s="1187" t="s">
        <v>1646</v>
      </c>
      <c r="H102" s="1261"/>
      <c r="I102" s="1261"/>
      <c r="J102" s="1261"/>
      <c r="K102" s="981" t="s">
        <v>1647</v>
      </c>
      <c r="L102" s="1261"/>
      <c r="M102" s="1261"/>
      <c r="N102" s="982"/>
      <c r="O102" s="983"/>
    </row>
    <row r="103" spans="2:15" ht="23.25" customHeight="1">
      <c r="F103" s="984" t="str">
        <f>IF(F101=$S$15,$T$11,IF(ROUNDDOWN(F101,0)=$S$11,$U$11,$T$11))</f>
        <v>　レベル　2</v>
      </c>
      <c r="G103" s="1190" t="s">
        <v>1648</v>
      </c>
      <c r="H103" s="1308"/>
      <c r="I103" s="1308"/>
      <c r="J103" s="1308"/>
      <c r="K103" s="988" t="s">
        <v>1649</v>
      </c>
      <c r="L103" s="2458"/>
      <c r="M103" s="1308"/>
      <c r="N103" s="989"/>
      <c r="O103" s="990"/>
    </row>
    <row r="104" spans="2:15" ht="23.25" customHeight="1">
      <c r="F104" s="984" t="str">
        <f>IF(F101=$S$15,$T$12,IF(ROUNDDOWN(F101,0)=$S$12,$U$12,$T$12))</f>
        <v>■レベル　3</v>
      </c>
      <c r="G104" s="1190" t="s">
        <v>1989</v>
      </c>
      <c r="H104" s="1308"/>
      <c r="I104" s="1308"/>
      <c r="J104" s="1308"/>
      <c r="K104" s="988" t="s">
        <v>859</v>
      </c>
      <c r="L104" s="2458"/>
      <c r="M104" s="1308"/>
      <c r="N104" s="989"/>
      <c r="O104" s="990"/>
    </row>
    <row r="105" spans="2:15" ht="23.25" customHeight="1">
      <c r="F105" s="984" t="str">
        <f>IF(F101=$S$15,$T$13,IF(ROUNDDOWN(F101,0)=$S$13,$U$13,$T$13))</f>
        <v>　レベル　4</v>
      </c>
      <c r="G105" s="1190" t="s">
        <v>1990</v>
      </c>
      <c r="H105" s="1308"/>
      <c r="I105" s="1308"/>
      <c r="J105" s="1308"/>
      <c r="K105" s="988" t="s">
        <v>860</v>
      </c>
      <c r="L105" s="2458"/>
      <c r="M105" s="1308"/>
      <c r="N105" s="989"/>
      <c r="O105" s="990"/>
    </row>
    <row r="106" spans="2:15" ht="23.25" customHeight="1">
      <c r="F106" s="995" t="str">
        <f>IF(F101=$S$15,$T$14,IF(ROUNDDOWN(F101,0)=$S$14,$U$14,$T$14))</f>
        <v>　レベル　5</v>
      </c>
      <c r="G106" s="1193" t="s">
        <v>1991</v>
      </c>
      <c r="H106" s="1318"/>
      <c r="I106" s="1318"/>
      <c r="J106" s="1318"/>
      <c r="K106" s="999" t="s">
        <v>861</v>
      </c>
      <c r="L106" s="2459"/>
      <c r="M106" s="1318"/>
      <c r="N106" s="1000"/>
      <c r="O106" s="1001"/>
    </row>
    <row r="107" spans="2:15">
      <c r="F107" s="950"/>
      <c r="G107" s="1303" t="s">
        <v>2682</v>
      </c>
      <c r="H107" s="950"/>
      <c r="I107" s="2015"/>
      <c r="J107" s="2015"/>
      <c r="K107" s="1990"/>
      <c r="L107" s="1990"/>
      <c r="M107" s="1990"/>
      <c r="N107" s="1990"/>
      <c r="O107" s="950"/>
    </row>
    <row r="108" spans="2:15" ht="22.5" customHeight="1" thickBot="1">
      <c r="F108" s="953"/>
      <c r="G108" s="1304" t="s">
        <v>225</v>
      </c>
      <c r="H108" s="2953" t="s">
        <v>1736</v>
      </c>
      <c r="I108" s="2954"/>
      <c r="J108" s="2955"/>
      <c r="K108" s="2953" t="s">
        <v>1729</v>
      </c>
      <c r="L108" s="2954"/>
      <c r="M108" s="2954"/>
      <c r="N108" s="2954"/>
      <c r="O108" s="1125" t="s">
        <v>1737</v>
      </c>
    </row>
    <row r="109" spans="2:15" ht="30.75" customHeight="1">
      <c r="D109" s="1575"/>
      <c r="E109" s="950"/>
      <c r="F109" s="950"/>
      <c r="G109" s="1328">
        <v>1</v>
      </c>
      <c r="H109" s="3167" t="s">
        <v>3295</v>
      </c>
      <c r="I109" s="3126"/>
      <c r="J109" s="2749"/>
      <c r="K109" s="2748" t="s">
        <v>3296</v>
      </c>
      <c r="L109" s="3126"/>
      <c r="M109" s="3126"/>
      <c r="N109" s="2749"/>
      <c r="O109" s="2460">
        <v>1</v>
      </c>
    </row>
    <row r="110" spans="2:15" ht="32.25" customHeight="1">
      <c r="D110" s="1575"/>
      <c r="E110" s="950"/>
      <c r="F110" s="950"/>
      <c r="G110" s="1331">
        <v>1</v>
      </c>
      <c r="H110" s="3132" t="s">
        <v>3297</v>
      </c>
      <c r="I110" s="3109"/>
      <c r="J110" s="3110"/>
      <c r="K110" s="2750" t="s">
        <v>3292</v>
      </c>
      <c r="L110" s="3116"/>
      <c r="M110" s="3116"/>
      <c r="N110" s="3162"/>
      <c r="O110" s="1336">
        <v>1</v>
      </c>
    </row>
    <row r="111" spans="2:15" ht="27" customHeight="1">
      <c r="D111" s="1575"/>
      <c r="E111" s="950"/>
      <c r="F111" s="950"/>
      <c r="G111" s="1330">
        <v>1</v>
      </c>
      <c r="H111" s="3134"/>
      <c r="I111" s="3111"/>
      <c r="J111" s="3112"/>
      <c r="K111" s="2750" t="s">
        <v>3298</v>
      </c>
      <c r="L111" s="3116"/>
      <c r="M111" s="3116"/>
      <c r="N111" s="3162"/>
      <c r="O111" s="1336">
        <v>1</v>
      </c>
    </row>
    <row r="112" spans="2:15" ht="24" customHeight="1">
      <c r="D112" s="1575"/>
      <c r="E112" s="950"/>
      <c r="F112" s="950"/>
      <c r="G112" s="1330">
        <v>0</v>
      </c>
      <c r="H112" s="3134"/>
      <c r="I112" s="3111"/>
      <c r="J112" s="3112"/>
      <c r="K112" s="2750" t="s">
        <v>3293</v>
      </c>
      <c r="L112" s="3116"/>
      <c r="M112" s="3116"/>
      <c r="N112" s="3162"/>
      <c r="O112" s="1336">
        <v>1</v>
      </c>
    </row>
    <row r="113" spans="2:15" ht="57" hidden="1" customHeight="1">
      <c r="B113" s="1147" t="s">
        <v>862</v>
      </c>
      <c r="D113" s="1575"/>
      <c r="E113" s="950"/>
      <c r="F113" s="950"/>
      <c r="G113" s="1330">
        <v>0</v>
      </c>
      <c r="H113" s="2433"/>
      <c r="I113" s="2434"/>
      <c r="J113" s="2434"/>
      <c r="K113" s="2750" t="s">
        <v>863</v>
      </c>
      <c r="L113" s="3116"/>
      <c r="M113" s="3116"/>
      <c r="N113" s="3162"/>
      <c r="O113" s="1336" t="s">
        <v>3299</v>
      </c>
    </row>
    <row r="114" spans="2:15" ht="31.5" customHeight="1">
      <c r="D114" s="1575"/>
      <c r="E114" s="950"/>
      <c r="F114" s="950"/>
      <c r="G114" s="1330">
        <v>0</v>
      </c>
      <c r="H114" s="3132" t="s">
        <v>3300</v>
      </c>
      <c r="I114" s="3109"/>
      <c r="J114" s="3110"/>
      <c r="K114" s="2750" t="s">
        <v>3294</v>
      </c>
      <c r="L114" s="3116"/>
      <c r="M114" s="3116"/>
      <c r="N114" s="3162"/>
      <c r="O114" s="1336">
        <v>1</v>
      </c>
    </row>
    <row r="115" spans="2:15" ht="27" customHeight="1" thickBot="1">
      <c r="D115" s="1575"/>
      <c r="E115" s="950"/>
      <c r="F115" s="950"/>
      <c r="G115" s="1337">
        <v>0</v>
      </c>
      <c r="H115" s="3163"/>
      <c r="I115" s="3113"/>
      <c r="J115" s="3114"/>
      <c r="K115" s="2879" t="s">
        <v>3301</v>
      </c>
      <c r="L115" s="3182"/>
      <c r="M115" s="3182"/>
      <c r="N115" s="3183"/>
      <c r="O115" s="1338">
        <v>1</v>
      </c>
    </row>
    <row r="116" spans="2:15" ht="14.25">
      <c r="D116" s="1575"/>
      <c r="E116" s="950"/>
      <c r="F116" s="950"/>
      <c r="G116" s="1208" t="s">
        <v>3220</v>
      </c>
      <c r="H116" s="3107">
        <f>SUM(G109:G115)</f>
        <v>3</v>
      </c>
      <c r="I116" s="3107"/>
      <c r="J116" s="3107"/>
      <c r="K116" s="1210"/>
      <c r="L116" s="1211"/>
      <c r="M116" s="1210"/>
      <c r="N116" s="1211"/>
      <c r="O116" s="1305"/>
    </row>
    <row r="117" spans="2:15" ht="16.5" customHeight="1">
      <c r="D117" s="1575"/>
      <c r="E117" s="950"/>
      <c r="F117" s="950"/>
      <c r="G117" s="950"/>
      <c r="H117" s="950"/>
      <c r="I117" s="950"/>
      <c r="J117" s="950"/>
      <c r="K117" s="950"/>
      <c r="L117" s="950"/>
      <c r="M117" s="950"/>
      <c r="N117" s="950"/>
      <c r="O117" s="950"/>
    </row>
    <row r="118" spans="2:15" ht="19.5" customHeight="1">
      <c r="D118" s="1575">
        <v>3</v>
      </c>
      <c r="E118" s="958" t="s">
        <v>2642</v>
      </c>
      <c r="F118" s="958"/>
      <c r="G118" s="950"/>
      <c r="H118" s="950"/>
      <c r="I118" s="950"/>
      <c r="J118" s="950"/>
      <c r="K118" s="950"/>
      <c r="L118" s="950"/>
      <c r="M118" s="950"/>
      <c r="N118" s="950"/>
      <c r="O118" s="950"/>
    </row>
    <row r="119" spans="2:15" ht="14.25">
      <c r="D119" s="1575">
        <v>3.1</v>
      </c>
      <c r="E119" s="958" t="s">
        <v>864</v>
      </c>
      <c r="F119" s="958"/>
      <c r="G119" s="957"/>
      <c r="H119" s="958"/>
      <c r="I119" s="958"/>
      <c r="J119" s="958"/>
      <c r="K119" s="958"/>
      <c r="L119" s="958"/>
      <c r="M119" s="958"/>
      <c r="N119" s="958"/>
    </row>
    <row r="120" spans="2:15" ht="14.25">
      <c r="D120" s="1575"/>
      <c r="E120" s="958"/>
      <c r="F120" s="1582" t="s">
        <v>865</v>
      </c>
      <c r="G120" s="957"/>
      <c r="H120" s="958"/>
      <c r="I120" s="958"/>
      <c r="J120" s="958"/>
      <c r="K120" s="958"/>
      <c r="L120" s="958"/>
      <c r="M120" s="958"/>
      <c r="N120" s="958"/>
    </row>
    <row r="121" spans="2:15" ht="15" thickBot="1">
      <c r="D121" s="1575"/>
      <c r="E121" s="950"/>
      <c r="F121" s="1102"/>
      <c r="G121" s="966"/>
      <c r="H121" s="967" t="s">
        <v>1358</v>
      </c>
      <c r="I121" s="968"/>
      <c r="J121" s="969">
        <f>重み!M171</f>
        <v>0.33333333333333337</v>
      </c>
      <c r="K121" s="1103"/>
      <c r="L121" s="1103"/>
      <c r="M121" s="1103"/>
      <c r="N121" s="1103"/>
      <c r="O121" s="978"/>
    </row>
    <row r="122" spans="2:15" ht="16.5" thickBot="1">
      <c r="D122" s="953"/>
      <c r="E122" s="953"/>
      <c r="F122" s="972">
        <v>3</v>
      </c>
      <c r="G122" s="976" t="s">
        <v>2216</v>
      </c>
      <c r="H122" s="977"/>
      <c r="I122" s="977"/>
      <c r="J122" s="977"/>
      <c r="K122" s="977"/>
      <c r="L122" s="1277"/>
      <c r="M122" s="977"/>
      <c r="N122" s="1084" t="s">
        <v>866</v>
      </c>
      <c r="O122" s="978"/>
    </row>
    <row r="123" spans="2:15" ht="20.25" customHeight="1">
      <c r="B123" s="1">
        <v>1</v>
      </c>
      <c r="C123" s="1">
        <v>1</v>
      </c>
      <c r="D123" s="953"/>
      <c r="E123" s="953"/>
      <c r="F123" s="984" t="str">
        <f>IF(F122=$S$15,$T$10,IF(ROUNDDOWN(F122,0)=$S$10,$U$10,$T$10))</f>
        <v>　レベル　1</v>
      </c>
      <c r="G123" s="1187" t="s">
        <v>2388</v>
      </c>
      <c r="H123" s="1261"/>
      <c r="I123" s="1261"/>
      <c r="J123" s="1261"/>
      <c r="K123" s="1261"/>
      <c r="L123" s="1418"/>
      <c r="M123" s="1261"/>
      <c r="N123" s="3156" t="s">
        <v>2389</v>
      </c>
      <c r="O123" s="3157"/>
    </row>
    <row r="124" spans="2:15" ht="20.25" customHeight="1">
      <c r="B124" s="1" t="s">
        <v>1153</v>
      </c>
      <c r="C124" s="1">
        <v>2</v>
      </c>
      <c r="D124" s="953"/>
      <c r="E124" s="953"/>
      <c r="F124" s="984" t="str">
        <f>IF(F122=$S$15,$T$11,IF(ROUNDDOWN(F122,0)=$S$11,$U$11,$T$11))</f>
        <v>　レベル　2</v>
      </c>
      <c r="G124" s="1190" t="s">
        <v>2168</v>
      </c>
      <c r="H124" s="1308"/>
      <c r="I124" s="1308"/>
      <c r="J124" s="1308"/>
      <c r="K124" s="1308"/>
      <c r="L124" s="1419"/>
      <c r="M124" s="1308"/>
      <c r="N124" s="3158"/>
      <c r="O124" s="3159"/>
    </row>
    <row r="125" spans="2:15" ht="20.25" customHeight="1">
      <c r="B125" s="1">
        <v>3</v>
      </c>
      <c r="C125" s="1">
        <v>3</v>
      </c>
      <c r="D125" s="953"/>
      <c r="E125" s="953"/>
      <c r="F125" s="984" t="str">
        <f>IF(F122=$S$15,$T$12,IF(ROUNDDOWN(F122,0)=$S$12,$U$12,$T$12))</f>
        <v>■レベル　3</v>
      </c>
      <c r="G125" s="1190" t="s">
        <v>2390</v>
      </c>
      <c r="H125" s="1308"/>
      <c r="I125" s="1308"/>
      <c r="J125" s="1308"/>
      <c r="K125" s="1308"/>
      <c r="L125" s="1419"/>
      <c r="M125" s="1308"/>
      <c r="N125" s="3158"/>
      <c r="O125" s="3159"/>
    </row>
    <row r="126" spans="2:15" ht="20.25" customHeight="1">
      <c r="B126" s="1" t="s">
        <v>1153</v>
      </c>
      <c r="C126" s="1">
        <v>4</v>
      </c>
      <c r="D126" s="953"/>
      <c r="E126" s="953"/>
      <c r="F126" s="984" t="str">
        <f>IF(F122=$S$15,$T$13,IF(ROUNDDOWN(F122,0)=$S$13,$U$13,$T$13))</f>
        <v>　レベル　4</v>
      </c>
      <c r="G126" s="1190" t="s">
        <v>2168</v>
      </c>
      <c r="H126" s="1308"/>
      <c r="I126" s="1308"/>
      <c r="J126" s="1308"/>
      <c r="K126" s="1308"/>
      <c r="L126" s="1419"/>
      <c r="M126" s="1308"/>
      <c r="N126" s="3158"/>
      <c r="O126" s="3159"/>
    </row>
    <row r="127" spans="2:15" ht="20.25" customHeight="1">
      <c r="B127" s="1">
        <v>5</v>
      </c>
      <c r="C127" s="1">
        <v>5</v>
      </c>
      <c r="D127" s="953"/>
      <c r="E127" s="953"/>
      <c r="F127" s="995" t="str">
        <f>IF(F122=$S$15,$T$14,IF(ROUNDDOWN(F122,0)=$S$14,$U$14,$T$14))</f>
        <v>　レベル　5</v>
      </c>
      <c r="G127" s="1193" t="s">
        <v>515</v>
      </c>
      <c r="H127" s="1318"/>
      <c r="I127" s="1318"/>
      <c r="J127" s="1318"/>
      <c r="K127" s="1318"/>
      <c r="L127" s="1583"/>
      <c r="M127" s="1318"/>
      <c r="N127" s="3160"/>
      <c r="O127" s="3161"/>
    </row>
    <row r="128" spans="2:15" ht="25.5" customHeight="1">
      <c r="B128" s="1002">
        <v>0</v>
      </c>
      <c r="C128" s="1002">
        <v>0</v>
      </c>
      <c r="F128" s="3154" t="s">
        <v>1530</v>
      </c>
      <c r="G128" s="3154"/>
      <c r="H128" s="3154"/>
      <c r="I128" s="3154"/>
      <c r="J128" s="3154"/>
      <c r="K128" s="3154"/>
      <c r="L128" s="3154"/>
      <c r="M128" s="3154"/>
      <c r="N128" s="3154"/>
      <c r="O128" s="3154"/>
    </row>
    <row r="129" spans="6:12" ht="15.75">
      <c r="F129" s="1350" t="s">
        <v>867</v>
      </c>
      <c r="G129" s="1350"/>
      <c r="H129" s="953"/>
      <c r="I129" s="953"/>
      <c r="J129" s="953"/>
      <c r="K129" s="958"/>
      <c r="L129" s="958"/>
    </row>
    <row r="130" spans="6:12">
      <c r="F130" s="950" t="s">
        <v>1531</v>
      </c>
    </row>
    <row r="131" spans="6:12">
      <c r="F131" s="1584"/>
      <c r="G131" s="3138" t="s">
        <v>868</v>
      </c>
      <c r="H131" s="3139"/>
      <c r="I131" s="3140"/>
      <c r="J131" s="3138" t="s">
        <v>869</v>
      </c>
      <c r="K131" s="3139"/>
      <c r="L131" s="3140"/>
    </row>
    <row r="132" spans="6:12" ht="14.25">
      <c r="F132" s="1585"/>
      <c r="G132" s="1586" t="s">
        <v>1532</v>
      </c>
      <c r="H132" s="1587" t="s">
        <v>1533</v>
      </c>
      <c r="I132" s="1588" t="s">
        <v>1534</v>
      </c>
      <c r="J132" s="1586" t="s">
        <v>1532</v>
      </c>
      <c r="K132" s="1587" t="s">
        <v>1533</v>
      </c>
      <c r="L132" s="1588" t="s">
        <v>1534</v>
      </c>
    </row>
    <row r="133" spans="6:12" ht="29.25" customHeight="1">
      <c r="F133" s="984" t="s">
        <v>870</v>
      </c>
      <c r="G133" s="1589" t="s">
        <v>871</v>
      </c>
      <c r="H133" s="1590" t="s">
        <v>871</v>
      </c>
      <c r="I133" s="1591" t="s">
        <v>871</v>
      </c>
      <c r="J133" s="1589" t="s">
        <v>871</v>
      </c>
      <c r="K133" s="1590" t="s">
        <v>871</v>
      </c>
      <c r="L133" s="1591" t="s">
        <v>871</v>
      </c>
    </row>
    <row r="134" spans="6:12">
      <c r="F134" s="984" t="s">
        <v>2837</v>
      </c>
      <c r="G134" s="1592"/>
      <c r="H134" s="1587"/>
      <c r="I134" s="1593"/>
      <c r="J134" s="1592"/>
      <c r="K134" s="1587"/>
      <c r="L134" s="1593"/>
    </row>
    <row r="135" spans="6:12">
      <c r="F135" s="984" t="s">
        <v>2838</v>
      </c>
      <c r="G135" s="1592" t="s">
        <v>872</v>
      </c>
      <c r="H135" s="1587" t="s">
        <v>873</v>
      </c>
      <c r="I135" s="1593" t="s">
        <v>873</v>
      </c>
      <c r="J135" s="1592" t="s">
        <v>1535</v>
      </c>
      <c r="K135" s="1587" t="s">
        <v>872</v>
      </c>
      <c r="L135" s="1593" t="s">
        <v>872</v>
      </c>
    </row>
    <row r="136" spans="6:12">
      <c r="F136" s="984" t="s">
        <v>2839</v>
      </c>
      <c r="G136" s="1592"/>
      <c r="H136" s="1587"/>
      <c r="I136" s="1593"/>
      <c r="J136" s="1592"/>
      <c r="K136" s="1587"/>
      <c r="L136" s="1593"/>
    </row>
    <row r="137" spans="6:12">
      <c r="F137" s="995" t="s">
        <v>2840</v>
      </c>
      <c r="G137" s="1594" t="s">
        <v>1536</v>
      </c>
      <c r="H137" s="1595" t="s">
        <v>1537</v>
      </c>
      <c r="I137" s="1596" t="s">
        <v>1537</v>
      </c>
      <c r="J137" s="1594" t="s">
        <v>873</v>
      </c>
      <c r="K137" s="1595" t="s">
        <v>874</v>
      </c>
      <c r="L137" s="1596" t="s">
        <v>874</v>
      </c>
    </row>
    <row r="138" spans="6:12">
      <c r="F138" s="1584"/>
      <c r="G138" s="3138" t="s">
        <v>875</v>
      </c>
      <c r="H138" s="3139"/>
      <c r="I138" s="3140"/>
      <c r="J138" s="3138" t="s">
        <v>876</v>
      </c>
      <c r="K138" s="3139"/>
      <c r="L138" s="3140"/>
    </row>
    <row r="139" spans="6:12">
      <c r="F139" s="1367"/>
      <c r="G139" s="1586" t="s">
        <v>1538</v>
      </c>
      <c r="H139" s="1587" t="s">
        <v>1539</v>
      </c>
      <c r="I139" s="1588" t="s">
        <v>1540</v>
      </c>
      <c r="J139" s="1586" t="s">
        <v>1538</v>
      </c>
      <c r="K139" s="1587" t="s">
        <v>1539</v>
      </c>
      <c r="L139" s="1588" t="s">
        <v>1540</v>
      </c>
    </row>
    <row r="140" spans="6:12" ht="29.25" customHeight="1">
      <c r="F140" s="984" t="s">
        <v>870</v>
      </c>
      <c r="G140" s="1589" t="s">
        <v>871</v>
      </c>
      <c r="H140" s="1590" t="s">
        <v>871</v>
      </c>
      <c r="I140" s="1591" t="s">
        <v>871</v>
      </c>
      <c r="J140" s="1589" t="s">
        <v>871</v>
      </c>
      <c r="K140" s="1590" t="s">
        <v>871</v>
      </c>
      <c r="L140" s="1591" t="s">
        <v>871</v>
      </c>
    </row>
    <row r="141" spans="6:12">
      <c r="F141" s="984" t="s">
        <v>2837</v>
      </c>
      <c r="G141" s="1592"/>
      <c r="H141" s="1587"/>
      <c r="I141" s="1593"/>
      <c r="J141" s="1592"/>
      <c r="K141" s="1587"/>
      <c r="L141" s="1593"/>
    </row>
    <row r="142" spans="6:12">
      <c r="F142" s="984" t="s">
        <v>2838</v>
      </c>
      <c r="G142" s="1592" t="s">
        <v>877</v>
      </c>
      <c r="H142" s="1587" t="s">
        <v>878</v>
      </c>
      <c r="I142" s="1593" t="s">
        <v>879</v>
      </c>
      <c r="J142" s="1592" t="s">
        <v>880</v>
      </c>
      <c r="K142" s="1587" t="s">
        <v>877</v>
      </c>
      <c r="L142" s="1593" t="s">
        <v>878</v>
      </c>
    </row>
    <row r="143" spans="6:12">
      <c r="F143" s="984" t="s">
        <v>2839</v>
      </c>
      <c r="G143" s="1592"/>
      <c r="H143" s="1587"/>
      <c r="I143" s="1593"/>
      <c r="J143" s="1592"/>
      <c r="K143" s="1587"/>
      <c r="L143" s="1593"/>
    </row>
    <row r="144" spans="6:12">
      <c r="F144" s="995" t="s">
        <v>2840</v>
      </c>
      <c r="G144" s="1594" t="s">
        <v>879</v>
      </c>
      <c r="H144" s="1595" t="s">
        <v>872</v>
      </c>
      <c r="I144" s="1596" t="s">
        <v>873</v>
      </c>
      <c r="J144" s="1594" t="s">
        <v>877</v>
      </c>
      <c r="K144" s="1595" t="s">
        <v>879</v>
      </c>
      <c r="L144" s="1596" t="s">
        <v>872</v>
      </c>
    </row>
    <row r="145" spans="2:15" ht="15.75">
      <c r="D145" s="953"/>
      <c r="E145" s="953"/>
      <c r="F145" s="953"/>
      <c r="G145" s="953"/>
      <c r="H145" s="953"/>
      <c r="I145" s="953"/>
      <c r="J145" s="953"/>
      <c r="K145" s="953"/>
      <c r="L145" s="953"/>
      <c r="M145" s="953"/>
      <c r="N145" s="953"/>
    </row>
    <row r="146" spans="2:15" ht="15.75">
      <c r="D146" s="953"/>
      <c r="E146" s="953"/>
      <c r="F146" s="1582" t="s">
        <v>1541</v>
      </c>
      <c r="G146" s="953"/>
      <c r="H146" s="953"/>
      <c r="I146" s="953"/>
      <c r="J146" s="953"/>
      <c r="K146" s="953"/>
      <c r="L146" s="953"/>
      <c r="M146" s="953"/>
      <c r="N146" s="953"/>
    </row>
    <row r="147" spans="2:15" ht="15" thickBot="1">
      <c r="D147" s="1575"/>
      <c r="E147" s="950"/>
      <c r="F147" s="1102"/>
      <c r="G147" s="966"/>
      <c r="H147" s="967" t="s">
        <v>1358</v>
      </c>
      <c r="I147" s="968"/>
      <c r="J147" s="969">
        <f>重み!M172</f>
        <v>0.33333333333333337</v>
      </c>
      <c r="K147" s="1103"/>
      <c r="L147" s="1103"/>
      <c r="M147" s="1103"/>
      <c r="N147" s="1103"/>
      <c r="O147" s="978"/>
    </row>
    <row r="148" spans="2:15" ht="15" thickBot="1">
      <c r="D148" s="1575"/>
      <c r="E148" s="958"/>
      <c r="F148" s="972">
        <v>3</v>
      </c>
      <c r="G148" s="976" t="s">
        <v>2216</v>
      </c>
      <c r="H148" s="977"/>
      <c r="I148" s="977"/>
      <c r="J148" s="977"/>
      <c r="K148" s="977"/>
      <c r="L148" s="1277"/>
      <c r="M148" s="977"/>
      <c r="N148" s="1084" t="s">
        <v>866</v>
      </c>
      <c r="O148" s="978"/>
    </row>
    <row r="149" spans="2:15" ht="20.25" customHeight="1">
      <c r="B149" s="1">
        <v>1</v>
      </c>
      <c r="C149" s="1">
        <v>1</v>
      </c>
      <c r="D149" s="1575"/>
      <c r="E149" s="958"/>
      <c r="F149" s="984" t="str">
        <f>IF(F148=$S$15,$T$10,IF(ROUNDDOWN(F148,0)=$S$10,$U$10,$T$10))</f>
        <v>　レベル　1</v>
      </c>
      <c r="G149" s="1187" t="s">
        <v>87</v>
      </c>
      <c r="H149" s="1261"/>
      <c r="I149" s="1261"/>
      <c r="J149" s="1261"/>
      <c r="K149" s="1261"/>
      <c r="L149" s="1418"/>
      <c r="M149" s="1261"/>
      <c r="N149" s="2707" t="s">
        <v>88</v>
      </c>
      <c r="O149" s="3141"/>
    </row>
    <row r="150" spans="2:15" ht="20.25" customHeight="1">
      <c r="B150" s="1" t="s">
        <v>516</v>
      </c>
      <c r="C150" s="1">
        <v>2</v>
      </c>
      <c r="D150" s="1575"/>
      <c r="E150" s="958"/>
      <c r="F150" s="984" t="str">
        <f>IF(F148=$S$15,$T$11,IF(ROUNDDOWN(F148,0)=$S$11,$U$11,$T$11))</f>
        <v>　レベル　2</v>
      </c>
      <c r="G150" s="1190" t="s">
        <v>2168</v>
      </c>
      <c r="H150" s="1308"/>
      <c r="I150" s="1308"/>
      <c r="J150" s="1308"/>
      <c r="K150" s="1308"/>
      <c r="L150" s="1419"/>
      <c r="M150" s="1308"/>
      <c r="N150" s="3142"/>
      <c r="O150" s="2982"/>
    </row>
    <row r="151" spans="2:15" ht="20.25" customHeight="1">
      <c r="B151" s="1">
        <v>3</v>
      </c>
      <c r="C151" s="1">
        <v>3</v>
      </c>
      <c r="D151" s="1575"/>
      <c r="E151" s="958"/>
      <c r="F151" s="984" t="str">
        <f>IF(F148=$S$15,$T$12,IF(ROUNDDOWN(F148,0)=$S$12,$U$12,$T$12))</f>
        <v>■レベル　3</v>
      </c>
      <c r="G151" s="1190" t="s">
        <v>89</v>
      </c>
      <c r="H151" s="1308"/>
      <c r="I151" s="1308"/>
      <c r="J151" s="1308"/>
      <c r="K151" s="1308"/>
      <c r="L151" s="1419"/>
      <c r="M151" s="1308"/>
      <c r="N151" s="3142"/>
      <c r="O151" s="2982"/>
    </row>
    <row r="152" spans="2:15" ht="20.25" customHeight="1">
      <c r="B152" s="1" t="s">
        <v>220</v>
      </c>
      <c r="C152" s="1">
        <v>4</v>
      </c>
      <c r="D152" s="1575"/>
      <c r="E152" s="958"/>
      <c r="F152" s="984" t="str">
        <f>IF(F148=$S$15,$T$13,IF(ROUNDDOWN(F148,0)=$S$13,$U$13,$T$13))</f>
        <v>　レベル　4</v>
      </c>
      <c r="G152" s="1190" t="s">
        <v>2168</v>
      </c>
      <c r="H152" s="1308"/>
      <c r="I152" s="1308"/>
      <c r="J152" s="1308"/>
      <c r="K152" s="1308"/>
      <c r="L152" s="1419"/>
      <c r="M152" s="1308"/>
      <c r="N152" s="3142"/>
      <c r="O152" s="2982"/>
    </row>
    <row r="153" spans="2:15" ht="20.25" customHeight="1">
      <c r="B153" s="1">
        <v>5</v>
      </c>
      <c r="C153" s="1">
        <v>5</v>
      </c>
      <c r="D153" s="1575"/>
      <c r="E153" s="958"/>
      <c r="F153" s="995" t="str">
        <f>IF(F148=$S$15,$T$14,IF(ROUNDDOWN(F148,0)=$S$14,$U$14,$T$14))</f>
        <v>　レベル　5</v>
      </c>
      <c r="G153" s="1193" t="s">
        <v>90</v>
      </c>
      <c r="H153" s="1318"/>
      <c r="I153" s="1318"/>
      <c r="J153" s="1318"/>
      <c r="K153" s="1318"/>
      <c r="L153" s="1583"/>
      <c r="M153" s="1318"/>
      <c r="N153" s="3143"/>
      <c r="O153" s="3144"/>
    </row>
    <row r="154" spans="2:15" ht="21" customHeight="1">
      <c r="B154" s="1002">
        <v>0</v>
      </c>
      <c r="C154" s="1002">
        <v>0</v>
      </c>
      <c r="D154" s="1575"/>
      <c r="E154" s="958"/>
      <c r="F154" s="3154" t="s">
        <v>1118</v>
      </c>
      <c r="G154" s="3155"/>
      <c r="H154" s="3155"/>
      <c r="I154" s="3155"/>
      <c r="J154" s="3155"/>
      <c r="K154" s="3155"/>
      <c r="L154" s="3155"/>
      <c r="M154" s="3155"/>
      <c r="N154" s="3155"/>
      <c r="O154" s="950"/>
    </row>
    <row r="155" spans="2:15" ht="15.75">
      <c r="D155" s="1575"/>
      <c r="E155" s="958"/>
      <c r="F155" s="1350" t="s">
        <v>1995</v>
      </c>
      <c r="G155" s="1350"/>
      <c r="H155" s="953"/>
      <c r="I155" s="953"/>
      <c r="J155" s="953"/>
      <c r="K155" s="958"/>
      <c r="L155" s="958"/>
    </row>
    <row r="156" spans="2:15" ht="14.25">
      <c r="D156" s="1575"/>
      <c r="E156" s="958"/>
      <c r="F156" s="950" t="s">
        <v>1119</v>
      </c>
    </row>
    <row r="157" spans="2:15" ht="14.25">
      <c r="D157" s="1575"/>
      <c r="E157" s="958"/>
      <c r="F157" s="1597"/>
      <c r="G157" s="3138" t="s">
        <v>868</v>
      </c>
      <c r="H157" s="3139"/>
      <c r="I157" s="3140"/>
      <c r="J157" s="3138" t="s">
        <v>869</v>
      </c>
      <c r="K157" s="3139"/>
      <c r="L157" s="3140"/>
    </row>
    <row r="158" spans="2:15" ht="14.25">
      <c r="D158" s="1575"/>
      <c r="E158" s="958"/>
      <c r="F158" s="1585"/>
      <c r="G158" s="1586" t="s">
        <v>1532</v>
      </c>
      <c r="H158" s="1587" t="s">
        <v>1534</v>
      </c>
      <c r="I158" s="1588"/>
      <c r="J158" s="1586" t="s">
        <v>1532</v>
      </c>
      <c r="K158" s="1587" t="s">
        <v>1534</v>
      </c>
      <c r="L158" s="1588"/>
    </row>
    <row r="159" spans="2:15" ht="29.25" customHeight="1">
      <c r="D159" s="1575"/>
      <c r="E159" s="958"/>
      <c r="F159" s="984" t="s">
        <v>870</v>
      </c>
      <c r="G159" s="1589" t="s">
        <v>871</v>
      </c>
      <c r="H159" s="1590" t="s">
        <v>871</v>
      </c>
      <c r="I159" s="1598"/>
      <c r="J159" s="1589" t="s">
        <v>871</v>
      </c>
      <c r="K159" s="1590" t="s">
        <v>871</v>
      </c>
      <c r="L159" s="1598"/>
    </row>
    <row r="160" spans="2:15" ht="14.25">
      <c r="D160" s="1575"/>
      <c r="E160" s="958"/>
      <c r="F160" s="984" t="s">
        <v>2837</v>
      </c>
      <c r="G160" s="1592"/>
      <c r="H160" s="1587"/>
      <c r="I160" s="1593"/>
      <c r="J160" s="1592"/>
      <c r="K160" s="1587"/>
      <c r="L160" s="1593"/>
    </row>
    <row r="161" spans="2:15" ht="14.25">
      <c r="D161" s="1575"/>
      <c r="E161" s="958"/>
      <c r="F161" s="984" t="s">
        <v>2838</v>
      </c>
      <c r="G161" s="1592" t="s">
        <v>877</v>
      </c>
      <c r="H161" s="1587" t="s">
        <v>878</v>
      </c>
      <c r="I161" s="1593"/>
      <c r="J161" s="1592" t="s">
        <v>1996</v>
      </c>
      <c r="K161" s="1587" t="s">
        <v>877</v>
      </c>
      <c r="L161" s="1593"/>
    </row>
    <row r="162" spans="2:15" ht="14.25">
      <c r="D162" s="1575"/>
      <c r="E162" s="958"/>
      <c r="F162" s="984" t="s">
        <v>2839</v>
      </c>
      <c r="G162" s="1592"/>
      <c r="H162" s="1587"/>
      <c r="I162" s="1593"/>
      <c r="J162" s="1592"/>
      <c r="K162" s="1587"/>
      <c r="L162" s="1593"/>
    </row>
    <row r="163" spans="2:15" ht="14.25">
      <c r="D163" s="1575"/>
      <c r="E163" s="958"/>
      <c r="F163" s="995" t="s">
        <v>2840</v>
      </c>
      <c r="G163" s="1594" t="s">
        <v>878</v>
      </c>
      <c r="H163" s="1595" t="s">
        <v>879</v>
      </c>
      <c r="I163" s="1596"/>
      <c r="J163" s="1594" t="s">
        <v>877</v>
      </c>
      <c r="K163" s="1595" t="s">
        <v>878</v>
      </c>
      <c r="L163" s="1596"/>
    </row>
    <row r="164" spans="2:15" ht="14.25">
      <c r="D164" s="1575"/>
      <c r="E164" s="958"/>
      <c r="F164" s="1991"/>
      <c r="G164" s="1991"/>
      <c r="H164" s="1152"/>
      <c r="I164" s="1152"/>
      <c r="J164" s="1152"/>
      <c r="K164" s="1152"/>
      <c r="L164" s="1152"/>
    </row>
    <row r="165" spans="2:15" ht="14.25">
      <c r="D165" s="1575"/>
      <c r="E165" s="958"/>
      <c r="F165" s="1582" t="s">
        <v>1120</v>
      </c>
      <c r="G165" s="1991"/>
      <c r="H165" s="1152"/>
      <c r="I165" s="1152"/>
      <c r="J165" s="1152"/>
      <c r="K165" s="1152"/>
      <c r="L165" s="1152"/>
      <c r="M165" s="1152"/>
      <c r="N165" s="1152"/>
    </row>
    <row r="166" spans="2:15" ht="15" thickBot="1">
      <c r="D166" s="1575"/>
      <c r="E166" s="950"/>
      <c r="F166" s="1102"/>
      <c r="G166" s="966"/>
      <c r="H166" s="967" t="s">
        <v>1358</v>
      </c>
      <c r="I166" s="968"/>
      <c r="J166" s="969">
        <f>重み!M173</f>
        <v>0.33333333333333337</v>
      </c>
      <c r="K166" s="1103"/>
      <c r="L166" s="1103"/>
      <c r="M166" s="1103"/>
      <c r="N166" s="1103"/>
      <c r="O166" s="978"/>
    </row>
    <row r="167" spans="2:15" ht="16.5" thickBot="1">
      <c r="D167" s="953"/>
      <c r="E167" s="953"/>
      <c r="F167" s="972">
        <v>3</v>
      </c>
      <c r="G167" s="976" t="s">
        <v>2216</v>
      </c>
      <c r="H167" s="977"/>
      <c r="I167" s="977"/>
      <c r="J167" s="977"/>
      <c r="K167" s="977"/>
      <c r="L167" s="1277"/>
      <c r="M167" s="977"/>
      <c r="N167" s="1084" t="s">
        <v>866</v>
      </c>
      <c r="O167" s="978"/>
    </row>
    <row r="168" spans="2:15" ht="15.75">
      <c r="B168" s="1">
        <v>1</v>
      </c>
      <c r="C168" s="1">
        <v>1</v>
      </c>
      <c r="D168" s="953"/>
      <c r="E168" s="953"/>
      <c r="F168" s="984" t="str">
        <f>IF(F167=$S$15,$T$10,IF(ROUNDDOWN(F167,0)=$S$10,$U$10,$T$10))</f>
        <v>　レベル　1</v>
      </c>
      <c r="G168" s="1187" t="s">
        <v>1121</v>
      </c>
      <c r="H168" s="1261"/>
      <c r="I168" s="1261"/>
      <c r="J168" s="1261"/>
      <c r="K168" s="1261"/>
      <c r="L168" s="1418"/>
      <c r="M168" s="1261"/>
      <c r="N168" s="3156" t="s">
        <v>1670</v>
      </c>
      <c r="O168" s="3157"/>
    </row>
    <row r="169" spans="2:15" ht="15.75">
      <c r="B169" s="1" t="s">
        <v>516</v>
      </c>
      <c r="C169" s="1">
        <v>2</v>
      </c>
      <c r="D169" s="953"/>
      <c r="E169" s="953"/>
      <c r="F169" s="984" t="str">
        <f>IF(F167=$S$15,$T$11,IF(ROUNDDOWN(F167,0)=$S$11,$U$11,$T$11))</f>
        <v>　レベル　2</v>
      </c>
      <c r="G169" s="1190" t="s">
        <v>2168</v>
      </c>
      <c r="H169" s="1308"/>
      <c r="I169" s="1308"/>
      <c r="J169" s="1308"/>
      <c r="K169" s="1308"/>
      <c r="L169" s="1419"/>
      <c r="M169" s="1308"/>
      <c r="N169" s="3158"/>
      <c r="O169" s="3159"/>
    </row>
    <row r="170" spans="2:15" ht="15.75">
      <c r="B170" s="1">
        <v>3</v>
      </c>
      <c r="C170" s="1">
        <v>3</v>
      </c>
      <c r="D170" s="953"/>
      <c r="E170" s="953"/>
      <c r="F170" s="984" t="str">
        <f>IF(F167=$S$15,$T$12,IF(ROUNDDOWN(F167,0)=$S$12,$U$12,$T$12))</f>
        <v>■レベル　3</v>
      </c>
      <c r="G170" s="1190" t="s">
        <v>1122</v>
      </c>
      <c r="H170" s="1308"/>
      <c r="I170" s="1308"/>
      <c r="J170" s="1308"/>
      <c r="K170" s="1308"/>
      <c r="L170" s="1419"/>
      <c r="M170" s="1308"/>
      <c r="N170" s="3158"/>
      <c r="O170" s="3159"/>
    </row>
    <row r="171" spans="2:15" ht="15.75">
      <c r="B171" s="1" t="s">
        <v>516</v>
      </c>
      <c r="C171" s="1">
        <v>4</v>
      </c>
      <c r="D171" s="953"/>
      <c r="E171" s="953"/>
      <c r="F171" s="984" t="str">
        <f>IF(F167=$S$15,$T$13,IF(ROUNDDOWN(F167,0)=$S$13,$U$13,$T$13))</f>
        <v>　レベル　4</v>
      </c>
      <c r="G171" s="1190" t="s">
        <v>2168</v>
      </c>
      <c r="H171" s="1308"/>
      <c r="I171" s="1308"/>
      <c r="J171" s="1308"/>
      <c r="K171" s="1308"/>
      <c r="L171" s="1419"/>
      <c r="M171" s="1308"/>
      <c r="N171" s="3158"/>
      <c r="O171" s="3159"/>
    </row>
    <row r="172" spans="2:15" ht="15.75">
      <c r="B172" s="1" t="s">
        <v>516</v>
      </c>
      <c r="C172" s="1">
        <v>5</v>
      </c>
      <c r="D172" s="953"/>
      <c r="F172" s="995" t="str">
        <f>IF(F167=$S$15,$T$14,IF(ROUNDDOWN(F167,0)=$S$14,$U$14,$T$14))</f>
        <v>　レベル　5</v>
      </c>
      <c r="G172" s="1193" t="s">
        <v>2168</v>
      </c>
      <c r="H172" s="1318"/>
      <c r="I172" s="1318"/>
      <c r="J172" s="1318"/>
      <c r="K172" s="1318"/>
      <c r="L172" s="1583"/>
      <c r="M172" s="1318"/>
      <c r="N172" s="3160"/>
      <c r="O172" s="3161"/>
    </row>
    <row r="173" spans="2:15" ht="15.75">
      <c r="B173" s="1002">
        <v>0</v>
      </c>
      <c r="C173" s="1002">
        <v>0</v>
      </c>
      <c r="D173" s="953"/>
      <c r="E173" s="953"/>
      <c r="F173" s="1599"/>
      <c r="G173" s="1599"/>
      <c r="H173" s="1599"/>
      <c r="I173" s="1599"/>
      <c r="J173" s="1599"/>
      <c r="K173" s="1599"/>
      <c r="L173" s="1599"/>
      <c r="M173" s="1599"/>
      <c r="N173" s="1599"/>
    </row>
    <row r="174" spans="2:15" ht="13.5" customHeight="1">
      <c r="D174" s="1575">
        <v>3.2</v>
      </c>
      <c r="E174" s="960" t="s">
        <v>1123</v>
      </c>
      <c r="F174" s="1600"/>
      <c r="G174" s="1600"/>
      <c r="H174" s="1600"/>
      <c r="I174" s="1600"/>
      <c r="J174" s="1600"/>
      <c r="K174" s="1600"/>
      <c r="L174" s="1600"/>
      <c r="M174" s="1600"/>
      <c r="N174" s="1600"/>
    </row>
    <row r="175" spans="2:15" ht="13.5" customHeight="1">
      <c r="D175" s="1575"/>
      <c r="E175" s="960"/>
      <c r="F175" s="372" t="s">
        <v>1124</v>
      </c>
      <c r="G175" s="1600"/>
      <c r="H175" s="1600"/>
      <c r="I175" s="1600"/>
      <c r="J175" s="1600"/>
      <c r="K175" s="1600"/>
      <c r="L175" s="1600"/>
      <c r="M175" s="1600"/>
      <c r="N175" s="1600"/>
    </row>
    <row r="176" spans="2:15" ht="15" thickBot="1">
      <c r="D176" s="1575"/>
      <c r="E176" s="950"/>
      <c r="F176" s="1102"/>
      <c r="G176" s="966"/>
      <c r="H176" s="967" t="s">
        <v>1358</v>
      </c>
      <c r="I176" s="968"/>
      <c r="J176" s="969">
        <f>重み!M175</f>
        <v>0.67241379310344829</v>
      </c>
      <c r="K176" s="1103"/>
      <c r="L176" s="1103"/>
      <c r="M176" s="1103"/>
      <c r="N176" s="1103"/>
      <c r="O176" s="978"/>
    </row>
    <row r="177" spans="2:15" ht="24" customHeight="1" thickBot="1">
      <c r="D177" s="1575"/>
      <c r="E177" s="953"/>
      <c r="F177" s="972">
        <v>3</v>
      </c>
      <c r="G177" s="976" t="s">
        <v>2216</v>
      </c>
      <c r="H177" s="977"/>
      <c r="I177" s="977"/>
      <c r="J177" s="977"/>
      <c r="K177" s="977"/>
      <c r="L177" s="1277"/>
      <c r="M177" s="977"/>
      <c r="N177" s="1084" t="s">
        <v>1316</v>
      </c>
      <c r="O177" s="978"/>
    </row>
    <row r="178" spans="2:15" ht="28.5" customHeight="1">
      <c r="B178" s="1498">
        <v>1</v>
      </c>
      <c r="C178" s="1">
        <v>1</v>
      </c>
      <c r="D178" s="953"/>
      <c r="E178" s="953"/>
      <c r="F178" s="984" t="str">
        <f>IF(F177=$S$15,$T$10,IF(ROUNDDOWN(F177,0)=$S$10,$U$10,$T$10))</f>
        <v>　レベル　1</v>
      </c>
      <c r="G178" s="981" t="s">
        <v>881</v>
      </c>
      <c r="H178" s="1261"/>
      <c r="I178" s="1261"/>
      <c r="J178" s="1261"/>
      <c r="K178" s="1261"/>
      <c r="L178" s="1418"/>
      <c r="M178" s="1261"/>
      <c r="N178" s="3169" t="s">
        <v>336</v>
      </c>
      <c r="O178" s="3058"/>
    </row>
    <row r="179" spans="2:15" ht="28.5" customHeight="1">
      <c r="B179" s="1">
        <v>2</v>
      </c>
      <c r="C179" s="1">
        <v>2</v>
      </c>
      <c r="D179" s="953"/>
      <c r="E179" s="953"/>
      <c r="F179" s="984" t="str">
        <f>IF(F177=$S$15,$T$11,IF(ROUNDDOWN(F177,0)=$S$11,$U$11,$T$11))</f>
        <v>　レベル　2</v>
      </c>
      <c r="G179" s="2727" t="s">
        <v>882</v>
      </c>
      <c r="H179" s="3007"/>
      <c r="I179" s="3007"/>
      <c r="J179" s="3007"/>
      <c r="K179" s="3007"/>
      <c r="L179" s="3007"/>
      <c r="M179" s="3008"/>
      <c r="N179" s="2918"/>
      <c r="O179" s="2920"/>
    </row>
    <row r="180" spans="2:15" ht="28.5" customHeight="1">
      <c r="B180" s="1">
        <v>3</v>
      </c>
      <c r="C180" s="1">
        <v>3</v>
      </c>
      <c r="D180" s="953"/>
      <c r="E180" s="953"/>
      <c r="F180" s="984" t="str">
        <f>IF(F177=$S$15,$T$12,IF(ROUNDDOWN(F177,0)=$S$12,$U$12,$T$12))</f>
        <v>■レベル　3</v>
      </c>
      <c r="G180" s="2727" t="s">
        <v>2460</v>
      </c>
      <c r="H180" s="3007"/>
      <c r="I180" s="3007"/>
      <c r="J180" s="3007"/>
      <c r="K180" s="3007"/>
      <c r="L180" s="3007"/>
      <c r="M180" s="3008"/>
      <c r="N180" s="2918"/>
      <c r="O180" s="2920"/>
    </row>
    <row r="181" spans="2:15" ht="28.5" customHeight="1">
      <c r="B181" s="1">
        <v>4</v>
      </c>
      <c r="C181" s="1">
        <v>4</v>
      </c>
      <c r="D181" s="953"/>
      <c r="E181" s="953"/>
      <c r="F181" s="984" t="str">
        <f>IF(F177=$S$15,$T$13,IF(ROUNDDOWN(F177,0)=$S$13,$U$13,$T$13))</f>
        <v>　レベル　4</v>
      </c>
      <c r="G181" s="2727" t="s">
        <v>2461</v>
      </c>
      <c r="H181" s="3007"/>
      <c r="I181" s="3007"/>
      <c r="J181" s="3007"/>
      <c r="K181" s="3007"/>
      <c r="L181" s="3007"/>
      <c r="M181" s="3008"/>
      <c r="N181" s="2918"/>
      <c r="O181" s="2920"/>
    </row>
    <row r="182" spans="2:15" ht="28.5" customHeight="1">
      <c r="B182" s="1">
        <v>5</v>
      </c>
      <c r="C182" s="1">
        <v>5</v>
      </c>
      <c r="D182" s="953"/>
      <c r="E182" s="953"/>
      <c r="F182" s="995" t="str">
        <f>IF(F177=$S$15,$T$14,IF(ROUNDDOWN(F177,0)=$S$14,$U$14,$T$14))</f>
        <v>　レベル　5</v>
      </c>
      <c r="G182" s="2724" t="s">
        <v>2462</v>
      </c>
      <c r="H182" s="2989"/>
      <c r="I182" s="2989"/>
      <c r="J182" s="2989"/>
      <c r="K182" s="2989"/>
      <c r="L182" s="2989"/>
      <c r="M182" s="2990"/>
      <c r="N182" s="3170"/>
      <c r="O182" s="3063"/>
    </row>
    <row r="183" spans="2:15" ht="15.75">
      <c r="B183" s="1002">
        <v>0</v>
      </c>
      <c r="C183" s="1002">
        <v>0</v>
      </c>
      <c r="D183" s="953"/>
      <c r="E183" s="953"/>
      <c r="F183" s="953"/>
      <c r="G183" s="953"/>
      <c r="H183" s="953"/>
      <c r="I183" s="953"/>
      <c r="J183" s="953"/>
      <c r="K183" s="2020"/>
      <c r="L183" s="2020"/>
      <c r="M183" s="2020"/>
      <c r="N183" s="2020"/>
    </row>
    <row r="184" spans="2:15" ht="15.75">
      <c r="D184" s="953"/>
      <c r="E184" s="953"/>
      <c r="F184" s="372" t="s">
        <v>2463</v>
      </c>
      <c r="G184" s="953"/>
      <c r="H184" s="953"/>
      <c r="I184" s="953"/>
      <c r="J184" s="953"/>
      <c r="K184" s="2020"/>
      <c r="L184" s="2020"/>
      <c r="M184" s="2020"/>
      <c r="N184" s="2020"/>
    </row>
    <row r="185" spans="2:15" ht="15" thickBot="1">
      <c r="D185" s="1575"/>
      <c r="E185" s="950"/>
      <c r="F185" s="1102"/>
      <c r="G185" s="966"/>
      <c r="H185" s="967" t="s">
        <v>1358</v>
      </c>
      <c r="I185" s="968"/>
      <c r="J185" s="969">
        <f>重み!M176</f>
        <v>5.5172413793103448E-2</v>
      </c>
      <c r="K185" s="1103"/>
      <c r="L185" s="1103"/>
      <c r="M185" s="1103"/>
      <c r="N185" s="1103"/>
      <c r="O185" s="978"/>
    </row>
    <row r="186" spans="2:15" ht="16.5" thickBot="1">
      <c r="D186" s="953"/>
      <c r="E186" s="953"/>
      <c r="F186" s="972">
        <f>IF(H199&gt;=4,5,IF(H199=3,4,IF(H199=2,3,IF(H199=1,2,1))))</f>
        <v>3</v>
      </c>
      <c r="G186" s="976" t="s">
        <v>2464</v>
      </c>
      <c r="H186" s="977"/>
      <c r="I186" s="977"/>
      <c r="J186" s="977"/>
      <c r="K186" s="977"/>
      <c r="L186" s="1277"/>
      <c r="M186" s="977"/>
      <c r="N186" s="977"/>
      <c r="O186" s="978"/>
    </row>
    <row r="187" spans="2:15" ht="15.75">
      <c r="B187" s="1" t="s">
        <v>517</v>
      </c>
      <c r="C187" s="1">
        <v>1</v>
      </c>
      <c r="D187" s="953"/>
      <c r="E187" s="953"/>
      <c r="F187" s="984" t="str">
        <f>IF(F186=$S$15,$T$10,IF(ROUNDDOWN(F186,0)=$S$10,$U$10,$T$10))</f>
        <v>　レベル　1</v>
      </c>
      <c r="G187" s="1187" t="s">
        <v>2465</v>
      </c>
      <c r="H187" s="1261"/>
      <c r="I187" s="1261"/>
      <c r="J187" s="1261"/>
      <c r="K187" s="1261"/>
      <c r="L187" s="1418"/>
      <c r="M187" s="1261"/>
      <c r="N187" s="1261"/>
      <c r="O187" s="1262"/>
    </row>
    <row r="188" spans="2:15" ht="15.75">
      <c r="B188" s="1">
        <v>2</v>
      </c>
      <c r="C188" s="1">
        <v>2</v>
      </c>
      <c r="D188" s="953"/>
      <c r="E188" s="953"/>
      <c r="F188" s="984" t="str">
        <f>IF(F186=$S$15,$T$11,IF(ROUNDDOWN(F186,0)=$S$11,$U$11,$T$11))</f>
        <v>　レベル　2</v>
      </c>
      <c r="G188" s="1190" t="s">
        <v>1125</v>
      </c>
      <c r="H188" s="1308"/>
      <c r="I188" s="1308"/>
      <c r="J188" s="1308"/>
      <c r="K188" s="1308"/>
      <c r="L188" s="1419"/>
      <c r="M188" s="1308"/>
      <c r="N188" s="1308"/>
      <c r="O188" s="1309"/>
    </row>
    <row r="189" spans="2:15" ht="15.75">
      <c r="B189" s="1">
        <v>3</v>
      </c>
      <c r="C189" s="1">
        <v>3</v>
      </c>
      <c r="D189" s="953"/>
      <c r="E189" s="953"/>
      <c r="F189" s="984" t="str">
        <f>IF(F186=$S$15,$T$12,IF(ROUNDDOWN(F186,0)=$S$12,$U$12,$T$12))</f>
        <v>■レベル　3</v>
      </c>
      <c r="G189" s="1190" t="s">
        <v>1126</v>
      </c>
      <c r="H189" s="1308"/>
      <c r="I189" s="1308"/>
      <c r="J189" s="1308"/>
      <c r="K189" s="1308"/>
      <c r="L189" s="1419"/>
      <c r="M189" s="1308"/>
      <c r="N189" s="1308"/>
      <c r="O189" s="1309"/>
    </row>
    <row r="190" spans="2:15" ht="15.75">
      <c r="B190" s="1">
        <v>4</v>
      </c>
      <c r="C190" s="1">
        <v>4</v>
      </c>
      <c r="D190" s="953"/>
      <c r="E190" s="953"/>
      <c r="F190" s="984" t="str">
        <f>IF(F186=$S$15,$T$13,IF(ROUNDDOWN(F186,0)=$S$13,$U$13,$T$13))</f>
        <v>　レベル　4</v>
      </c>
      <c r="G190" s="1190" t="s">
        <v>2466</v>
      </c>
      <c r="H190" s="1308"/>
      <c r="I190" s="1308"/>
      <c r="J190" s="1308"/>
      <c r="K190" s="1308"/>
      <c r="L190" s="1419"/>
      <c r="M190" s="1308"/>
      <c r="N190" s="1308"/>
      <c r="O190" s="1309"/>
    </row>
    <row r="191" spans="2:15" ht="15.75">
      <c r="B191" s="1">
        <v>5</v>
      </c>
      <c r="C191" s="1">
        <v>5</v>
      </c>
      <c r="D191" s="953"/>
      <c r="E191" s="953"/>
      <c r="F191" s="995" t="str">
        <f>IF(F186=$S$15,$T$14,IF(ROUNDDOWN(F186,0)=$S$14,$U$14,$T$14))</f>
        <v>　レベル　5</v>
      </c>
      <c r="G191" s="1193" t="s">
        <v>2467</v>
      </c>
      <c r="H191" s="1318"/>
      <c r="I191" s="1318"/>
      <c r="J191" s="1318"/>
      <c r="K191" s="1318"/>
      <c r="L191" s="1583"/>
      <c r="M191" s="1318"/>
      <c r="N191" s="1318"/>
      <c r="O191" s="1319"/>
    </row>
    <row r="192" spans="2:15" ht="15.75">
      <c r="B192" s="1002">
        <v>0</v>
      </c>
      <c r="C192" s="1002">
        <v>0</v>
      </c>
      <c r="D192" s="953"/>
      <c r="E192" s="953"/>
      <c r="F192" s="953"/>
      <c r="G192" s="1303" t="s">
        <v>2682</v>
      </c>
      <c r="H192" s="953"/>
      <c r="I192" s="953"/>
      <c r="J192" s="953"/>
      <c r="K192" s="2020"/>
      <c r="L192" s="2020"/>
      <c r="M192" s="2020"/>
      <c r="N192" s="2020"/>
    </row>
    <row r="193" spans="2:15" ht="16.5" thickBot="1">
      <c r="B193" s="1601"/>
      <c r="C193" s="1601"/>
      <c r="D193" s="953"/>
      <c r="E193" s="953"/>
      <c r="F193" s="1602"/>
      <c r="G193" s="1304" t="s">
        <v>225</v>
      </c>
      <c r="H193" s="2953" t="s">
        <v>2516</v>
      </c>
      <c r="I193" s="2954"/>
      <c r="J193" s="2955"/>
      <c r="K193" s="2953" t="s">
        <v>1127</v>
      </c>
      <c r="L193" s="2954"/>
      <c r="M193" s="2954"/>
      <c r="N193" s="2954"/>
      <c r="O193" s="1125" t="s">
        <v>2517</v>
      </c>
    </row>
    <row r="194" spans="2:15" ht="24.75" customHeight="1">
      <c r="B194" s="1601"/>
      <c r="C194" s="1601"/>
      <c r="D194" s="953"/>
      <c r="E194" s="953"/>
      <c r="F194" s="1602"/>
      <c r="G194" s="3105">
        <v>2</v>
      </c>
      <c r="H194" s="3145" t="s">
        <v>1128</v>
      </c>
      <c r="I194" s="3146"/>
      <c r="J194" s="3147"/>
      <c r="K194" s="2748" t="s">
        <v>1129</v>
      </c>
      <c r="L194" s="3126"/>
      <c r="M194" s="3126"/>
      <c r="N194" s="3126"/>
      <c r="O194" s="2017">
        <v>1</v>
      </c>
    </row>
    <row r="195" spans="2:15" ht="15.75" customHeight="1">
      <c r="B195" s="1601"/>
      <c r="C195" s="1601"/>
      <c r="D195" s="953"/>
      <c r="E195" s="953"/>
      <c r="F195" s="1602"/>
      <c r="G195" s="3171"/>
      <c r="H195" s="3148"/>
      <c r="I195" s="3148"/>
      <c r="J195" s="3149"/>
      <c r="K195" s="2750" t="s">
        <v>1130</v>
      </c>
      <c r="L195" s="3116"/>
      <c r="M195" s="3116"/>
      <c r="N195" s="3116"/>
      <c r="O195" s="2018">
        <v>2</v>
      </c>
    </row>
    <row r="196" spans="2:15" ht="15.75" customHeight="1">
      <c r="B196" s="1601"/>
      <c r="C196" s="1601"/>
      <c r="D196" s="953"/>
      <c r="E196" s="953"/>
      <c r="F196" s="1602"/>
      <c r="G196" s="2901">
        <v>0</v>
      </c>
      <c r="H196" s="3132" t="s">
        <v>1131</v>
      </c>
      <c r="I196" s="3174"/>
      <c r="J196" s="3175"/>
      <c r="K196" s="2750" t="s">
        <v>1132</v>
      </c>
      <c r="L196" s="3116"/>
      <c r="M196" s="3116"/>
      <c r="N196" s="3116"/>
      <c r="O196" s="2018">
        <v>1</v>
      </c>
    </row>
    <row r="197" spans="2:15" ht="15.75">
      <c r="B197" s="1601"/>
      <c r="C197" s="1601"/>
      <c r="D197" s="953"/>
      <c r="E197" s="953"/>
      <c r="F197" s="1602"/>
      <c r="G197" s="3172"/>
      <c r="H197" s="3176"/>
      <c r="I197" s="3177"/>
      <c r="J197" s="3178"/>
      <c r="K197" s="2750" t="s">
        <v>1133</v>
      </c>
      <c r="L197" s="3116"/>
      <c r="M197" s="3116"/>
      <c r="N197" s="3116"/>
      <c r="O197" s="2018">
        <v>2</v>
      </c>
    </row>
    <row r="198" spans="2:15" ht="16.5" thickBot="1">
      <c r="B198" s="1601"/>
      <c r="C198" s="1601"/>
      <c r="D198" s="953"/>
      <c r="E198" s="953"/>
      <c r="F198" s="1602"/>
      <c r="G198" s="3173"/>
      <c r="H198" s="3179"/>
      <c r="I198" s="3180"/>
      <c r="J198" s="3181"/>
      <c r="K198" s="3115" t="s">
        <v>2468</v>
      </c>
      <c r="L198" s="3111"/>
      <c r="M198" s="3111"/>
      <c r="N198" s="3111"/>
      <c r="O198" s="2019">
        <v>4</v>
      </c>
    </row>
    <row r="199" spans="2:15" ht="15.75">
      <c r="B199" s="1601"/>
      <c r="C199" s="1601"/>
      <c r="D199" s="953"/>
      <c r="E199" s="953"/>
      <c r="F199" s="1602"/>
      <c r="G199" s="1208" t="s">
        <v>1755</v>
      </c>
      <c r="H199" s="3107">
        <f>SUM(G194:G198)</f>
        <v>2</v>
      </c>
      <c r="I199" s="3107"/>
      <c r="J199" s="3107"/>
      <c r="K199" s="1210"/>
      <c r="L199" s="1211"/>
      <c r="M199" s="1210"/>
      <c r="N199" s="1211"/>
      <c r="O199" s="1305"/>
    </row>
    <row r="200" spans="2:15" ht="15.75">
      <c r="B200" s="1601"/>
      <c r="C200" s="1601"/>
      <c r="D200" s="953"/>
      <c r="E200" s="953"/>
      <c r="F200" s="1602"/>
      <c r="G200" s="1602"/>
      <c r="H200" s="1602"/>
      <c r="I200" s="1602"/>
      <c r="J200" s="1602"/>
      <c r="K200" s="1602"/>
      <c r="L200" s="1602"/>
      <c r="M200" s="1602"/>
      <c r="N200" s="1602"/>
      <c r="O200" s="1602"/>
    </row>
    <row r="201" spans="2:15" ht="15.75">
      <c r="B201" s="1601"/>
      <c r="C201" s="1601"/>
      <c r="D201" s="953"/>
      <c r="E201" s="953"/>
      <c r="F201" s="1602"/>
      <c r="G201" s="1602"/>
      <c r="H201" s="1602"/>
      <c r="I201" s="1602"/>
      <c r="J201" s="1602"/>
      <c r="K201" s="1602"/>
      <c r="L201" s="1602"/>
      <c r="M201" s="1602"/>
      <c r="N201" s="1602"/>
      <c r="O201" s="1602"/>
    </row>
    <row r="202" spans="2:15" ht="15.75">
      <c r="D202" s="953"/>
      <c r="E202" s="953"/>
      <c r="F202" s="372" t="s">
        <v>2469</v>
      </c>
      <c r="G202" s="953"/>
      <c r="H202" s="953"/>
      <c r="I202" s="953"/>
      <c r="J202" s="953"/>
      <c r="K202" s="2020"/>
      <c r="L202" s="2020"/>
      <c r="M202" s="2020"/>
      <c r="N202" s="2020"/>
    </row>
    <row r="203" spans="2:15" ht="15" thickBot="1">
      <c r="D203" s="1575"/>
      <c r="E203" s="950"/>
      <c r="F203" s="1102"/>
      <c r="G203" s="966"/>
      <c r="H203" s="967" t="s">
        <v>1358</v>
      </c>
      <c r="I203" s="968"/>
      <c r="J203" s="969">
        <f>重み!M177</f>
        <v>0.27241379310344827</v>
      </c>
      <c r="K203" s="1103"/>
      <c r="L203" s="1103"/>
      <c r="M203" s="1103"/>
      <c r="N203" s="1103"/>
      <c r="O203" s="978"/>
    </row>
    <row r="204" spans="2:15" ht="24" customHeight="1" thickBot="1">
      <c r="D204" s="953"/>
      <c r="E204" s="953"/>
      <c r="F204" s="972">
        <v>3</v>
      </c>
      <c r="G204" s="976" t="s">
        <v>2216</v>
      </c>
      <c r="H204" s="977"/>
      <c r="I204" s="977"/>
      <c r="J204" s="977"/>
      <c r="K204" s="977"/>
      <c r="L204" s="1277"/>
      <c r="M204" s="977"/>
      <c r="N204" s="977"/>
      <c r="O204" s="978"/>
    </row>
    <row r="205" spans="2:15" ht="20.25" customHeight="1">
      <c r="B205" s="2642">
        <v>1</v>
      </c>
      <c r="C205" s="1">
        <v>1</v>
      </c>
      <c r="D205" s="953"/>
      <c r="E205" s="953"/>
      <c r="F205" s="984" t="str">
        <f>IF(F204=$S$15,$T$10,IF(ROUNDDOWN(F204,0)=$S$10,$U$10,$T$10))</f>
        <v>　レベル　1</v>
      </c>
      <c r="G205" s="2641" t="s">
        <v>3485</v>
      </c>
      <c r="H205" s="1261"/>
      <c r="I205" s="1261"/>
      <c r="J205" s="1261"/>
      <c r="K205" s="1261"/>
      <c r="L205" s="1418"/>
      <c r="M205" s="1261"/>
      <c r="N205" s="1261"/>
      <c r="O205" s="1262"/>
    </row>
    <row r="206" spans="2:15" ht="20.25" customHeight="1">
      <c r="B206" s="1" t="s">
        <v>1494</v>
      </c>
      <c r="C206" s="1">
        <v>2</v>
      </c>
      <c r="D206" s="953"/>
      <c r="E206" s="953"/>
      <c r="F206" s="984" t="str">
        <f>IF(F204=$S$15,$T$11,IF(ROUNDDOWN(F204,0)=$S$11,$U$11,$T$11))</f>
        <v>　レベル　2</v>
      </c>
      <c r="G206" s="1190" t="s">
        <v>347</v>
      </c>
      <c r="H206" s="1308"/>
      <c r="I206" s="1308"/>
      <c r="J206" s="1308"/>
      <c r="K206" s="1308"/>
      <c r="L206" s="1419"/>
      <c r="M206" s="1308"/>
      <c r="N206" s="1308"/>
      <c r="O206" s="1309"/>
    </row>
    <row r="207" spans="2:15" ht="20.25" customHeight="1">
      <c r="B207" s="1">
        <v>3</v>
      </c>
      <c r="C207" s="1">
        <v>3</v>
      </c>
      <c r="D207" s="953"/>
      <c r="E207" s="953"/>
      <c r="F207" s="984" t="str">
        <f>IF(F204=$S$15,$T$12,IF(ROUNDDOWN(F204,0)=$S$12,$U$12,$T$12))</f>
        <v>■レベル　3</v>
      </c>
      <c r="G207" s="1190" t="s">
        <v>2886</v>
      </c>
      <c r="H207" s="1308"/>
      <c r="I207" s="1308"/>
      <c r="J207" s="1308"/>
      <c r="K207" s="1308"/>
      <c r="L207" s="1419"/>
      <c r="M207" s="1308"/>
      <c r="N207" s="1308"/>
      <c r="O207" s="1309"/>
    </row>
    <row r="208" spans="2:15" ht="20.25" customHeight="1">
      <c r="B208" s="1">
        <v>4</v>
      </c>
      <c r="C208" s="1">
        <v>4</v>
      </c>
      <c r="D208" s="953"/>
      <c r="E208" s="953"/>
      <c r="F208" s="984" t="str">
        <f>IF(F204=$S$15,$T$13,IF(ROUNDDOWN(F204,0)=$S$13,$U$13,$T$13))</f>
        <v>　レベル　4</v>
      </c>
      <c r="G208" s="1190" t="s">
        <v>2887</v>
      </c>
      <c r="H208" s="1308"/>
      <c r="I208" s="1308"/>
      <c r="J208" s="1308"/>
      <c r="K208" s="1308"/>
      <c r="L208" s="1419"/>
      <c r="M208" s="1308"/>
      <c r="N208" s="1308"/>
      <c r="O208" s="1309"/>
    </row>
    <row r="209" spans="2:15" ht="20.25" customHeight="1">
      <c r="B209" s="1" t="s">
        <v>1494</v>
      </c>
      <c r="C209" s="1">
        <v>5</v>
      </c>
      <c r="D209" s="953"/>
      <c r="E209" s="953"/>
      <c r="F209" s="995" t="str">
        <f>IF(F204=$S$15,$T$14,IF(ROUNDDOWN(F204,0)=$S$14,$U$14,$T$14))</f>
        <v>　レベル　5</v>
      </c>
      <c r="G209" s="1193" t="s">
        <v>2168</v>
      </c>
      <c r="H209" s="1318"/>
      <c r="I209" s="1318"/>
      <c r="J209" s="1318"/>
      <c r="K209" s="1318"/>
      <c r="L209" s="1583"/>
      <c r="M209" s="1318"/>
      <c r="N209" s="1318"/>
      <c r="O209" s="1319"/>
    </row>
    <row r="210" spans="2:15" ht="24" customHeight="1">
      <c r="B210" s="1002">
        <v>0</v>
      </c>
      <c r="C210" s="1002">
        <v>0</v>
      </c>
      <c r="D210" s="953"/>
      <c r="E210" s="953"/>
      <c r="F210" s="3150" t="s">
        <v>2888</v>
      </c>
      <c r="G210" s="3150"/>
      <c r="H210" s="3150"/>
      <c r="I210" s="3150"/>
      <c r="J210" s="3150"/>
      <c r="K210" s="3150"/>
      <c r="L210" s="3150"/>
      <c r="M210" s="3150"/>
      <c r="N210" s="3150"/>
      <c r="O210" s="3150"/>
    </row>
    <row r="211" spans="2:15" ht="15.75">
      <c r="D211" s="953"/>
      <c r="E211" s="953"/>
      <c r="F211" s="1602"/>
      <c r="G211" s="1602"/>
      <c r="H211" s="1602"/>
      <c r="I211" s="1602"/>
      <c r="J211" s="1602"/>
      <c r="K211" s="1602"/>
      <c r="L211" s="1602"/>
      <c r="M211" s="1602"/>
      <c r="N211" s="1602"/>
      <c r="O211" s="1602"/>
    </row>
    <row r="212" spans="2:15" ht="14.25">
      <c r="D212" s="1575">
        <v>3.3</v>
      </c>
      <c r="E212" s="960" t="s">
        <v>2470</v>
      </c>
      <c r="F212" s="960"/>
      <c r="G212" s="1602"/>
      <c r="H212" s="1602"/>
      <c r="I212" s="1602"/>
      <c r="J212" s="1602"/>
      <c r="K212" s="1602"/>
      <c r="L212" s="1602"/>
      <c r="M212" s="1602"/>
      <c r="N212" s="1602"/>
      <c r="O212" s="1602"/>
    </row>
    <row r="213" spans="2:15" ht="14.25">
      <c r="D213" s="1575"/>
      <c r="E213" s="960"/>
      <c r="F213" s="372" t="s">
        <v>2889</v>
      </c>
      <c r="G213" s="1602"/>
      <c r="H213" s="1602"/>
      <c r="I213" s="1602"/>
      <c r="J213" s="1602"/>
      <c r="K213" s="1602"/>
      <c r="L213" s="1602"/>
      <c r="M213" s="1602"/>
      <c r="N213" s="1602"/>
      <c r="O213" s="1602"/>
    </row>
    <row r="214" spans="2:15" ht="14.25" thickBot="1">
      <c r="D214" s="950"/>
      <c r="E214" s="950"/>
      <c r="F214" s="1102"/>
      <c r="G214" s="966"/>
      <c r="H214" s="967" t="s">
        <v>1358</v>
      </c>
      <c r="I214" s="968"/>
      <c r="J214" s="969">
        <f>重み!M179</f>
        <v>0.7</v>
      </c>
      <c r="K214" s="1103"/>
      <c r="L214" s="1103"/>
      <c r="M214" s="1103"/>
      <c r="N214" s="1103"/>
      <c r="O214" s="978"/>
    </row>
    <row r="215" spans="2:15" ht="29.25" customHeight="1" thickBot="1">
      <c r="D215" s="953"/>
      <c r="E215" s="950"/>
      <c r="F215" s="1301">
        <f>IF(H229&lt;=0,1,IF(H229&lt;=1,2,IF(H229&lt;=2,3,IF(H229&lt;=3,4,IF(H229&gt;=4,5)))))</f>
        <v>3</v>
      </c>
      <c r="G215" s="976" t="s">
        <v>501</v>
      </c>
      <c r="H215" s="977"/>
      <c r="I215" s="977"/>
      <c r="J215" s="977"/>
      <c r="K215" s="977"/>
      <c r="L215" s="1277"/>
      <c r="M215" s="977"/>
      <c r="N215" s="977"/>
      <c r="O215" s="978"/>
    </row>
    <row r="216" spans="2:15" ht="19.5" customHeight="1">
      <c r="D216" s="953"/>
      <c r="E216" s="950"/>
      <c r="F216" s="984" t="str">
        <f>IF(F215=$S$15,$T$10,IF(ROUNDDOWN(F215,0)=$S$10,$U$10,$T$10))</f>
        <v>　レベル　1</v>
      </c>
      <c r="G216" s="1187" t="s">
        <v>1210</v>
      </c>
      <c r="H216" s="1261"/>
      <c r="I216" s="1261"/>
      <c r="J216" s="1261"/>
      <c r="K216" s="1261"/>
      <c r="L216" s="1418"/>
      <c r="M216" s="1261"/>
      <c r="N216" s="1261"/>
      <c r="O216" s="1262"/>
    </row>
    <row r="217" spans="2:15" ht="19.5" customHeight="1">
      <c r="D217" s="953"/>
      <c r="E217" s="950"/>
      <c r="F217" s="984" t="str">
        <f>IF(F215=$S$15,$T$11,IF(ROUNDDOWN(F215,0)=$S$11,$U$11,$T$11))</f>
        <v>　レベル　2</v>
      </c>
      <c r="G217" s="1190" t="s">
        <v>1634</v>
      </c>
      <c r="H217" s="1308"/>
      <c r="I217" s="1308"/>
      <c r="J217" s="1308"/>
      <c r="K217" s="1308"/>
      <c r="L217" s="1419"/>
      <c r="M217" s="1308"/>
      <c r="N217" s="1308"/>
      <c r="O217" s="1309"/>
    </row>
    <row r="218" spans="2:15" ht="19.5" customHeight="1">
      <c r="D218" s="953"/>
      <c r="E218" s="950"/>
      <c r="F218" s="984" t="str">
        <f>IF(F215=$S$15,$T$12,IF(ROUNDDOWN(F215,0)=$S$12,$U$12,$T$12))</f>
        <v>■レベル　3</v>
      </c>
      <c r="G218" s="1190" t="s">
        <v>1635</v>
      </c>
      <c r="H218" s="1308"/>
      <c r="I218" s="1308"/>
      <c r="J218" s="1308"/>
      <c r="K218" s="1308"/>
      <c r="L218" s="1419"/>
      <c r="M218" s="1308"/>
      <c r="N218" s="1308"/>
      <c r="O218" s="1309"/>
    </row>
    <row r="219" spans="2:15" ht="19.5" customHeight="1">
      <c r="D219" s="953"/>
      <c r="E219" s="950"/>
      <c r="F219" s="984" t="str">
        <f>IF(F215=$S$15,$T$13,IF(ROUNDDOWN(F215,0)=$S$13,$U$13,$T$13))</f>
        <v>　レベル　4</v>
      </c>
      <c r="G219" s="1190" t="s">
        <v>1636</v>
      </c>
      <c r="H219" s="1308"/>
      <c r="I219" s="1308"/>
      <c r="J219" s="1308"/>
      <c r="K219" s="1308"/>
      <c r="L219" s="1419"/>
      <c r="M219" s="1308"/>
      <c r="N219" s="1308"/>
      <c r="O219" s="1309"/>
    </row>
    <row r="220" spans="2:15" ht="19.5" customHeight="1">
      <c r="D220" s="953"/>
      <c r="E220" s="950"/>
      <c r="F220" s="995" t="str">
        <f>IF(F215=$S$15,$T$14,IF(ROUNDDOWN(F215,0)=$S$14,$U$14,$T$14))</f>
        <v>　レベル　5</v>
      </c>
      <c r="G220" s="1193" t="s">
        <v>139</v>
      </c>
      <c r="H220" s="1318"/>
      <c r="I220" s="1318"/>
      <c r="J220" s="1318"/>
      <c r="K220" s="1318"/>
      <c r="L220" s="1583"/>
      <c r="M220" s="1318"/>
      <c r="N220" s="1318"/>
      <c r="O220" s="1319"/>
    </row>
    <row r="221" spans="2:15" ht="15.75">
      <c r="D221" s="953"/>
      <c r="E221" s="950"/>
      <c r="F221" s="953"/>
      <c r="G221" s="1303" t="s">
        <v>2471</v>
      </c>
      <c r="H221" s="537"/>
      <c r="I221" s="551"/>
      <c r="J221" s="1296"/>
      <c r="K221" s="1296"/>
      <c r="L221" s="537"/>
      <c r="M221" s="537"/>
      <c r="N221" s="537"/>
      <c r="O221" s="2020"/>
    </row>
    <row r="222" spans="2:15" ht="16.5" thickBot="1">
      <c r="D222" s="953"/>
      <c r="E222" s="551"/>
      <c r="F222" s="950"/>
      <c r="G222" s="1213" t="s">
        <v>225</v>
      </c>
      <c r="H222" s="3151" t="s">
        <v>1127</v>
      </c>
      <c r="I222" s="3151"/>
      <c r="J222" s="3151"/>
      <c r="K222" s="3151"/>
      <c r="L222" s="3151"/>
      <c r="M222" s="3151"/>
      <c r="N222" s="3151"/>
      <c r="O222" s="1125" t="s">
        <v>1737</v>
      </c>
    </row>
    <row r="223" spans="2:15" ht="15.75">
      <c r="D223" s="953"/>
      <c r="E223" s="537"/>
      <c r="F223" s="950"/>
      <c r="G223" s="3105">
        <v>2</v>
      </c>
      <c r="H223" s="3152" t="s">
        <v>2472</v>
      </c>
      <c r="I223" s="3145"/>
      <c r="J223" s="3145"/>
      <c r="K223" s="3145"/>
      <c r="L223" s="3145"/>
      <c r="M223" s="3145"/>
      <c r="N223" s="3145"/>
      <c r="O223" s="3153" t="s">
        <v>2518</v>
      </c>
    </row>
    <row r="224" spans="2:15" ht="15.75">
      <c r="D224" s="953"/>
      <c r="E224" s="537"/>
      <c r="F224" s="950"/>
      <c r="G224" s="2977"/>
      <c r="H224" s="3134" t="s">
        <v>2797</v>
      </c>
      <c r="I224" s="3135"/>
      <c r="J224" s="3135"/>
      <c r="K224" s="3135"/>
      <c r="L224" s="3135"/>
      <c r="M224" s="3135"/>
      <c r="N224" s="3135"/>
      <c r="O224" s="3127"/>
    </row>
    <row r="225" spans="2:15" ht="15.75">
      <c r="D225" s="953"/>
      <c r="E225" s="537"/>
      <c r="F225" s="950"/>
      <c r="G225" s="2902"/>
      <c r="H225" s="3136" t="s">
        <v>2798</v>
      </c>
      <c r="I225" s="3137"/>
      <c r="J225" s="3137"/>
      <c r="K225" s="3137"/>
      <c r="L225" s="3137"/>
      <c r="M225" s="3137"/>
      <c r="N225" s="3137"/>
      <c r="O225" s="3127"/>
    </row>
    <row r="226" spans="2:15" ht="15.75">
      <c r="D226" s="953"/>
      <c r="E226" s="537"/>
      <c r="F226" s="950"/>
      <c r="G226" s="2901">
        <v>0</v>
      </c>
      <c r="H226" s="3132" t="s">
        <v>2799</v>
      </c>
      <c r="I226" s="3133"/>
      <c r="J226" s="3133"/>
      <c r="K226" s="3133"/>
      <c r="L226" s="3133"/>
      <c r="M226" s="3133"/>
      <c r="N226" s="3133"/>
      <c r="O226" s="3127" t="s">
        <v>140</v>
      </c>
    </row>
    <row r="227" spans="2:15" ht="15.75">
      <c r="D227" s="953"/>
      <c r="E227" s="537"/>
      <c r="F227" s="950"/>
      <c r="G227" s="2977"/>
      <c r="H227" s="3134" t="s">
        <v>141</v>
      </c>
      <c r="I227" s="3135"/>
      <c r="J227" s="3135"/>
      <c r="K227" s="3135"/>
      <c r="L227" s="3135"/>
      <c r="M227" s="3135"/>
      <c r="N227" s="3135"/>
      <c r="O227" s="3127"/>
    </row>
    <row r="228" spans="2:15" ht="16.5" thickBot="1">
      <c r="D228" s="953"/>
      <c r="E228" s="537"/>
      <c r="F228" s="950"/>
      <c r="G228" s="2984"/>
      <c r="H228" s="3136" t="s">
        <v>142</v>
      </c>
      <c r="I228" s="3137"/>
      <c r="J228" s="3137"/>
      <c r="K228" s="3137"/>
      <c r="L228" s="3137"/>
      <c r="M228" s="3137"/>
      <c r="N228" s="3137"/>
      <c r="O228" s="3127"/>
    </row>
    <row r="229" spans="2:15" ht="15.75">
      <c r="D229" s="953"/>
      <c r="E229" s="537"/>
      <c r="F229" s="950"/>
      <c r="G229" s="1208" t="s">
        <v>1755</v>
      </c>
      <c r="H229" s="2824">
        <f>SUM(G223:G228)</f>
        <v>2</v>
      </c>
      <c r="I229" s="2824"/>
      <c r="J229" s="2824"/>
      <c r="K229" s="1210"/>
      <c r="L229" s="1211"/>
      <c r="M229" s="1210"/>
      <c r="N229" s="1211"/>
      <c r="O229" s="1220"/>
    </row>
    <row r="230" spans="2:15" ht="15.75">
      <c r="D230" s="953"/>
      <c r="E230" s="537"/>
      <c r="F230" s="537"/>
      <c r="G230" s="537"/>
      <c r="H230" s="537"/>
      <c r="I230" s="537"/>
      <c r="J230" s="537"/>
      <c r="K230" s="537"/>
      <c r="L230" s="537"/>
      <c r="M230" s="537"/>
      <c r="N230" s="537"/>
      <c r="O230" s="537"/>
    </row>
    <row r="231" spans="2:15" ht="15.75">
      <c r="D231" s="953"/>
      <c r="E231" s="537"/>
      <c r="F231" s="372" t="s">
        <v>143</v>
      </c>
      <c r="G231" s="537"/>
      <c r="H231" s="537"/>
      <c r="I231" s="537"/>
      <c r="J231" s="537"/>
      <c r="K231" s="537"/>
      <c r="L231" s="537"/>
      <c r="M231" s="537"/>
      <c r="N231" s="537"/>
      <c r="O231" s="537"/>
    </row>
    <row r="232" spans="2:15" ht="15" thickBot="1">
      <c r="D232" s="1575"/>
      <c r="E232" s="950"/>
      <c r="F232" s="1102"/>
      <c r="G232" s="966"/>
      <c r="H232" s="967" t="s">
        <v>1358</v>
      </c>
      <c r="I232" s="968"/>
      <c r="J232" s="969">
        <f>重み!M180</f>
        <v>0.3</v>
      </c>
      <c r="K232" s="1103"/>
      <c r="L232" s="1103"/>
      <c r="M232" s="1103"/>
      <c r="N232" s="1103"/>
      <c r="O232" s="978"/>
    </row>
    <row r="233" spans="2:15" ht="15" thickBot="1">
      <c r="D233" s="1575"/>
      <c r="E233" s="950"/>
      <c r="F233" s="972">
        <v>3</v>
      </c>
      <c r="G233" s="976" t="s">
        <v>91</v>
      </c>
      <c r="H233" s="977"/>
      <c r="I233" s="977"/>
      <c r="J233" s="977"/>
      <c r="K233" s="977"/>
      <c r="L233" s="1277"/>
      <c r="M233" s="977"/>
      <c r="N233" s="977"/>
      <c r="O233" s="978"/>
    </row>
    <row r="234" spans="2:15" ht="19.5" customHeight="1">
      <c r="B234" s="1" t="s">
        <v>2167</v>
      </c>
      <c r="C234" s="1">
        <v>1</v>
      </c>
      <c r="D234" s="1575"/>
      <c r="E234" s="950"/>
      <c r="F234" s="984" t="str">
        <f>IF(F233=$S$15,$T$10,IF(ROUNDDOWN(F233,0)=$S$10,$U$10,$T$10))</f>
        <v>　レベル　1</v>
      </c>
      <c r="G234" s="1187" t="s">
        <v>347</v>
      </c>
      <c r="H234" s="1188"/>
      <c r="I234" s="1188"/>
      <c r="J234" s="1188"/>
      <c r="K234" s="1188"/>
      <c r="L234" s="1188"/>
      <c r="M234" s="1188"/>
      <c r="N234" s="982"/>
      <c r="O234" s="983"/>
    </row>
    <row r="235" spans="2:15" ht="19.5" customHeight="1">
      <c r="B235" s="1" t="s">
        <v>2167</v>
      </c>
      <c r="C235" s="1">
        <v>2</v>
      </c>
      <c r="D235" s="1575"/>
      <c r="E235" s="950"/>
      <c r="F235" s="984" t="str">
        <f>IF(F233=$S$15,$T$11,IF(ROUNDDOWN(F233,0)=$S$11,$U$11,$T$11))</f>
        <v>　レベル　2</v>
      </c>
      <c r="G235" s="1561" t="s">
        <v>347</v>
      </c>
      <c r="H235" s="1603"/>
      <c r="I235" s="1603"/>
      <c r="J235" s="1603"/>
      <c r="K235" s="1603"/>
      <c r="L235" s="1603"/>
      <c r="M235" s="1603"/>
      <c r="N235" s="989"/>
      <c r="O235" s="990"/>
    </row>
    <row r="236" spans="2:15" ht="19.5" customHeight="1">
      <c r="B236" s="1">
        <v>3</v>
      </c>
      <c r="C236" s="1">
        <v>3</v>
      </c>
      <c r="D236" s="1575"/>
      <c r="E236" s="950"/>
      <c r="F236" s="984" t="str">
        <f>IF(F233=$S$15,$T$12,IF(ROUNDDOWN(F233,0)=$S$12,$U$12,$T$12))</f>
        <v>■レベル　3</v>
      </c>
      <c r="G236" s="1561" t="s">
        <v>3302</v>
      </c>
      <c r="H236" s="1603"/>
      <c r="I236" s="1603"/>
      <c r="J236" s="1603"/>
      <c r="K236" s="1603"/>
      <c r="L236" s="1603"/>
      <c r="M236" s="1603"/>
      <c r="N236" s="989"/>
      <c r="O236" s="990"/>
    </row>
    <row r="237" spans="2:15" ht="19.5" customHeight="1">
      <c r="B237" s="1">
        <v>4</v>
      </c>
      <c r="C237" s="1">
        <v>4</v>
      </c>
      <c r="D237" s="1575"/>
      <c r="E237" s="950"/>
      <c r="F237" s="984" t="str">
        <f>IF(F233=$S$15,$T$13,IF(ROUNDDOWN(F233,0)=$S$13,$U$13,$T$13))</f>
        <v>　レベル　4</v>
      </c>
      <c r="G237" s="1561" t="s">
        <v>92</v>
      </c>
      <c r="H237" s="1603"/>
      <c r="I237" s="1603"/>
      <c r="J237" s="1603"/>
      <c r="K237" s="1603"/>
      <c r="L237" s="1603"/>
      <c r="M237" s="1603"/>
      <c r="N237" s="989"/>
      <c r="O237" s="990"/>
    </row>
    <row r="238" spans="2:15" ht="19.5" customHeight="1">
      <c r="B238" s="1">
        <v>5</v>
      </c>
      <c r="C238" s="1">
        <v>5</v>
      </c>
      <c r="D238" s="1575"/>
      <c r="E238" s="950"/>
      <c r="F238" s="995" t="str">
        <f>IF(F233=$S$15,$T$14,IF(ROUNDDOWN(F233,0)=$S$14,$U$14,$T$14))</f>
        <v>　レベル　5</v>
      </c>
      <c r="G238" s="1562" t="s">
        <v>93</v>
      </c>
      <c r="H238" s="1604"/>
      <c r="I238" s="1604"/>
      <c r="J238" s="1604"/>
      <c r="K238" s="1604"/>
      <c r="L238" s="1604"/>
      <c r="M238" s="1604"/>
      <c r="N238" s="1000"/>
      <c r="O238" s="1001"/>
    </row>
    <row r="239" spans="2:15">
      <c r="B239" s="1002">
        <v>0</v>
      </c>
      <c r="C239" s="1002">
        <v>0</v>
      </c>
    </row>
  </sheetData>
  <sheetProtection algorithmName="SHA-512" hashValue="uDy7paav67HgGD+O9F9sMgN+BU+Cv6eQOwi+JaiBPNnAHJ79puMa98BmCo6hJl/5xtc52U6LevnwjHhE5yIrhw==" saltValue="e+iqTKzFlBmZnFuwWkNosw==" spinCount="100000" sheet="1" objects="1" scenarios="1"/>
  <mergeCells count="128">
    <mergeCell ref="K196:N196"/>
    <mergeCell ref="K193:N193"/>
    <mergeCell ref="K194:N194"/>
    <mergeCell ref="O40:O41"/>
    <mergeCell ref="O42:O43"/>
    <mergeCell ref="O44:O45"/>
    <mergeCell ref="O46:O47"/>
    <mergeCell ref="O50:O51"/>
    <mergeCell ref="G182:M182"/>
    <mergeCell ref="F128:O128"/>
    <mergeCell ref="G157:I157"/>
    <mergeCell ref="J157:L157"/>
    <mergeCell ref="N168:O172"/>
    <mergeCell ref="N178:O182"/>
    <mergeCell ref="G179:M179"/>
    <mergeCell ref="K195:N195"/>
    <mergeCell ref="G180:M180"/>
    <mergeCell ref="G181:M181"/>
    <mergeCell ref="G194:G195"/>
    <mergeCell ref="G196:G198"/>
    <mergeCell ref="H196:J198"/>
    <mergeCell ref="K114:N114"/>
    <mergeCell ref="K115:N115"/>
    <mergeCell ref="H116:J116"/>
    <mergeCell ref="N123:O127"/>
    <mergeCell ref="K113:N113"/>
    <mergeCell ref="H114:J115"/>
    <mergeCell ref="G90:G91"/>
    <mergeCell ref="H97:J97"/>
    <mergeCell ref="H108:J108"/>
    <mergeCell ref="K108:N108"/>
    <mergeCell ref="G95:G96"/>
    <mergeCell ref="K95:N95"/>
    <mergeCell ref="K90:N90"/>
    <mergeCell ref="H89:J91"/>
    <mergeCell ref="H109:J109"/>
    <mergeCell ref="K109:N109"/>
    <mergeCell ref="H110:J112"/>
    <mergeCell ref="K110:N110"/>
    <mergeCell ref="K111:N111"/>
    <mergeCell ref="K112:N112"/>
    <mergeCell ref="H229:J229"/>
    <mergeCell ref="G226:G228"/>
    <mergeCell ref="H226:N226"/>
    <mergeCell ref="O226:O228"/>
    <mergeCell ref="H227:N227"/>
    <mergeCell ref="H228:N228"/>
    <mergeCell ref="H199:J199"/>
    <mergeCell ref="G131:I131"/>
    <mergeCell ref="J131:L131"/>
    <mergeCell ref="G138:I138"/>
    <mergeCell ref="J138:L138"/>
    <mergeCell ref="N149:O153"/>
    <mergeCell ref="H194:J195"/>
    <mergeCell ref="F210:O210"/>
    <mergeCell ref="H222:N222"/>
    <mergeCell ref="K198:N198"/>
    <mergeCell ref="G223:G225"/>
    <mergeCell ref="H223:N223"/>
    <mergeCell ref="O223:O225"/>
    <mergeCell ref="H224:N224"/>
    <mergeCell ref="H225:N225"/>
    <mergeCell ref="H193:J193"/>
    <mergeCell ref="K197:N197"/>
    <mergeCell ref="F154:N154"/>
    <mergeCell ref="G56:G57"/>
    <mergeCell ref="I52:J55"/>
    <mergeCell ref="H58:J58"/>
    <mergeCell ref="N63:O63"/>
    <mergeCell ref="K55:N55"/>
    <mergeCell ref="H92:J96"/>
    <mergeCell ref="K92:N92"/>
    <mergeCell ref="K93:N93"/>
    <mergeCell ref="K94:N94"/>
    <mergeCell ref="H56:H57"/>
    <mergeCell ref="I56:J57"/>
    <mergeCell ref="N64:O68"/>
    <mergeCell ref="H88:J88"/>
    <mergeCell ref="K88:N88"/>
    <mergeCell ref="K89:N89"/>
    <mergeCell ref="K57:N57"/>
    <mergeCell ref="O95:O96"/>
    <mergeCell ref="K96:N96"/>
    <mergeCell ref="O90:O91"/>
    <mergeCell ref="K91:N91"/>
    <mergeCell ref="O56:O57"/>
    <mergeCell ref="K56:N56"/>
    <mergeCell ref="K53:N53"/>
    <mergeCell ref="K54:N54"/>
    <mergeCell ref="G22:O22"/>
    <mergeCell ref="G24:O24"/>
    <mergeCell ref="G25:O25"/>
    <mergeCell ref="K37:N37"/>
    <mergeCell ref="H37:J37"/>
    <mergeCell ref="O38:O39"/>
    <mergeCell ref="K38:N38"/>
    <mergeCell ref="G46:G47"/>
    <mergeCell ref="G48:G49"/>
    <mergeCell ref="I38:J39"/>
    <mergeCell ref="I40:J45"/>
    <mergeCell ref="I46:J47"/>
    <mergeCell ref="I48:J51"/>
    <mergeCell ref="G38:G39"/>
    <mergeCell ref="H38:H39"/>
    <mergeCell ref="G44:G45"/>
    <mergeCell ref="K52:N52"/>
    <mergeCell ref="K39:N39"/>
    <mergeCell ref="O48:O49"/>
    <mergeCell ref="K43:N43"/>
    <mergeCell ref="K44:N44"/>
    <mergeCell ref="K40:N40"/>
    <mergeCell ref="K42:N42"/>
    <mergeCell ref="K41:N41"/>
    <mergeCell ref="G40:G41"/>
    <mergeCell ref="G42:G43"/>
    <mergeCell ref="H40:H55"/>
    <mergeCell ref="G50:G51"/>
    <mergeCell ref="G52:G53"/>
    <mergeCell ref="G54:G55"/>
    <mergeCell ref="K51:N51"/>
    <mergeCell ref="K45:N45"/>
    <mergeCell ref="K46:N46"/>
    <mergeCell ref="K47:N47"/>
    <mergeCell ref="K48:N48"/>
    <mergeCell ref="K49:N49"/>
    <mergeCell ref="K50:N50"/>
    <mergeCell ref="O52:O53"/>
    <mergeCell ref="O54:O55"/>
  </mergeCells>
  <phoneticPr fontId="21"/>
  <conditionalFormatting sqref="F21 F63 F72 F122 F148 F167 F177 F204 F233">
    <cfRule type="expression" dxfId="16" priority="11" stopIfTrue="1">
      <formula>AND(OR(F21&lt;1,F21&gt;5),F21&lt;&gt;0)</formula>
    </cfRule>
    <cfRule type="expression" dxfId="15" priority="12" stopIfTrue="1">
      <formula>$J20&gt;0</formula>
    </cfRule>
  </conditionalFormatting>
  <conditionalFormatting sqref="F186">
    <cfRule type="expression" dxfId="14" priority="2" stopIfTrue="1">
      <formula>AND(OR(F186&lt;1,F186&gt;5),F186&lt;&gt;0)</formula>
    </cfRule>
    <cfRule type="expression" dxfId="13" priority="3" stopIfTrue="1">
      <formula>J185&gt;0</formula>
    </cfRule>
  </conditionalFormatting>
  <conditionalFormatting sqref="G38:G57">
    <cfRule type="expression" dxfId="12" priority="10" stopIfTrue="1">
      <formula>$J$29&gt;0</formula>
    </cfRule>
  </conditionalFormatting>
  <conditionalFormatting sqref="G89:G90 G92:G95">
    <cfRule type="expression" dxfId="11" priority="6" stopIfTrue="1">
      <formula>$J$80&gt;0</formula>
    </cfRule>
  </conditionalFormatting>
  <conditionalFormatting sqref="G109:G115">
    <cfRule type="expression" dxfId="10" priority="1" stopIfTrue="1">
      <formula>$J$100&gt;0</formula>
    </cfRule>
  </conditionalFormatting>
  <conditionalFormatting sqref="G194:G198">
    <cfRule type="expression" dxfId="9" priority="9" stopIfTrue="1">
      <formula>$J$185&gt;0</formula>
    </cfRule>
  </conditionalFormatting>
  <conditionalFormatting sqref="G223:G228">
    <cfRule type="expression" dxfId="8" priority="4" stopIfTrue="1">
      <formula>$J$214&gt;0</formula>
    </cfRule>
  </conditionalFormatting>
  <conditionalFormatting sqref="K91:N91">
    <cfRule type="expression" dxfId="7" priority="7" stopIfTrue="1">
      <formula>AND($J$80&gt;0,$G$90=1)</formula>
    </cfRule>
  </conditionalFormatting>
  <conditionalFormatting sqref="K96:N96">
    <cfRule type="expression" dxfId="6" priority="8" stopIfTrue="1">
      <formula>AND($J$80&gt;0,$G$95=1)</formula>
    </cfRule>
  </conditionalFormatting>
  <dataValidations xWindow="203" yWindow="331" count="7">
    <dataValidation type="list" allowBlank="1" showInputMessage="1" showErrorMessage="1" sqref="G226 G56:G57 G223 G194:G195 G40:G41" xr:uid="{00000000-0002-0000-0D00-000000000000}">
      <formula1>"0,1,2"</formula1>
    </dataValidation>
    <dataValidation type="list" allowBlank="1" showInputMessage="1" showErrorMessage="1" sqref="G89:G90 G92:G95 G114:G115 G109:G112" xr:uid="{00000000-0002-0000-0D00-000001000000}">
      <formula1>"0,1,対象外"</formula1>
    </dataValidation>
    <dataValidation type="list" allowBlank="1" showInputMessage="1" showErrorMessage="1" sqref="G113" xr:uid="{00000000-0002-0000-0D00-000002000000}">
      <formula1>"0,1,2,対象外"</formula1>
    </dataValidation>
    <dataValidation type="list" allowBlank="1" showInputMessage="1" showErrorMessage="1" sqref="G196:G198" xr:uid="{00000000-0002-0000-0D00-000003000000}">
      <formula1>"0,1,2,4"</formula1>
    </dataValidation>
    <dataValidation type="list" allowBlank="1" showInputMessage="1" showErrorMessage="1" sqref="G42:G55" xr:uid="{00000000-0002-0000-0D00-000004000000}">
      <formula1>"0,1,2,3"</formula1>
    </dataValidation>
    <dataValidation type="list" allowBlank="1" showInputMessage="1" sqref="F21 F63 F72 F122 F148 F167 F177 F204 F233" xr:uid="{00000000-0002-0000-0D00-000005000000}">
      <formula1>$B22:$B27</formula1>
    </dataValidation>
    <dataValidation type="list" allowBlank="1" showInputMessage="1" showErrorMessage="1" sqref="G38:G39" xr:uid="{00000000-0002-0000-0D00-000006000000}">
      <formula1>"0,2"</formula1>
    </dataValidation>
  </dataValidations>
  <printOptions horizontalCentered="1"/>
  <pageMargins left="0.59055118110236227" right="0.59055118110236227" top="0.78740157480314965" bottom="0.59055118110236227" header="0.51181102362204722" footer="0.51181102362204722"/>
  <pageSetup paperSize="9" scale="65" fitToHeight="7" orientation="portrait" verticalDpi="4294967293" r:id="rId1"/>
  <headerFooter alignWithMargins="0">
    <oddHeader>&amp;L&amp;F&amp;R&amp;A</oddHeader>
    <oddFooter>&amp;C&amp;P/&amp;N</oddFooter>
  </headerFooter>
  <rowBreaks count="4" manualBreakCount="4">
    <brk id="27" max="16383" man="1"/>
    <brk id="59" max="16383" man="1"/>
    <brk id="117" max="16383" man="1"/>
    <brk id="183" max="16383"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pageSetUpPr fitToPage="1"/>
  </sheetPr>
  <dimension ref="A1:AA186"/>
  <sheetViews>
    <sheetView showGridLines="0" zoomScaleNormal="100" workbookViewId="0">
      <selection activeCell="I115" sqref="I115"/>
    </sheetView>
  </sheetViews>
  <sheetFormatPr defaultColWidth="0" defaultRowHeight="13.5" zeroHeight="1"/>
  <cols>
    <col min="1" max="1" width="1.125" customWidth="1"/>
    <col min="2" max="2" width="2.375" customWidth="1"/>
    <col min="3" max="3" width="2" customWidth="1"/>
    <col min="4" max="4" width="17" customWidth="1"/>
    <col min="5" max="5" width="20.125" customWidth="1"/>
    <col min="6" max="6" width="7.5" bestFit="1" customWidth="1"/>
    <col min="7" max="7" width="2" customWidth="1"/>
    <col min="8" max="8" width="10" customWidth="1"/>
    <col min="9" max="9" width="9.625" customWidth="1"/>
    <col min="10" max="10" width="8.875" customWidth="1"/>
    <col min="11" max="11" width="9.125" customWidth="1"/>
    <col min="12" max="12" width="11.75" bestFit="1" customWidth="1"/>
    <col min="13" max="13" width="6" bestFit="1" customWidth="1"/>
    <col min="14" max="14" width="8" bestFit="1" customWidth="1"/>
    <col min="15" max="15" width="11.75" bestFit="1" customWidth="1"/>
    <col min="16" max="16" width="7.125" bestFit="1" customWidth="1"/>
    <col min="17" max="17" width="6" hidden="1" customWidth="1"/>
    <col min="18" max="18" width="15.5" hidden="1" customWidth="1"/>
    <col min="19" max="19" width="5.25" hidden="1" customWidth="1"/>
    <col min="20" max="20" width="6.375" hidden="1" customWidth="1"/>
    <col min="21" max="21" width="15.5" hidden="1" customWidth="1"/>
    <col min="22" max="22" width="5" hidden="1" customWidth="1"/>
    <col min="23" max="23" width="6.125" hidden="1" customWidth="1"/>
    <col min="24" max="24" width="8" hidden="1" customWidth="1"/>
    <col min="25" max="25" width="6.375" hidden="1" customWidth="1"/>
    <col min="26" max="26" width="5" hidden="1" customWidth="1"/>
    <col min="27" max="27" width="0" hidden="1" customWidth="1"/>
    <col min="28" max="16384" width="9" hidden="1"/>
  </cols>
  <sheetData>
    <row r="1" spans="1:27" ht="14.25" thickBot="1">
      <c r="A1" s="137"/>
    </row>
    <row r="2" spans="1:27" ht="14.25">
      <c r="B2" s="876" t="str">
        <f>メイン!C6</f>
        <v>CASBEE-建築(既存)2014年版</v>
      </c>
      <c r="C2" s="877"/>
      <c r="D2" s="878"/>
      <c r="E2" s="879"/>
      <c r="F2" s="880"/>
      <c r="G2" s="880"/>
      <c r="H2" s="880"/>
      <c r="I2" s="880"/>
      <c r="J2" s="880"/>
      <c r="K2" s="880"/>
      <c r="L2" s="3184" t="s">
        <v>2148</v>
      </c>
      <c r="M2" s="3184"/>
      <c r="N2" s="3185" t="str">
        <f>メイン!C6</f>
        <v>CASBEE-建築(既存)2014年版</v>
      </c>
      <c r="O2" s="3186"/>
    </row>
    <row r="3" spans="1:27" ht="14.25" thickBot="1">
      <c r="B3" s="881" t="str">
        <f>メイン!C11</f>
        <v>○○ビル</v>
      </c>
      <c r="C3" s="882"/>
      <c r="D3" s="883"/>
      <c r="E3" s="884"/>
      <c r="F3" s="880"/>
      <c r="G3" s="880"/>
      <c r="H3" s="880"/>
      <c r="I3" s="880"/>
      <c r="J3" s="880"/>
      <c r="K3" s="880"/>
      <c r="L3" s="3184" t="s">
        <v>2591</v>
      </c>
      <c r="M3" s="3187"/>
      <c r="N3" s="2258" t="str">
        <f>メイン!C5</f>
        <v>CASBEE-BD_EB_2014(v.3.03)</v>
      </c>
      <c r="O3" s="885"/>
    </row>
    <row r="4" spans="1:27" ht="6.75" customHeight="1" thickBot="1">
      <c r="B4" s="880"/>
      <c r="C4" s="880"/>
      <c r="D4" s="880"/>
      <c r="E4" s="880"/>
      <c r="F4" s="880"/>
      <c r="G4" s="880"/>
      <c r="H4" s="880"/>
      <c r="I4" s="880"/>
      <c r="J4" s="880"/>
      <c r="K4" s="880"/>
      <c r="L4" s="880"/>
      <c r="M4" s="880"/>
      <c r="N4" s="880"/>
      <c r="O4" s="880"/>
    </row>
    <row r="5" spans="1:27" ht="18.75">
      <c r="B5" s="886" t="s">
        <v>2399</v>
      </c>
      <c r="C5" s="887"/>
      <c r="D5" s="888"/>
      <c r="E5" s="887"/>
      <c r="F5" s="889"/>
      <c r="G5" s="889"/>
      <c r="H5" s="889"/>
      <c r="I5" s="889"/>
      <c r="J5" s="889"/>
      <c r="K5" s="887"/>
      <c r="L5" s="890"/>
      <c r="M5" s="891"/>
      <c r="N5" s="892"/>
      <c r="O5" s="893"/>
    </row>
    <row r="6" spans="1:27" ht="14.25">
      <c r="B6" s="894"/>
      <c r="C6" s="895"/>
      <c r="D6" s="896"/>
      <c r="E6" s="895"/>
      <c r="F6" s="897"/>
      <c r="G6" s="897"/>
      <c r="H6" s="897"/>
      <c r="I6" s="897"/>
      <c r="J6" s="897"/>
      <c r="K6" s="895"/>
      <c r="L6" s="2106" t="s">
        <v>2400</v>
      </c>
      <c r="M6" s="899"/>
      <c r="N6" s="900"/>
      <c r="O6" s="2290" t="s">
        <v>2401</v>
      </c>
      <c r="R6" t="s">
        <v>770</v>
      </c>
      <c r="S6" t="s">
        <v>769</v>
      </c>
      <c r="T6" t="s">
        <v>771</v>
      </c>
      <c r="U6" t="s">
        <v>772</v>
      </c>
    </row>
    <row r="7" spans="1:27" ht="16.5">
      <c r="B7" s="901" t="s">
        <v>1938</v>
      </c>
      <c r="C7" s="895"/>
      <c r="D7" s="896"/>
      <c r="E7" s="895"/>
      <c r="F7" s="897"/>
      <c r="G7" s="897"/>
      <c r="H7" s="897"/>
      <c r="I7" s="897"/>
      <c r="J7" s="897"/>
      <c r="K7" s="895"/>
      <c r="L7" s="902"/>
      <c r="M7" s="899"/>
      <c r="N7" s="900"/>
      <c r="O7" s="904"/>
      <c r="R7" t="s">
        <v>3369</v>
      </c>
      <c r="T7" t="s">
        <v>479</v>
      </c>
      <c r="U7" s="2512">
        <f>SUM(S8:S20)+U21+S22+S23+S25</f>
        <v>14500</v>
      </c>
    </row>
    <row r="8" spans="1:27" ht="14.25">
      <c r="B8" s="2042"/>
      <c r="C8" s="905" t="s">
        <v>1940</v>
      </c>
      <c r="D8" s="906"/>
      <c r="E8" s="895"/>
      <c r="F8" s="897"/>
      <c r="G8" s="897"/>
      <c r="H8" s="902"/>
      <c r="I8" s="903"/>
      <c r="J8" s="902" t="s">
        <v>1939</v>
      </c>
      <c r="K8" s="903"/>
      <c r="L8" s="902" t="s">
        <v>1939</v>
      </c>
      <c r="M8" s="903"/>
      <c r="N8" s="903"/>
      <c r="O8" s="904" t="s">
        <v>1939</v>
      </c>
      <c r="R8" s="1" t="str">
        <f>メイン!B47</f>
        <v xml:space="preserve"> 事務所</v>
      </c>
      <c r="S8" s="1">
        <f>メイン!C47</f>
        <v>5000</v>
      </c>
    </row>
    <row r="9" spans="1:27">
      <c r="B9" s="2042"/>
      <c r="C9" s="912"/>
      <c r="D9" s="912" t="s">
        <v>318</v>
      </c>
      <c r="E9" s="910"/>
      <c r="F9" s="2291" t="s">
        <v>1624</v>
      </c>
      <c r="G9" s="910"/>
      <c r="H9" s="907" t="s">
        <v>1625</v>
      </c>
      <c r="I9" s="907" t="s">
        <v>1626</v>
      </c>
      <c r="J9" s="907" t="s">
        <v>1627</v>
      </c>
      <c r="K9" s="908" t="s">
        <v>316</v>
      </c>
      <c r="L9" s="909" t="s">
        <v>317</v>
      </c>
      <c r="M9" s="910"/>
      <c r="N9" s="908" t="s">
        <v>316</v>
      </c>
      <c r="O9" s="911" t="s">
        <v>317</v>
      </c>
      <c r="R9" s="1">
        <f>メイン!B48</f>
        <v>0</v>
      </c>
      <c r="S9" s="1">
        <f>メイン!C48</f>
        <v>0</v>
      </c>
    </row>
    <row r="10" spans="1:27">
      <c r="B10" s="2045"/>
      <c r="C10" s="912"/>
      <c r="D10" s="912"/>
      <c r="E10" s="912" t="s">
        <v>461</v>
      </c>
      <c r="F10" s="2292">
        <f>IF($U$7=0,0,S8/$U$7)</f>
        <v>0.34482758620689657</v>
      </c>
      <c r="G10" s="910"/>
      <c r="H10" s="2292">
        <f>IF(OR($F$20=$R$6,$F$20=$U$6),CO2データ!I12,IF($F$20=$S$6,CO2データ!L12,CO2データ!O12))</f>
        <v>13.23</v>
      </c>
      <c r="I10" s="2292">
        <f>IF(OR($F$20=$R$6,$F$20=$U$6),CO2データ!J12,IF($F$20=$S$6,CO2データ!M12,CO2データ!P12))</f>
        <v>13.23</v>
      </c>
      <c r="J10" s="2293">
        <f>IF(OR($F$20=$R$6,$F$20=$U$6),CO2データ!K12,IF($F$20=$S$6,CO2データ!N12,CO2データ!Q12))</f>
        <v>13.23</v>
      </c>
      <c r="K10" s="2059">
        <f>スコア!M80</f>
        <v>3</v>
      </c>
      <c r="L10" s="2294">
        <f t="shared" ref="L10:L18" si="0">IF(K10&gt;=5,$J10,IF(K10&gt;=4,$I10,$H10))</f>
        <v>13.23</v>
      </c>
      <c r="M10" s="910"/>
      <c r="N10" s="2059">
        <v>3</v>
      </c>
      <c r="O10" s="2295">
        <f>IF(OR($F$20=$R$6,$F$20=$U$6),CO2データ!I7,IF($F$20=$S$6,CO2データ!L7,CO2データ!O7))</f>
        <v>13.23</v>
      </c>
      <c r="R10" s="1" t="str">
        <f>メイン!B49</f>
        <v xml:space="preserve"> 学校</v>
      </c>
      <c r="S10" s="1">
        <f>メイン!C49</f>
        <v>4000</v>
      </c>
    </row>
    <row r="11" spans="1:27">
      <c r="B11" s="2045"/>
      <c r="C11" s="912"/>
      <c r="D11" s="2296"/>
      <c r="E11" s="912" t="s">
        <v>1772</v>
      </c>
      <c r="F11" s="2292">
        <f>IF($U$7=0,0,S10/$U$7)</f>
        <v>0.27586206896551724</v>
      </c>
      <c r="G11" s="910"/>
      <c r="H11" s="2292">
        <f>IF(OR($F$20=$R$6,$F$20=$U$6),CO2データ!I18,IF($F$20=$S$6,CO2データ!L18,CO2データ!O18))</f>
        <v>11.762999999999998</v>
      </c>
      <c r="I11" s="2292">
        <f>IF(OR($F$20=$R$6,$F$20=$U$6),CO2データ!J18,IF($F$20=$S$6,CO2データ!M18,CO2データ!P18))</f>
        <v>11.762999999999998</v>
      </c>
      <c r="J11" s="2293">
        <f>IF(OR($F$20=$R$6,$F$20=$U$6),CO2データ!K18,IF($F$20=$S$6,CO2データ!N18,CO2データ!Q18))</f>
        <v>11.762999999999998</v>
      </c>
      <c r="K11" s="2059">
        <f t="shared" ref="K11:K18" si="1">K$10</f>
        <v>3</v>
      </c>
      <c r="L11" s="2294">
        <f t="shared" si="0"/>
        <v>11.762999999999998</v>
      </c>
      <c r="M11" s="910"/>
      <c r="N11" s="2059">
        <f t="shared" ref="N11:N18" si="2">N$10</f>
        <v>3</v>
      </c>
      <c r="O11" s="2295">
        <f>IF(OR($F$20=$R$6,$F$20=$U$6),CO2データ!I13,IF($F$20=$S$6,CO2データ!L13,CO2データ!O13))</f>
        <v>11.762999999999998</v>
      </c>
      <c r="R11" s="1">
        <f>メイン!B50</f>
        <v>0</v>
      </c>
      <c r="S11" s="1">
        <f>メイン!C50</f>
        <v>0</v>
      </c>
      <c r="AA11" t="str">
        <f>重み!AB6</f>
        <v>学校</v>
      </c>
    </row>
    <row r="12" spans="1:27">
      <c r="B12" s="2045"/>
      <c r="C12" s="912"/>
      <c r="D12" s="912"/>
      <c r="E12" s="912" t="s">
        <v>465</v>
      </c>
      <c r="F12" s="2292">
        <f>IF($U$7=0,0,S15/$U$7)</f>
        <v>0</v>
      </c>
      <c r="G12" s="910"/>
      <c r="H12" s="2292">
        <f>IF(OR($F$20=$R$6,$F$20=$U$6),CO2データ!I24,IF($F$20=$S$6,CO2データ!L24,CO2データ!O24))</f>
        <v>22.385999999999999</v>
      </c>
      <c r="I12" s="2292">
        <f>IF(OR($F$20=$R$6,$F$20=$U$6),CO2データ!J24,IF($F$20=$S$6,CO2データ!M24,CO2データ!P24))</f>
        <v>22.385999999999999</v>
      </c>
      <c r="J12" s="2293">
        <f>IF(OR($F$20=$R$6,$F$20=$U$6),CO2データ!K24,IF($F$20=$S$6,CO2データ!N24,CO2データ!Q24))</f>
        <v>22.385999999999999</v>
      </c>
      <c r="K12" s="2059">
        <f t="shared" si="1"/>
        <v>3</v>
      </c>
      <c r="L12" s="2294">
        <f t="shared" si="0"/>
        <v>22.385999999999999</v>
      </c>
      <c r="M12" s="910"/>
      <c r="N12" s="2059">
        <f t="shared" si="2"/>
        <v>3</v>
      </c>
      <c r="O12" s="2295">
        <f>IF(OR($F$20=$R$6,$F$20=$U$6),CO2データ!I19,IF($F$20=$S$6,CO2データ!L19,CO2データ!O19))</f>
        <v>22.385999999999999</v>
      </c>
      <c r="R12" s="1">
        <f>メイン!B51</f>
        <v>0</v>
      </c>
      <c r="S12" s="1">
        <f>メイン!C51</f>
        <v>0</v>
      </c>
      <c r="AA12">
        <f>重み!AB7</f>
        <v>0.27586206896551724</v>
      </c>
    </row>
    <row r="13" spans="1:27">
      <c r="B13" s="2045"/>
      <c r="C13" s="912"/>
      <c r="D13" s="912"/>
      <c r="E13" s="912" t="s">
        <v>467</v>
      </c>
      <c r="F13" s="2292">
        <f>IF($U$7=0,0,S17/$U$7)</f>
        <v>0</v>
      </c>
      <c r="G13" s="910"/>
      <c r="H13" s="2292">
        <f>IF(OR($F$20=$R$6,$F$20=$U$6),CO2データ!I30,IF($F$20=$S$6,CO2データ!L30,CO2データ!O30))</f>
        <v>22.385999999999999</v>
      </c>
      <c r="I13" s="2292">
        <f>IF(OR($F$20=$R$6,$F$20=$U$6),CO2データ!J30,IF($F$20=$S$6,CO2データ!M30,CO2データ!P30))</f>
        <v>22.385999999999999</v>
      </c>
      <c r="J13" s="2293">
        <f>IF(OR($F$20=$R$6,$F$20=$U$6),CO2データ!K30,IF($F$20=$S$6,CO2データ!N30,CO2データ!Q30))</f>
        <v>22.385999999999999</v>
      </c>
      <c r="K13" s="2059">
        <f t="shared" si="1"/>
        <v>3</v>
      </c>
      <c r="L13" s="2294">
        <f t="shared" si="0"/>
        <v>22.385999999999999</v>
      </c>
      <c r="M13" s="910"/>
      <c r="N13" s="2059">
        <f t="shared" si="2"/>
        <v>3</v>
      </c>
      <c r="O13" s="2295">
        <f>IF(OR($F$20=$R$6,$F$20=$U$6),CO2データ!I25,IF($F$20=$S$6,CO2データ!L25,CO2データ!O25))</f>
        <v>22.385999999999999</v>
      </c>
      <c r="R13" s="1">
        <f>メイン!B52</f>
        <v>0</v>
      </c>
      <c r="S13" s="1">
        <f>メイン!C52</f>
        <v>0</v>
      </c>
    </row>
    <row r="14" spans="1:27">
      <c r="B14" s="2045"/>
      <c r="C14" s="912"/>
      <c r="D14" s="912"/>
      <c r="E14" s="2047" t="s">
        <v>1966</v>
      </c>
      <c r="F14" s="2292">
        <f>IF($U$7=0,0,S18/$U$7)</f>
        <v>0.20689655172413793</v>
      </c>
      <c r="G14" s="910"/>
      <c r="H14" s="2292">
        <f>IF(OR($F$20=$R$6,$F$20=$U$6),CO2データ!I36,IF($F$20=$S$6,CO2データ!L36,CO2データ!O36))</f>
        <v>12.471</v>
      </c>
      <c r="I14" s="2292">
        <f>IF(OR($F$20=$R$6,$F$20=$U$6),CO2データ!J36,IF($F$20=$S$6,CO2データ!M36,CO2データ!P36))</f>
        <v>12.471</v>
      </c>
      <c r="J14" s="2293">
        <f>IF(OR($F$20=$R$6,$F$20=$U$6),CO2データ!K36,IF($F$20=$S$6,CO2データ!N36,CO2データ!Q36))</f>
        <v>12.471</v>
      </c>
      <c r="K14" s="2059">
        <f t="shared" si="1"/>
        <v>3</v>
      </c>
      <c r="L14" s="2294">
        <f t="shared" si="0"/>
        <v>12.471</v>
      </c>
      <c r="M14" s="910"/>
      <c r="N14" s="2059">
        <f t="shared" si="2"/>
        <v>3</v>
      </c>
      <c r="O14" s="2295">
        <f>IF(OR($F$20=$R$6,$F$20=$U$6),CO2データ!I31,IF($F$20=$S$6,CO2データ!L31,CO2データ!O31))</f>
        <v>12.471</v>
      </c>
      <c r="R14" s="1">
        <f>メイン!B53</f>
        <v>0</v>
      </c>
      <c r="S14" s="1">
        <f>メイン!C53</f>
        <v>0</v>
      </c>
    </row>
    <row r="15" spans="1:27">
      <c r="B15" s="2045"/>
      <c r="C15" s="912"/>
      <c r="D15" s="912"/>
      <c r="E15" s="2047" t="s">
        <v>477</v>
      </c>
      <c r="F15" s="2292">
        <f>IF($U$7=0,0,U21/$U$7)</f>
        <v>0</v>
      </c>
      <c r="G15" s="910"/>
      <c r="H15" s="2292">
        <f>IF(OR($F$20=$R$6,$F$20=$U$6),CO2データ!I42,IF($F$20=$S$6,CO2データ!L42,CO2データ!O42))</f>
        <v>22.5</v>
      </c>
      <c r="I15" s="2292">
        <f>IF(OR($F$20=$R$6,$F$20=$U$6),CO2データ!J42,IF($F$20=$S$6,CO2データ!M42,CO2データ!P42))</f>
        <v>22.5</v>
      </c>
      <c r="J15" s="2293">
        <f>IF(OR($F$20=$R$6,$F$20=$U$6),CO2データ!K42,IF($F$20=$S$6,CO2データ!N42,CO2データ!Q42))</f>
        <v>22.5</v>
      </c>
      <c r="K15" s="2059">
        <f t="shared" si="1"/>
        <v>3</v>
      </c>
      <c r="L15" s="2294">
        <f t="shared" si="0"/>
        <v>22.5</v>
      </c>
      <c r="M15" s="910"/>
      <c r="N15" s="2059">
        <f t="shared" si="2"/>
        <v>3</v>
      </c>
      <c r="O15" s="2295">
        <f>IF(OR($F$20=$R$6,$F$20=$U$6),CO2データ!I37,IF($F$20=$S$6,CO2データ!L37,CO2データ!O37))</f>
        <v>22.5</v>
      </c>
      <c r="R15" s="1" t="str">
        <f>メイン!B54</f>
        <v xml:space="preserve"> 物販店</v>
      </c>
      <c r="S15" s="1">
        <f>メイン!C54</f>
        <v>0</v>
      </c>
    </row>
    <row r="16" spans="1:27">
      <c r="B16" s="2045"/>
      <c r="C16" s="912"/>
      <c r="D16" s="912"/>
      <c r="E16" s="2047" t="s">
        <v>471</v>
      </c>
      <c r="F16" s="2292">
        <f>IF($U$7=0,0,S22/$U$7)</f>
        <v>0</v>
      </c>
      <c r="G16" s="910"/>
      <c r="H16" s="2292">
        <f>IF(OR($F$20=$R$6,$F$20=$U$6),CO2データ!I48,IF($F$20=$S$6,CO2データ!L48,CO2データ!O48))</f>
        <v>12.261000000000001</v>
      </c>
      <c r="I16" s="2292">
        <f>IF(OR($F$20=$R$6,$F$20=$U$6),CO2データ!J48,IF($F$20=$S$6,CO2データ!M48,CO2データ!P48))</f>
        <v>12.261000000000001</v>
      </c>
      <c r="J16" s="2293">
        <f>IF(OR($F$20=$R$6,$F$20=$U$6),CO2データ!K48,IF($F$20=$S$6,CO2データ!N48,CO2データ!Q48))</f>
        <v>12.261000000000001</v>
      </c>
      <c r="K16" s="2059">
        <f t="shared" si="1"/>
        <v>3</v>
      </c>
      <c r="L16" s="2294">
        <f t="shared" si="0"/>
        <v>12.261000000000001</v>
      </c>
      <c r="M16" s="910"/>
      <c r="N16" s="2059">
        <f t="shared" si="2"/>
        <v>3</v>
      </c>
      <c r="O16" s="2295">
        <f>IF(OR($F$20=$R$6,$F$20=$U$6),CO2データ!I43,IF($F$20=$S$6,CO2データ!L43,CO2データ!O43))</f>
        <v>12.261000000000001</v>
      </c>
      <c r="R16" s="1">
        <f>メイン!B55</f>
        <v>0</v>
      </c>
      <c r="S16" s="1">
        <f>メイン!C55</f>
        <v>0</v>
      </c>
    </row>
    <row r="17" spans="2:21">
      <c r="B17" s="2045"/>
      <c r="C17" s="912"/>
      <c r="D17" s="912"/>
      <c r="E17" s="2047" t="s">
        <v>319</v>
      </c>
      <c r="F17" s="2292">
        <f>IF($U$7=0,0,S23/$U$7)</f>
        <v>0</v>
      </c>
      <c r="G17" s="910"/>
      <c r="H17" s="2292">
        <f>IF(OR($F$20=$R$6,$F$20=$U$6),CO2データ!I54,IF($F$20=$S$6,CO2データ!L54,CO2データ!O54))</f>
        <v>12.770000000000001</v>
      </c>
      <c r="I17" s="2292">
        <f>IF(OR($F$20=$R$6,$F$20=$U$6),CO2データ!J54,IF($F$20=$S$6,CO2データ!M54,CO2データ!P54))</f>
        <v>12.770000000000001</v>
      </c>
      <c r="J17" s="2293">
        <f>IF(OR($F$20=$R$6,$F$20=$U$6),CO2データ!K54,IF($F$20=$S$6,CO2データ!N54,CO2データ!Q54))</f>
        <v>12.770000000000001</v>
      </c>
      <c r="K17" s="2059">
        <f t="shared" si="1"/>
        <v>3</v>
      </c>
      <c r="L17" s="2294">
        <f t="shared" si="0"/>
        <v>12.770000000000001</v>
      </c>
      <c r="M17" s="910"/>
      <c r="N17" s="2059">
        <f t="shared" si="2"/>
        <v>3</v>
      </c>
      <c r="O17" s="2295">
        <f>IF(OR($F$20=$R$6,$F$20=$U$6),CO2データ!I49,IF($F$20=$S$6,CO2データ!L49,CO2データ!O49))</f>
        <v>12.770000000000001</v>
      </c>
      <c r="R17" s="1" t="str">
        <f>メイン!B56</f>
        <v xml:space="preserve"> 飲食店</v>
      </c>
      <c r="S17" s="1">
        <f>メイン!C56</f>
        <v>0</v>
      </c>
    </row>
    <row r="18" spans="2:21">
      <c r="B18" s="2045"/>
      <c r="C18" s="912"/>
      <c r="D18" s="912"/>
      <c r="E18" s="2047" t="s">
        <v>1941</v>
      </c>
      <c r="F18" s="2292">
        <f>IF($U$7=0,0,S25/$U$7)</f>
        <v>0.17241379310344829</v>
      </c>
      <c r="G18" s="910"/>
      <c r="H18" s="2292">
        <f>IF(OR($F$20=$R$6,$F$20=$U$6),CO2データ!I60,IF($F$20=$S$6,CO2データ!L60,CO2データ!O60))</f>
        <v>19.619999999999997</v>
      </c>
      <c r="I18" s="2292">
        <f>IF(OR($F$20=$R$6,$F$20=$U$6),CO2データ!J60,IF($F$20=$S$6,CO2データ!M60,CO2データ!P60))</f>
        <v>9.8079999999999998</v>
      </c>
      <c r="J18" s="2293">
        <f>IF(OR($F$20=$R$6,$F$20=$U$6),CO2データ!K60,IF($F$20=$S$6,CO2データ!N60,CO2データ!Q60))</f>
        <v>6.5390000000000006</v>
      </c>
      <c r="K18" s="2059">
        <f t="shared" si="1"/>
        <v>3</v>
      </c>
      <c r="L18" s="2294">
        <f t="shared" si="0"/>
        <v>19.619999999999997</v>
      </c>
      <c r="M18" s="910"/>
      <c r="N18" s="2059">
        <f t="shared" si="2"/>
        <v>3</v>
      </c>
      <c r="O18" s="2295">
        <f>IF(OR($F$20=$R$6,$F$20=$U$6),CO2データ!I55,IF($F$20=$S$6,CO2データ!L55,CO2データ!O55))</f>
        <v>19.619999999999997</v>
      </c>
      <c r="R18" s="1" t="str">
        <f>メイン!B57</f>
        <v xml:space="preserve"> 集会所</v>
      </c>
      <c r="S18" s="1">
        <f>メイン!C57</f>
        <v>3000</v>
      </c>
    </row>
    <row r="19" spans="2:21">
      <c r="B19" s="2045"/>
      <c r="C19" s="912"/>
      <c r="D19" s="912"/>
      <c r="E19" s="912"/>
      <c r="F19" s="912"/>
      <c r="G19" s="912"/>
      <c r="H19" s="912"/>
      <c r="I19" s="2297"/>
      <c r="J19" s="2297"/>
      <c r="K19" s="2298"/>
      <c r="L19" s="2299"/>
      <c r="M19" s="910"/>
      <c r="N19" s="2298"/>
      <c r="O19" s="2300"/>
      <c r="R19" s="1">
        <f>メイン!B58</f>
        <v>0</v>
      </c>
      <c r="S19" s="1">
        <f>メイン!C58</f>
        <v>0</v>
      </c>
    </row>
    <row r="20" spans="2:21">
      <c r="B20" s="2045"/>
      <c r="C20" s="910"/>
      <c r="D20" s="910" t="s">
        <v>320</v>
      </c>
      <c r="E20" s="910"/>
      <c r="F20" s="2301" t="str">
        <f>メイン!C23</f>
        <v>RC造</v>
      </c>
      <c r="G20" s="910"/>
      <c r="H20" s="2302"/>
      <c r="I20" s="2302"/>
      <c r="J20" s="2302"/>
      <c r="K20" s="2303"/>
      <c r="L20" s="910"/>
      <c r="M20" s="910"/>
      <c r="N20" s="2303"/>
      <c r="O20" s="2304"/>
      <c r="R20" s="1">
        <f>メイン!B59</f>
        <v>0</v>
      </c>
      <c r="S20" s="1">
        <f>メイン!C59</f>
        <v>0</v>
      </c>
    </row>
    <row r="21" spans="2:21">
      <c r="B21" s="2305"/>
      <c r="C21" s="47"/>
      <c r="D21" s="47" t="s">
        <v>321</v>
      </c>
      <c r="E21" s="47"/>
      <c r="F21" s="2306">
        <f>'条件(標準)'!E31</f>
        <v>0</v>
      </c>
      <c r="G21" s="47"/>
      <c r="H21" s="47"/>
      <c r="I21" s="47"/>
      <c r="J21" s="47"/>
      <c r="K21" s="47"/>
      <c r="L21" s="47"/>
      <c r="M21" s="47"/>
      <c r="N21" s="2307">
        <v>0</v>
      </c>
      <c r="O21" s="2197"/>
      <c r="R21" s="1" t="str">
        <f>メイン!B60</f>
        <v xml:space="preserve"> 工場</v>
      </c>
      <c r="S21" s="1">
        <f>メイン!C60</f>
        <v>0</v>
      </c>
      <c r="T21" s="1" t="str">
        <f>メイン!D60</f>
        <v>㎡ うち省エネ計画書対象面積</v>
      </c>
      <c r="U21" s="1">
        <f>メイン!E60</f>
        <v>0</v>
      </c>
    </row>
    <row r="22" spans="2:21">
      <c r="B22" s="2305"/>
      <c r="C22" s="47"/>
      <c r="D22" s="47" t="s">
        <v>2402</v>
      </c>
      <c r="E22" s="47"/>
      <c r="F22" s="2306">
        <f>'条件(標準)'!E30</f>
        <v>0</v>
      </c>
      <c r="G22" s="47"/>
      <c r="H22" s="47"/>
      <c r="I22" s="47"/>
      <c r="J22" s="47"/>
      <c r="K22" s="47"/>
      <c r="L22" s="47"/>
      <c r="M22" s="47"/>
      <c r="N22" s="2307">
        <v>0</v>
      </c>
      <c r="O22" s="2197"/>
      <c r="R22" s="1" t="str">
        <f>メイン!B61</f>
        <v xml:space="preserve"> 病院</v>
      </c>
      <c r="S22" s="1">
        <f>メイン!C61</f>
        <v>0</v>
      </c>
    </row>
    <row r="23" spans="2:21" ht="5.25" customHeight="1" thickBot="1">
      <c r="B23" s="2305"/>
      <c r="C23" s="47"/>
      <c r="D23" s="47"/>
      <c r="E23" s="47"/>
      <c r="F23" s="47"/>
      <c r="G23" s="47"/>
      <c r="H23" s="47"/>
      <c r="I23" s="47"/>
      <c r="J23" s="47"/>
      <c r="K23" s="47"/>
      <c r="L23" s="47"/>
      <c r="M23" s="47"/>
      <c r="N23" s="47"/>
      <c r="O23" s="2197"/>
      <c r="R23" s="1" t="str">
        <f>メイン!B62</f>
        <v xml:space="preserve"> ホテル</v>
      </c>
      <c r="S23" s="1">
        <f>メイン!C62</f>
        <v>0</v>
      </c>
    </row>
    <row r="24" spans="2:21" ht="14.25" thickBot="1">
      <c r="B24" s="2305"/>
      <c r="C24" s="905" t="s">
        <v>2403</v>
      </c>
      <c r="D24" s="912"/>
      <c r="E24" s="910"/>
      <c r="F24" s="47"/>
      <c r="G24" s="47"/>
      <c r="H24" s="47"/>
      <c r="I24" s="47"/>
      <c r="J24" s="47"/>
      <c r="K24" s="47"/>
      <c r="L24" s="2308">
        <f>SUMPRODUCT(F10:F18,L10:L18)</f>
        <v>13.77</v>
      </c>
      <c r="M24" s="47"/>
      <c r="N24" s="47"/>
      <c r="O24" s="2308">
        <f>SUMPRODUCT(F10:F18,O10:O18)</f>
        <v>13.77</v>
      </c>
      <c r="R24" s="1" t="str">
        <f>メイン!B63</f>
        <v xml:space="preserve"> 非住宅　小計</v>
      </c>
      <c r="S24" s="1">
        <f>メイン!C63</f>
        <v>12000</v>
      </c>
    </row>
    <row r="25" spans="2:21">
      <c r="B25" s="2305"/>
      <c r="C25" s="910"/>
      <c r="D25" s="912"/>
      <c r="E25" s="2047"/>
      <c r="F25" s="47"/>
      <c r="G25" s="47"/>
      <c r="H25" s="47"/>
      <c r="I25" s="47"/>
      <c r="J25" s="47"/>
      <c r="K25" s="47"/>
      <c r="L25" s="2309"/>
      <c r="M25" s="47"/>
      <c r="N25" s="47"/>
      <c r="O25" s="2310"/>
      <c r="R25" s="1" t="str">
        <f>メイン!B64</f>
        <v xml:space="preserve"> 集合住宅</v>
      </c>
      <c r="S25" s="1">
        <f>メイン!C64</f>
        <v>2500</v>
      </c>
    </row>
    <row r="26" spans="2:21" hidden="1">
      <c r="B26" s="2305"/>
      <c r="C26" s="910" t="s">
        <v>2404</v>
      </c>
      <c r="D26" s="47"/>
      <c r="E26" s="912" t="s">
        <v>461</v>
      </c>
      <c r="F26" s="2301">
        <f>メイン!N47</f>
        <v>1</v>
      </c>
      <c r="G26" s="47"/>
      <c r="H26" s="2292">
        <f>IF(OR($F$20=$R$6,$F$20=$U$6),CO2データ!I203,IF($F$20=$S$6,CO2データ!L203,CO2データ!O203))</f>
        <v>60</v>
      </c>
      <c r="I26" s="2292">
        <f>IF(OR($F$20=$R$6,$F$20=$U$6),CO2データ!J203,IF($F$20=$S$6,CO2データ!M203,CO2データ!P203))</f>
        <v>60</v>
      </c>
      <c r="J26" s="2292">
        <f>IF(OR($F$20=$R$6,$F$20=$U$6),CO2データ!K203,IF($F$20=$S$6,CO2データ!N203,CO2データ!Q203))</f>
        <v>60</v>
      </c>
      <c r="K26" s="2311">
        <f t="shared" ref="K26:K34" si="3">K10</f>
        <v>3</v>
      </c>
      <c r="L26" s="2312">
        <f t="shared" ref="L26:L34" si="4">IF($F26=1,IF($K26&lt;4,$H26,IF($K26&lt;5,$I26,$J26)),0)</f>
        <v>60</v>
      </c>
      <c r="M26" s="47"/>
      <c r="N26" s="2059">
        <v>3</v>
      </c>
      <c r="O26" s="2313">
        <f t="shared" ref="O26:O34" si="5">IF($F26=1,IF($N26&lt;4,$H26,IF($N26&lt;5,$I26,$J26)),0)</f>
        <v>60</v>
      </c>
      <c r="R26" t="str">
        <f t="shared" ref="R26:R34" si="6">IF($F26&lt;&gt;1,"",$E26&amp;"部分"&amp;L26&amp;"年,")</f>
        <v>事務所部分60年,</v>
      </c>
      <c r="U26" t="str">
        <f t="shared" ref="U26:U34" si="7">IF($F26&lt;&gt;1,"",$E26&amp;"部分"&amp;O26&amp;"年,")</f>
        <v>事務所部分60年,</v>
      </c>
    </row>
    <row r="27" spans="2:21" hidden="1">
      <c r="B27" s="2305"/>
      <c r="C27" s="910"/>
      <c r="D27" s="47"/>
      <c r="E27" s="912" t="s">
        <v>463</v>
      </c>
      <c r="F27" s="2301">
        <f>メイン!N49</f>
        <v>2</v>
      </c>
      <c r="G27" s="47"/>
      <c r="H27" s="2292">
        <f>IF(OR($F$20=$R$6,$F$20=$U$6),CO2データ!I204,IF($F$20=$S$6,CO2データ!L204,CO2データ!O204))</f>
        <v>60</v>
      </c>
      <c r="I27" s="2292">
        <f>IF(OR($F$20=$R$6,$F$20=$U$6),CO2データ!J204,IF($F$20=$S$6,CO2データ!M204,CO2データ!P204))</f>
        <v>60</v>
      </c>
      <c r="J27" s="2292">
        <f>IF(OR($F$20=$R$6,$F$20=$U$6),CO2データ!K204,IF($F$20=$S$6,CO2データ!N204,CO2データ!Q204))</f>
        <v>60</v>
      </c>
      <c r="K27" s="2311">
        <f t="shared" si="3"/>
        <v>3</v>
      </c>
      <c r="L27" s="2312">
        <f t="shared" si="4"/>
        <v>0</v>
      </c>
      <c r="M27" s="47"/>
      <c r="N27" s="2059">
        <v>3</v>
      </c>
      <c r="O27" s="2313">
        <f t="shared" si="5"/>
        <v>0</v>
      </c>
      <c r="R27" t="str">
        <f t="shared" si="6"/>
        <v/>
      </c>
      <c r="U27" t="str">
        <f t="shared" si="7"/>
        <v/>
      </c>
    </row>
    <row r="28" spans="2:21" hidden="1">
      <c r="B28" s="2305"/>
      <c r="C28" s="910"/>
      <c r="D28" s="47"/>
      <c r="E28" s="912" t="s">
        <v>465</v>
      </c>
      <c r="F28" s="2301">
        <f>メイン!N54</f>
        <v>0</v>
      </c>
      <c r="G28" s="47"/>
      <c r="H28" s="2292">
        <f>IF(OR($F$20=$R$6,$F$20=$U$6),CO2データ!I205,IF($F$20=$S$6,CO2データ!L205,CO2データ!O205))</f>
        <v>30</v>
      </c>
      <c r="I28" s="2292">
        <f>IF(OR($F$20=$R$6,$F$20=$U$6),CO2データ!J205,IF($F$20=$S$6,CO2データ!M205,CO2データ!P205))</f>
        <v>30</v>
      </c>
      <c r="J28" s="2292">
        <f>IF(OR($F$20=$R$6,$F$20=$U$6),CO2データ!K205,IF($F$20=$S$6,CO2データ!N205,CO2データ!Q205))</f>
        <v>30</v>
      </c>
      <c r="K28" s="2311">
        <f t="shared" si="3"/>
        <v>3</v>
      </c>
      <c r="L28" s="2312">
        <f t="shared" si="4"/>
        <v>0</v>
      </c>
      <c r="M28" s="47"/>
      <c r="N28" s="2059">
        <v>3</v>
      </c>
      <c r="O28" s="2313">
        <f t="shared" si="5"/>
        <v>0</v>
      </c>
      <c r="R28" t="str">
        <f t="shared" si="6"/>
        <v/>
      </c>
      <c r="U28" t="str">
        <f t="shared" si="7"/>
        <v/>
      </c>
    </row>
    <row r="29" spans="2:21" hidden="1">
      <c r="B29" s="2305"/>
      <c r="C29" s="910"/>
      <c r="D29" s="47"/>
      <c r="E29" s="912" t="s">
        <v>467</v>
      </c>
      <c r="F29" s="2301">
        <f>メイン!N56</f>
        <v>0</v>
      </c>
      <c r="G29" s="47"/>
      <c r="H29" s="2292">
        <f>IF(OR($F$20=$R$6,$F$20=$U$6),CO2データ!I206,IF($F$20=$S$6,CO2データ!L206,CO2データ!O206))</f>
        <v>30</v>
      </c>
      <c r="I29" s="2292">
        <f>IF(OR($F$20=$R$6,$F$20=$U$6),CO2データ!J206,IF($F$20=$S$6,CO2データ!M206,CO2データ!P206))</f>
        <v>30</v>
      </c>
      <c r="J29" s="2292">
        <f>IF(OR($F$20=$R$6,$F$20=$U$6),CO2データ!K206,IF($F$20=$S$6,CO2データ!N206,CO2データ!Q206))</f>
        <v>30</v>
      </c>
      <c r="K29" s="2311">
        <f t="shared" si="3"/>
        <v>3</v>
      </c>
      <c r="L29" s="2312">
        <f t="shared" si="4"/>
        <v>0</v>
      </c>
      <c r="M29" s="47"/>
      <c r="N29" s="2059">
        <v>3</v>
      </c>
      <c r="O29" s="2313">
        <f t="shared" si="5"/>
        <v>0</v>
      </c>
      <c r="R29" t="str">
        <f t="shared" si="6"/>
        <v/>
      </c>
      <c r="U29" t="str">
        <f t="shared" si="7"/>
        <v/>
      </c>
    </row>
    <row r="30" spans="2:21" hidden="1">
      <c r="B30" s="2305"/>
      <c r="C30" s="910"/>
      <c r="D30" s="47"/>
      <c r="E30" s="2047" t="s">
        <v>1966</v>
      </c>
      <c r="F30" s="2301">
        <f>メイン!N57</f>
        <v>3</v>
      </c>
      <c r="G30" s="47"/>
      <c r="H30" s="2292">
        <f>IF(OR($F$20=$R$6,$F$20=$U$6),CO2データ!I207,IF($F$20=$S$6,CO2データ!L207,CO2データ!O207))</f>
        <v>60</v>
      </c>
      <c r="I30" s="2292">
        <f>IF(OR($F$20=$R$6,$F$20=$U$6),CO2データ!J207,IF($F$20=$S$6,CO2データ!M207,CO2データ!P207))</f>
        <v>60</v>
      </c>
      <c r="J30" s="2292">
        <f>IF(OR($F$20=$R$6,$F$20=$U$6),CO2データ!K207,IF($F$20=$S$6,CO2データ!N207,CO2データ!Q207))</f>
        <v>60</v>
      </c>
      <c r="K30" s="2311">
        <f t="shared" si="3"/>
        <v>3</v>
      </c>
      <c r="L30" s="2312">
        <f t="shared" si="4"/>
        <v>0</v>
      </c>
      <c r="M30" s="47"/>
      <c r="N30" s="2059">
        <v>3</v>
      </c>
      <c r="O30" s="2313">
        <f t="shared" si="5"/>
        <v>0</v>
      </c>
      <c r="R30" t="str">
        <f t="shared" si="6"/>
        <v/>
      </c>
      <c r="U30" t="str">
        <f t="shared" si="7"/>
        <v/>
      </c>
    </row>
    <row r="31" spans="2:21" hidden="1">
      <c r="B31" s="2305"/>
      <c r="C31" s="910"/>
      <c r="D31" s="47"/>
      <c r="E31" s="2047" t="s">
        <v>477</v>
      </c>
      <c r="F31" s="2301">
        <f>メイン!N60</f>
        <v>0</v>
      </c>
      <c r="G31" s="47"/>
      <c r="H31" s="2292">
        <f>IF(OR($F$20=$R$6,$F$20=$U$6),CO2データ!I208,IF($F$20=$S$6,CO2データ!L208,CO2データ!O208))</f>
        <v>30</v>
      </c>
      <c r="I31" s="2292">
        <f>IF(OR($F$20=$R$6,$F$20=$U$6),CO2データ!J208,IF($F$20=$S$6,CO2データ!M208,CO2データ!P208))</f>
        <v>30</v>
      </c>
      <c r="J31" s="2292">
        <f>IF(OR($F$20=$R$6,$F$20=$U$6),CO2データ!K208,IF($F$20=$S$6,CO2データ!N208,CO2データ!Q208))</f>
        <v>30</v>
      </c>
      <c r="K31" s="2311">
        <f t="shared" si="3"/>
        <v>3</v>
      </c>
      <c r="L31" s="2312">
        <f t="shared" si="4"/>
        <v>0</v>
      </c>
      <c r="M31" s="47"/>
      <c r="N31" s="2059">
        <v>3</v>
      </c>
      <c r="O31" s="2313">
        <f t="shared" si="5"/>
        <v>0</v>
      </c>
      <c r="R31" t="str">
        <f t="shared" si="6"/>
        <v/>
      </c>
      <c r="U31" t="str">
        <f t="shared" si="7"/>
        <v/>
      </c>
    </row>
    <row r="32" spans="2:21" hidden="1">
      <c r="B32" s="2305"/>
      <c r="C32" s="910"/>
      <c r="D32" s="47"/>
      <c r="E32" s="2047" t="s">
        <v>471</v>
      </c>
      <c r="F32" s="2301">
        <f>メイン!N61</f>
        <v>0</v>
      </c>
      <c r="G32" s="47"/>
      <c r="H32" s="2292">
        <f>IF(OR($F$20=$R$6,$F$20=$U$6),CO2データ!I209,IF($F$20=$S$6,CO2データ!L209,CO2データ!O209))</f>
        <v>60</v>
      </c>
      <c r="I32" s="2292">
        <f>IF(OR($F$20=$R$6,$F$20=$U$6),CO2データ!J209,IF($F$20=$S$6,CO2データ!M209,CO2データ!P209))</f>
        <v>60</v>
      </c>
      <c r="J32" s="2292">
        <f>IF(OR($F$20=$R$6,$F$20=$U$6),CO2データ!K209,IF($F$20=$S$6,CO2データ!N209,CO2データ!Q209))</f>
        <v>60</v>
      </c>
      <c r="K32" s="2311">
        <f t="shared" si="3"/>
        <v>3</v>
      </c>
      <c r="L32" s="2312">
        <f t="shared" si="4"/>
        <v>0</v>
      </c>
      <c r="M32" s="47"/>
      <c r="N32" s="2059">
        <v>3</v>
      </c>
      <c r="O32" s="2313">
        <f t="shared" si="5"/>
        <v>0</v>
      </c>
      <c r="R32" t="str">
        <f t="shared" si="6"/>
        <v/>
      </c>
      <c r="U32" t="str">
        <f t="shared" si="7"/>
        <v/>
      </c>
    </row>
    <row r="33" spans="2:21" hidden="1">
      <c r="B33" s="2305"/>
      <c r="C33" s="910"/>
      <c r="D33" s="47"/>
      <c r="E33" s="2047" t="s">
        <v>319</v>
      </c>
      <c r="F33" s="2301">
        <f>メイン!N62</f>
        <v>0</v>
      </c>
      <c r="G33" s="47"/>
      <c r="H33" s="2292">
        <f>IF(OR($F$20=$R$6,$F$20=$U$6),CO2データ!I210,IF($F$20=$S$6,CO2データ!L210,CO2データ!O210))</f>
        <v>60</v>
      </c>
      <c r="I33" s="2292">
        <f>IF(OR($F$20=$R$6,$F$20=$U$6),CO2データ!J210,IF($F$20=$S$6,CO2データ!M210,CO2データ!P210))</f>
        <v>60</v>
      </c>
      <c r="J33" s="2292">
        <f>IF(OR($F$20=$R$6,$F$20=$U$6),CO2データ!K210,IF($F$20=$S$6,CO2データ!N210,CO2データ!Q210))</f>
        <v>60</v>
      </c>
      <c r="K33" s="2311">
        <f t="shared" si="3"/>
        <v>3</v>
      </c>
      <c r="L33" s="2312">
        <f t="shared" si="4"/>
        <v>0</v>
      </c>
      <c r="M33" s="47"/>
      <c r="N33" s="2059">
        <v>3</v>
      </c>
      <c r="O33" s="2313">
        <f t="shared" si="5"/>
        <v>0</v>
      </c>
      <c r="R33" t="str">
        <f t="shared" si="6"/>
        <v/>
      </c>
      <c r="U33" t="str">
        <f t="shared" si="7"/>
        <v/>
      </c>
    </row>
    <row r="34" spans="2:21" ht="14.25" hidden="1" thickBot="1">
      <c r="B34" s="2305"/>
      <c r="C34" s="910"/>
      <c r="D34" s="47"/>
      <c r="E34" s="2047" t="s">
        <v>475</v>
      </c>
      <c r="F34" s="2301">
        <f>メイン!N64</f>
        <v>4</v>
      </c>
      <c r="G34" s="47"/>
      <c r="H34" s="2292">
        <f>IF(OR($F$20=$R$6,$F$20=$U$6),CO2データ!I211,IF($F$20=$S$6,CO2データ!L211,CO2データ!O211))</f>
        <v>30</v>
      </c>
      <c r="I34" s="2292">
        <f>IF(OR($F$20=$R$6,$F$20=$U$6),CO2データ!J211,IF($F$20=$S$6,CO2データ!M211,CO2データ!P211))</f>
        <v>60</v>
      </c>
      <c r="J34" s="2292">
        <f>IF(OR($F$20=$R$6,$F$20=$U$6),CO2データ!K211,IF($F$20=$S$6,CO2データ!N211,CO2データ!Q211))</f>
        <v>90</v>
      </c>
      <c r="K34" s="2311">
        <f t="shared" si="3"/>
        <v>3</v>
      </c>
      <c r="L34" s="2312">
        <f t="shared" si="4"/>
        <v>0</v>
      </c>
      <c r="M34" s="47"/>
      <c r="N34" s="2059">
        <v>3</v>
      </c>
      <c r="O34" s="2313">
        <f t="shared" si="5"/>
        <v>0</v>
      </c>
      <c r="R34" t="str">
        <f t="shared" si="6"/>
        <v/>
      </c>
      <c r="U34" t="str">
        <f t="shared" si="7"/>
        <v/>
      </c>
    </row>
    <row r="35" spans="2:21" ht="14.25" hidden="1" thickBot="1">
      <c r="B35" s="2305"/>
      <c r="C35" s="910"/>
      <c r="D35" s="47"/>
      <c r="E35" s="2047"/>
      <c r="F35" s="2047"/>
      <c r="G35" s="2047"/>
      <c r="H35" s="2047"/>
      <c r="I35" s="2047"/>
      <c r="J35" s="2047"/>
      <c r="K35" s="2047"/>
      <c r="L35" s="2314" t="str">
        <f>R26&amp;R27&amp;R28&amp;R29&amp;R30&amp;R31&amp;R32&amp;R33&amp;R34&amp;R35</f>
        <v>事務所部分60年,他</v>
      </c>
      <c r="M35" s="2047"/>
      <c r="N35" s="2047"/>
      <c r="O35" s="2314" t="str">
        <f>U26&amp;U27&amp;U28&amp;U29&amp;U30&amp;U31&amp;U32&amp;U33&amp;U34&amp;U35</f>
        <v>事務所部分60年,他</v>
      </c>
      <c r="R35" t="str">
        <f>IF(SUM(F26:F34)&gt;1,"他","")</f>
        <v>他</v>
      </c>
      <c r="U35" t="str">
        <f>IF(SUM(F26:F34)&gt;1,"他","")</f>
        <v>他</v>
      </c>
    </row>
    <row r="36" spans="2:21" hidden="1">
      <c r="B36" s="2305"/>
      <c r="C36" s="910"/>
      <c r="D36" s="47"/>
      <c r="E36" s="2047"/>
      <c r="F36" s="2047"/>
      <c r="G36" s="2047"/>
      <c r="H36" s="2047"/>
      <c r="I36" s="2047"/>
      <c r="J36" s="2047"/>
      <c r="K36" s="2047"/>
      <c r="L36" s="2047"/>
      <c r="M36" s="2047"/>
      <c r="N36" s="2047"/>
      <c r="O36" s="2315"/>
    </row>
    <row r="37" spans="2:21" hidden="1">
      <c r="B37" s="2316"/>
      <c r="C37" s="2317" t="s">
        <v>2405</v>
      </c>
      <c r="D37" s="2317"/>
      <c r="E37" s="2044"/>
      <c r="F37" s="2044"/>
      <c r="G37" s="2044"/>
      <c r="H37" s="2318"/>
      <c r="I37" s="913" t="s">
        <v>2406</v>
      </c>
      <c r="J37" s="913" t="s">
        <v>2407</v>
      </c>
      <c r="K37" s="2319"/>
      <c r="L37" s="2319"/>
      <c r="M37" s="2319"/>
      <c r="N37" s="2319"/>
      <c r="O37" s="2320"/>
    </row>
    <row r="38" spans="2:21" hidden="1">
      <c r="B38" s="2316"/>
      <c r="C38" s="2044"/>
      <c r="D38" s="2044" t="s">
        <v>1771</v>
      </c>
      <c r="E38" s="2044"/>
      <c r="F38" s="2292">
        <f>F10</f>
        <v>0.34482758620689657</v>
      </c>
      <c r="G38" s="2044"/>
      <c r="H38" s="2292">
        <f>IF(OR($F$20=$R$6,$F$20=$U$6),CO2データ!I214,IF($F$20=$S$6,CO2データ!L214,CO2データ!O214))</f>
        <v>0.77200000000000002</v>
      </c>
      <c r="I38" s="2292">
        <f>IF(OR($F$20=$R$6,$F$20=$U$6),CO2データ!J214,IF($F$20=$S$6,CO2データ!M214,CO2データ!P214))</f>
        <v>0</v>
      </c>
      <c r="J38" s="2292">
        <f>IF(OR($F$20=$R$6,$F$20=$U$6),CO2データ!K214,IF($F$20=$S$6,CO2データ!N214,CO2データ!Q214))</f>
        <v>0</v>
      </c>
      <c r="K38" s="2319"/>
      <c r="L38" s="2318">
        <f t="shared" ref="L38:L69" si="8">H38-(H38-I38)*$F$21-(H38-J38)*$F$22</f>
        <v>0.77200000000000002</v>
      </c>
      <c r="M38" s="2319"/>
      <c r="N38" s="2318"/>
      <c r="O38" s="2321">
        <f t="shared" ref="O38:O69" si="9">H38</f>
        <v>0.77200000000000002</v>
      </c>
      <c r="P38" t="s">
        <v>2409</v>
      </c>
    </row>
    <row r="39" spans="2:21" hidden="1">
      <c r="B39" s="2316"/>
      <c r="C39" s="2044"/>
      <c r="D39" s="2044"/>
      <c r="E39" s="2044"/>
      <c r="F39" s="2292">
        <f>$F$38</f>
        <v>0.34482758620689657</v>
      </c>
      <c r="G39" s="2044"/>
      <c r="H39" s="2292">
        <f>IF(OR($F$20=$R$6,$F$20=$U$6),CO2データ!I215,IF($F$20=$S$6,CO2データ!L215,CO2データ!O215))</f>
        <v>0</v>
      </c>
      <c r="I39" s="2292">
        <f>IF(OR($F$20=$R$6,$F$20=$U$6),CO2データ!J215,IF($F$20=$S$6,CO2データ!M215,CO2データ!P215))</f>
        <v>0</v>
      </c>
      <c r="J39" s="2292">
        <f>IF(OR($F$20=$R$6,$F$20=$U$6),CO2データ!K215,IF($F$20=$S$6,CO2データ!N215,CO2データ!Q215))</f>
        <v>0.77200000000000002</v>
      </c>
      <c r="K39" s="2319"/>
      <c r="L39" s="2318">
        <f t="shared" si="8"/>
        <v>0</v>
      </c>
      <c r="M39" s="2319"/>
      <c r="N39" s="2318"/>
      <c r="O39" s="2321">
        <f t="shared" si="9"/>
        <v>0</v>
      </c>
      <c r="P39" t="s">
        <v>2409</v>
      </c>
    </row>
    <row r="40" spans="2:21" hidden="1">
      <c r="B40" s="2316"/>
      <c r="C40" s="2044"/>
      <c r="D40" s="2044"/>
      <c r="E40" s="2044"/>
      <c r="F40" s="2292">
        <f>$F$38</f>
        <v>0.34482758620689657</v>
      </c>
      <c r="G40" s="2044"/>
      <c r="H40" s="2292">
        <f>IF(OR($F$20=$R$6,$F$20=$U$6),CO2データ!I216,IF($F$20=$S$6,CO2データ!L216,CO2データ!O216))</f>
        <v>3.7999999999999999E-2</v>
      </c>
      <c r="I40" s="2292">
        <f>IF(OR($F$20=$R$6,$F$20=$U$6),CO2データ!J216,IF($F$20=$S$6,CO2データ!M216,CO2データ!P216))</f>
        <v>0</v>
      </c>
      <c r="J40" s="2292">
        <f>IF(OR($F$20=$R$6,$F$20=$U$6),CO2データ!K216,IF($F$20=$S$6,CO2データ!N216,CO2データ!Q216))</f>
        <v>3.7999999999999999E-2</v>
      </c>
      <c r="K40" s="2319"/>
      <c r="L40" s="2318">
        <f t="shared" si="8"/>
        <v>3.7999999999999999E-2</v>
      </c>
      <c r="M40" s="2319"/>
      <c r="N40" s="2318"/>
      <c r="O40" s="2321">
        <f t="shared" si="9"/>
        <v>3.7999999999999999E-2</v>
      </c>
      <c r="P40" t="s">
        <v>2412</v>
      </c>
    </row>
    <row r="41" spans="2:21" hidden="1">
      <c r="B41" s="2316"/>
      <c r="C41" s="2044"/>
      <c r="D41" s="2044"/>
      <c r="E41" s="2044"/>
      <c r="F41" s="2292">
        <f>$F$38</f>
        <v>0.34482758620689657</v>
      </c>
      <c r="G41" s="2044"/>
      <c r="H41" s="2292">
        <f>IF(OR($F$20=$R$6,$F$20=$U$6),CO2データ!I217,IF($F$20=$S$6,CO2データ!L217,CO2データ!O217))</f>
        <v>0</v>
      </c>
      <c r="I41" s="2292">
        <f>IF(OR($F$20=$R$6,$F$20=$U$6),CO2データ!J217,IF($F$20=$S$6,CO2データ!M217,CO2データ!P217))</f>
        <v>0</v>
      </c>
      <c r="J41" s="2292">
        <f>IF(OR($F$20=$R$6,$F$20=$U$6),CO2データ!K217,IF($F$20=$S$6,CO2データ!N217,CO2データ!Q217))</f>
        <v>0</v>
      </c>
      <c r="K41" s="2319"/>
      <c r="L41" s="2318">
        <f t="shared" si="8"/>
        <v>0</v>
      </c>
      <c r="M41" s="2319"/>
      <c r="N41" s="2318"/>
      <c r="O41" s="2321">
        <f t="shared" si="9"/>
        <v>0</v>
      </c>
      <c r="P41" t="s">
        <v>2412</v>
      </c>
    </row>
    <row r="42" spans="2:21" hidden="1">
      <c r="B42" s="2316"/>
      <c r="C42" s="2044"/>
      <c r="D42" s="2044"/>
      <c r="E42" s="2044"/>
      <c r="F42" s="2292">
        <f>$F$38</f>
        <v>0.34482758620689657</v>
      </c>
      <c r="G42" s="2044"/>
      <c r="H42" s="2292">
        <f>IF(OR($F$20=$R$6,$F$20=$U$6),CO2データ!I218,IF($F$20=$S$6,CO2データ!L218,CO2データ!O218))</f>
        <v>0.10299999999999999</v>
      </c>
      <c r="I42" s="2292">
        <f>IF(OR($F$20=$R$6,$F$20=$U$6),CO2データ!J218,IF($F$20=$S$6,CO2データ!M218,CO2データ!P218))</f>
        <v>0</v>
      </c>
      <c r="J42" s="2292">
        <f>IF(OR($F$20=$R$6,$F$20=$U$6),CO2データ!K218,IF($F$20=$S$6,CO2データ!N218,CO2データ!Q218))</f>
        <v>0.10299999999999999</v>
      </c>
      <c r="K42" s="2319"/>
      <c r="L42" s="2318">
        <f t="shared" si="8"/>
        <v>0.10299999999999999</v>
      </c>
      <c r="M42" s="2319"/>
      <c r="N42" s="2318"/>
      <c r="O42" s="2321">
        <f t="shared" si="9"/>
        <v>0.10299999999999999</v>
      </c>
      <c r="P42" t="s">
        <v>2412</v>
      </c>
    </row>
    <row r="43" spans="2:21" hidden="1">
      <c r="B43" s="2316"/>
      <c r="C43" s="2044"/>
      <c r="D43" s="2044"/>
      <c r="E43" s="2044"/>
      <c r="F43" s="2292">
        <f>$F$38</f>
        <v>0.34482758620689657</v>
      </c>
      <c r="G43" s="2044"/>
      <c r="H43" s="2292">
        <f>IF(OR($F$20=$R$6,$F$20=$U$6),CO2データ!I219,IF($F$20=$S$6,CO2データ!L219,CO2データ!O219))</f>
        <v>1.2999999999999999E-2</v>
      </c>
      <c r="I43" s="2292">
        <f>IF(OR($F$20=$R$6,$F$20=$U$6),CO2データ!J219,IF($F$20=$S$6,CO2データ!M219,CO2データ!P219))</f>
        <v>0</v>
      </c>
      <c r="J43" s="2292">
        <f>IF(OR($F$20=$R$6,$F$20=$U$6),CO2データ!K219,IF($F$20=$S$6,CO2データ!N219,CO2データ!Q219))</f>
        <v>1.26E-2</v>
      </c>
      <c r="K43" s="2319"/>
      <c r="L43" s="2318">
        <f t="shared" si="8"/>
        <v>1.2999999999999999E-2</v>
      </c>
      <c r="M43" s="2319"/>
      <c r="N43" s="2318"/>
      <c r="O43" s="2321">
        <f t="shared" si="9"/>
        <v>1.2999999999999999E-2</v>
      </c>
      <c r="P43" t="s">
        <v>2412</v>
      </c>
    </row>
    <row r="44" spans="2:21" hidden="1">
      <c r="B44" s="2316"/>
      <c r="C44" s="2044"/>
      <c r="D44" s="2044" t="s">
        <v>1772</v>
      </c>
      <c r="E44" s="2044"/>
      <c r="F44" s="2292">
        <f>F11</f>
        <v>0.27586206896551724</v>
      </c>
      <c r="G44" s="2044"/>
      <c r="H44" s="2292">
        <f>IF(OR($F$20=$R$6,$F$20=$U$6),CO2データ!I220,IF($F$20=$S$6,CO2データ!L220,CO2データ!O220))</f>
        <v>0.86499999999999999</v>
      </c>
      <c r="I44" s="2292">
        <f>IF(OR($F$20=$R$6,$F$20=$U$6),CO2データ!J220,IF($F$20=$S$6,CO2データ!M220,CO2データ!P220))</f>
        <v>0</v>
      </c>
      <c r="J44" s="2292">
        <f>IF(OR($F$20=$R$6,$F$20=$U$6),CO2データ!K220,IF($F$20=$S$6,CO2データ!N220,CO2データ!Q220))</f>
        <v>0</v>
      </c>
      <c r="K44" s="2319"/>
      <c r="L44" s="2318">
        <f t="shared" si="8"/>
        <v>0.86499999999999999</v>
      </c>
      <c r="M44" s="2319"/>
      <c r="N44" s="2318"/>
      <c r="O44" s="2321">
        <f t="shared" si="9"/>
        <v>0.86499999999999999</v>
      </c>
      <c r="P44" t="s">
        <v>2409</v>
      </c>
    </row>
    <row r="45" spans="2:21" hidden="1">
      <c r="B45" s="2316"/>
      <c r="C45" s="2044"/>
      <c r="D45" s="2044"/>
      <c r="E45" s="2044"/>
      <c r="F45" s="2292">
        <f>$F$44</f>
        <v>0.27586206896551724</v>
      </c>
      <c r="G45" s="2044"/>
      <c r="H45" s="2292">
        <f>IF(OR($F$20=$R$6,$F$20=$U$6),CO2データ!I221,IF($F$20=$S$6,CO2データ!L221,CO2データ!O221))</f>
        <v>0</v>
      </c>
      <c r="I45" s="2292">
        <f>IF(OR($F$20=$R$6,$F$20=$U$6),CO2データ!J221,IF($F$20=$S$6,CO2データ!M221,CO2データ!P221))</f>
        <v>0</v>
      </c>
      <c r="J45" s="2292">
        <f>IF(OR($F$20=$R$6,$F$20=$U$6),CO2データ!K221,IF($F$20=$S$6,CO2データ!N221,CO2データ!Q221))</f>
        <v>0.86499999999999999</v>
      </c>
      <c r="K45" s="2319"/>
      <c r="L45" s="2318">
        <f t="shared" si="8"/>
        <v>0</v>
      </c>
      <c r="M45" s="2319"/>
      <c r="N45" s="2318"/>
      <c r="O45" s="2321">
        <f t="shared" si="9"/>
        <v>0</v>
      </c>
      <c r="P45" t="s">
        <v>2409</v>
      </c>
    </row>
    <row r="46" spans="2:21" hidden="1">
      <c r="B46" s="2316"/>
      <c r="C46" s="2044"/>
      <c r="D46" s="2044"/>
      <c r="E46" s="2044"/>
      <c r="F46" s="2292">
        <f>$F$44</f>
        <v>0.27586206896551724</v>
      </c>
      <c r="G46" s="2044"/>
      <c r="H46" s="2292">
        <f>IF(OR($F$20=$R$6,$F$20=$U$6),CO2データ!I222,IF($F$20=$S$6,CO2データ!L222,CO2データ!O222))</f>
        <v>5.0000000000000001E-3</v>
      </c>
      <c r="I46" s="2292">
        <f>IF(OR($F$20=$R$6,$F$20=$U$6),CO2データ!J222,IF($F$20=$S$6,CO2データ!M222,CO2データ!P222))</f>
        <v>0</v>
      </c>
      <c r="J46" s="2292">
        <f>IF(OR($F$20=$R$6,$F$20=$U$6),CO2データ!K222,IF($F$20=$S$6,CO2データ!N222,CO2データ!Q222))</f>
        <v>5.0000000000000001E-3</v>
      </c>
      <c r="K46" s="2319"/>
      <c r="L46" s="2318">
        <f t="shared" si="8"/>
        <v>5.0000000000000001E-3</v>
      </c>
      <c r="M46" s="2319"/>
      <c r="N46" s="2318"/>
      <c r="O46" s="2321">
        <f t="shared" si="9"/>
        <v>5.0000000000000001E-3</v>
      </c>
      <c r="P46" t="s">
        <v>2412</v>
      </c>
    </row>
    <row r="47" spans="2:21" hidden="1">
      <c r="B47" s="2316"/>
      <c r="C47" s="2044"/>
      <c r="D47" s="2044"/>
      <c r="E47" s="2044"/>
      <c r="F47" s="2292">
        <f>$F$44</f>
        <v>0.27586206896551724</v>
      </c>
      <c r="G47" s="2044"/>
      <c r="H47" s="2292">
        <f>IF(OR($F$20=$R$6,$F$20=$U$6),CO2データ!I223,IF($F$20=$S$6,CO2データ!L223,CO2データ!O223))</f>
        <v>0</v>
      </c>
      <c r="I47" s="2292">
        <f>IF(OR($F$20=$R$6,$F$20=$U$6),CO2データ!J223,IF($F$20=$S$6,CO2データ!M223,CO2データ!P223))</f>
        <v>0</v>
      </c>
      <c r="J47" s="2292">
        <f>IF(OR($F$20=$R$6,$F$20=$U$6),CO2データ!K223,IF($F$20=$S$6,CO2データ!N223,CO2データ!Q223))</f>
        <v>0</v>
      </c>
      <c r="K47" s="2319"/>
      <c r="L47" s="2318">
        <f t="shared" si="8"/>
        <v>0</v>
      </c>
      <c r="M47" s="2319"/>
      <c r="N47" s="2318"/>
      <c r="O47" s="2321">
        <f t="shared" si="9"/>
        <v>0</v>
      </c>
      <c r="P47" t="s">
        <v>2412</v>
      </c>
    </row>
    <row r="48" spans="2:21" hidden="1">
      <c r="B48" s="2316"/>
      <c r="C48" s="2044"/>
      <c r="D48" s="2044"/>
      <c r="E48" s="2044"/>
      <c r="F48" s="2292">
        <f>$F$44</f>
        <v>0.27586206896551724</v>
      </c>
      <c r="G48" s="2044"/>
      <c r="H48" s="2292">
        <f>IF(OR($F$20=$R$6,$F$20=$U$6),CO2データ!I224,IF($F$20=$S$6,CO2データ!L224,CO2データ!O224))</f>
        <v>0.112</v>
      </c>
      <c r="I48" s="2292">
        <f>IF(OR($F$20=$R$6,$F$20=$U$6),CO2データ!J224,IF($F$20=$S$6,CO2データ!M224,CO2データ!P224))</f>
        <v>0</v>
      </c>
      <c r="J48" s="2292">
        <f>IF(OR($F$20=$R$6,$F$20=$U$6),CO2データ!K224,IF($F$20=$S$6,CO2データ!N224,CO2データ!Q224))</f>
        <v>0.112</v>
      </c>
      <c r="K48" s="2319"/>
      <c r="L48" s="2318">
        <f t="shared" si="8"/>
        <v>0.112</v>
      </c>
      <c r="M48" s="2319"/>
      <c r="N48" s="2318"/>
      <c r="O48" s="2321">
        <f t="shared" si="9"/>
        <v>0.112</v>
      </c>
      <c r="P48" t="s">
        <v>2412</v>
      </c>
    </row>
    <row r="49" spans="2:16" hidden="1">
      <c r="B49" s="2316"/>
      <c r="C49" s="2044"/>
      <c r="D49" s="2044"/>
      <c r="E49" s="2044"/>
      <c r="F49" s="2292">
        <f>$F$44</f>
        <v>0.27586206896551724</v>
      </c>
      <c r="G49" s="2044"/>
      <c r="H49" s="2292">
        <f>IF(OR($F$20=$R$6,$F$20=$U$6),CO2データ!I225,IF($F$20=$S$6,CO2データ!L225,CO2データ!O225))</f>
        <v>1.4999999999999999E-2</v>
      </c>
      <c r="I49" s="2292">
        <f>IF(OR($F$20=$R$6,$F$20=$U$6),CO2データ!J225,IF($F$20=$S$6,CO2データ!M225,CO2データ!P225))</f>
        <v>0</v>
      </c>
      <c r="J49" s="2292">
        <f>IF(OR($F$20=$R$6,$F$20=$U$6),CO2データ!K225,IF($F$20=$S$6,CO2データ!N225,CO2データ!Q225))</f>
        <v>1.47E-2</v>
      </c>
      <c r="K49" s="2319"/>
      <c r="L49" s="2318">
        <f t="shared" si="8"/>
        <v>1.4999999999999999E-2</v>
      </c>
      <c r="M49" s="2319"/>
      <c r="N49" s="2318"/>
      <c r="O49" s="2321">
        <f t="shared" si="9"/>
        <v>1.4999999999999999E-2</v>
      </c>
      <c r="P49" t="s">
        <v>2412</v>
      </c>
    </row>
    <row r="50" spans="2:16" hidden="1">
      <c r="B50" s="2316"/>
      <c r="C50" s="2044"/>
      <c r="D50" s="2044" t="s">
        <v>1963</v>
      </c>
      <c r="E50" s="2044"/>
      <c r="F50" s="2292">
        <f>F12</f>
        <v>0</v>
      </c>
      <c r="G50" s="2044"/>
      <c r="H50" s="2292">
        <f>IF(OR($F$20=$R$6,$F$20=$U$6),CO2データ!I226,IF($F$20=$S$6,CO2データ!L226,CO2データ!O226))</f>
        <v>0.88800000000000001</v>
      </c>
      <c r="I50" s="2292">
        <f>IF(OR($F$20=$R$6,$F$20=$U$6),CO2データ!J226,IF($F$20=$S$6,CO2データ!M226,CO2データ!P226))</f>
        <v>0</v>
      </c>
      <c r="J50" s="2292">
        <f>IF(OR($F$20=$R$6,$F$20=$U$6),CO2データ!K226,IF($F$20=$S$6,CO2データ!N226,CO2データ!Q226))</f>
        <v>0</v>
      </c>
      <c r="K50" s="2319"/>
      <c r="L50" s="2318">
        <f t="shared" si="8"/>
        <v>0.88800000000000001</v>
      </c>
      <c r="M50" s="2319"/>
      <c r="N50" s="2318"/>
      <c r="O50" s="2321">
        <f t="shared" si="9"/>
        <v>0.88800000000000001</v>
      </c>
      <c r="P50" t="s">
        <v>1942</v>
      </c>
    </row>
    <row r="51" spans="2:16" hidden="1">
      <c r="B51" s="2316"/>
      <c r="C51" s="2044"/>
      <c r="D51" s="2044"/>
      <c r="E51" s="2044"/>
      <c r="F51" s="2292">
        <f>$F$50</f>
        <v>0</v>
      </c>
      <c r="G51" s="2044"/>
      <c r="H51" s="2292">
        <f>IF(OR($F$20=$R$6,$F$20=$U$6),CO2データ!I227,IF($F$20=$S$6,CO2データ!L227,CO2データ!O227))</f>
        <v>0</v>
      </c>
      <c r="I51" s="2292">
        <f>IF(OR($F$20=$R$6,$F$20=$U$6),CO2データ!J227,IF($F$20=$S$6,CO2データ!M227,CO2データ!P227))</f>
        <v>0</v>
      </c>
      <c r="J51" s="2292">
        <f>IF(OR($F$20=$R$6,$F$20=$U$6),CO2データ!K227,IF($F$20=$S$6,CO2データ!N227,CO2データ!Q227))</f>
        <v>0.88800000000000001</v>
      </c>
      <c r="K51" s="2319"/>
      <c r="L51" s="2318">
        <f t="shared" si="8"/>
        <v>0</v>
      </c>
      <c r="M51" s="2319"/>
      <c r="N51" s="2318"/>
      <c r="O51" s="2321">
        <f t="shared" si="9"/>
        <v>0</v>
      </c>
      <c r="P51" t="s">
        <v>2409</v>
      </c>
    </row>
    <row r="52" spans="2:16" hidden="1">
      <c r="B52" s="2316"/>
      <c r="C52" s="2044"/>
      <c r="D52" s="2044"/>
      <c r="E52" s="2044"/>
      <c r="F52" s="2292">
        <f>$F$50</f>
        <v>0</v>
      </c>
      <c r="G52" s="2044"/>
      <c r="H52" s="2292">
        <f>IF(OR($F$20=$R$6,$F$20=$U$6),CO2データ!I228,IF($F$20=$S$6,CO2データ!L228,CO2データ!O228))</f>
        <v>1.7000000000000001E-2</v>
      </c>
      <c r="I52" s="2292">
        <f>IF(OR($F$20=$R$6,$F$20=$U$6),CO2データ!J228,IF($F$20=$S$6,CO2データ!M228,CO2データ!P228))</f>
        <v>0</v>
      </c>
      <c r="J52" s="2292">
        <f>IF(OR($F$20=$R$6,$F$20=$U$6),CO2データ!K228,IF($F$20=$S$6,CO2データ!N228,CO2データ!Q228))</f>
        <v>1.7000000000000001E-2</v>
      </c>
      <c r="K52" s="2319"/>
      <c r="L52" s="2318">
        <f t="shared" si="8"/>
        <v>1.7000000000000001E-2</v>
      </c>
      <c r="M52" s="2319"/>
      <c r="N52" s="2318"/>
      <c r="O52" s="2321">
        <f t="shared" si="9"/>
        <v>1.7000000000000001E-2</v>
      </c>
      <c r="P52" t="s">
        <v>2412</v>
      </c>
    </row>
    <row r="53" spans="2:16" hidden="1">
      <c r="B53" s="2316"/>
      <c r="C53" s="2044"/>
      <c r="D53" s="2044"/>
      <c r="E53" s="2044"/>
      <c r="F53" s="2292">
        <f>$F$50</f>
        <v>0</v>
      </c>
      <c r="G53" s="2044"/>
      <c r="H53" s="2292">
        <f>IF(OR($F$20=$R$6,$F$20=$U$6),CO2データ!I229,IF($F$20=$S$6,CO2データ!L229,CO2データ!O229))</f>
        <v>0</v>
      </c>
      <c r="I53" s="2292">
        <f>IF(OR($F$20=$R$6,$F$20=$U$6),CO2データ!J229,IF($F$20=$S$6,CO2データ!M229,CO2データ!P229))</f>
        <v>0</v>
      </c>
      <c r="J53" s="2292">
        <f>IF(OR($F$20=$R$6,$F$20=$U$6),CO2データ!K229,IF($F$20=$S$6,CO2データ!N229,CO2データ!Q229))</f>
        <v>0</v>
      </c>
      <c r="K53" s="2319"/>
      <c r="L53" s="2318">
        <f t="shared" si="8"/>
        <v>0</v>
      </c>
      <c r="M53" s="2319"/>
      <c r="N53" s="2318"/>
      <c r="O53" s="2321">
        <f t="shared" si="9"/>
        <v>0</v>
      </c>
      <c r="P53" t="s">
        <v>2412</v>
      </c>
    </row>
    <row r="54" spans="2:16" hidden="1">
      <c r="B54" s="2316"/>
      <c r="C54" s="2044"/>
      <c r="D54" s="2044"/>
      <c r="E54" s="2044"/>
      <c r="F54" s="2292">
        <f>$F$50</f>
        <v>0</v>
      </c>
      <c r="G54" s="2044"/>
      <c r="H54" s="2292">
        <f>IF(OR($F$20=$R$6,$F$20=$U$6),CO2データ!I230,IF($F$20=$S$6,CO2データ!L230,CO2データ!O230))</f>
        <v>0.11799999999999999</v>
      </c>
      <c r="I54" s="2292">
        <f>IF(OR($F$20=$R$6,$F$20=$U$6),CO2データ!J230,IF($F$20=$S$6,CO2データ!M230,CO2データ!P230))</f>
        <v>0</v>
      </c>
      <c r="J54" s="2292">
        <f>IF(OR($F$20=$R$6,$F$20=$U$6),CO2データ!K230,IF($F$20=$S$6,CO2データ!N230,CO2データ!Q230))</f>
        <v>0.11799999999999999</v>
      </c>
      <c r="K54" s="2319"/>
      <c r="L54" s="2318">
        <f t="shared" si="8"/>
        <v>0.11799999999999999</v>
      </c>
      <c r="M54" s="2319"/>
      <c r="N54" s="2318"/>
      <c r="O54" s="2321">
        <f t="shared" si="9"/>
        <v>0.11799999999999999</v>
      </c>
      <c r="P54" t="s">
        <v>2412</v>
      </c>
    </row>
    <row r="55" spans="2:16" hidden="1">
      <c r="B55" s="2316"/>
      <c r="C55" s="2044"/>
      <c r="D55" s="2044"/>
      <c r="E55" s="2044"/>
      <c r="F55" s="2292">
        <f>$F$50</f>
        <v>0</v>
      </c>
      <c r="G55" s="2044"/>
      <c r="H55" s="2292">
        <f>IF(OR($F$20=$R$6,$F$20=$U$6),CO2データ!I231,IF($F$20=$S$6,CO2データ!L231,CO2データ!O231))</f>
        <v>1.4999999999999999E-2</v>
      </c>
      <c r="I55" s="2292">
        <f>IF(OR($F$20=$R$6,$F$20=$U$6),CO2データ!J231,IF($F$20=$S$6,CO2データ!M231,CO2データ!P231))</f>
        <v>0</v>
      </c>
      <c r="J55" s="2292">
        <f>IF(OR($F$20=$R$6,$F$20=$U$6),CO2データ!K231,IF($F$20=$S$6,CO2データ!N231,CO2データ!Q231))</f>
        <v>1.4800000000000001E-2</v>
      </c>
      <c r="K55" s="2319"/>
      <c r="L55" s="2318">
        <f t="shared" si="8"/>
        <v>1.4999999999999999E-2</v>
      </c>
      <c r="M55" s="2319"/>
      <c r="N55" s="2318"/>
      <c r="O55" s="2321">
        <f t="shared" si="9"/>
        <v>1.4999999999999999E-2</v>
      </c>
      <c r="P55" t="s">
        <v>2412</v>
      </c>
    </row>
    <row r="56" spans="2:16" hidden="1">
      <c r="B56" s="2316"/>
      <c r="C56" s="2044"/>
      <c r="D56" s="2044" t="s">
        <v>2073</v>
      </c>
      <c r="E56" s="2044"/>
      <c r="F56" s="2292">
        <f>F13</f>
        <v>0</v>
      </c>
      <c r="G56" s="2044"/>
      <c r="H56" s="2292">
        <f>IF(OR($F$20=$R$6,$F$20=$U$6),CO2データ!I232,IF($F$20=$S$6,CO2データ!L232,CO2データ!O232))</f>
        <v>0.88800000000000001</v>
      </c>
      <c r="I56" s="2292">
        <f>IF(OR($F$20=$R$6,$F$20=$U$6),CO2データ!J232,IF($F$20=$S$6,CO2データ!M232,CO2データ!P232))</f>
        <v>0</v>
      </c>
      <c r="J56" s="2292">
        <f>IF(OR($F$20=$R$6,$F$20=$U$6),CO2データ!K232,IF($F$20=$S$6,CO2データ!N232,CO2データ!Q232))</f>
        <v>0</v>
      </c>
      <c r="K56" s="2319"/>
      <c r="L56" s="2318">
        <f t="shared" si="8"/>
        <v>0.88800000000000001</v>
      </c>
      <c r="M56" s="2319"/>
      <c r="N56" s="2318"/>
      <c r="O56" s="2321">
        <f t="shared" si="9"/>
        <v>0.88800000000000001</v>
      </c>
      <c r="P56" t="s">
        <v>2409</v>
      </c>
    </row>
    <row r="57" spans="2:16" hidden="1">
      <c r="B57" s="2316"/>
      <c r="C57" s="2044"/>
      <c r="D57" s="2044"/>
      <c r="E57" s="2044"/>
      <c r="F57" s="2292">
        <f>$F$56</f>
        <v>0</v>
      </c>
      <c r="G57" s="2044"/>
      <c r="H57" s="2292">
        <f>IF(OR($F$20=$R$6,$F$20=$U$6),CO2データ!I233,IF($F$20=$S$6,CO2データ!L233,CO2データ!O233))</f>
        <v>0</v>
      </c>
      <c r="I57" s="2292">
        <f>IF(OR($F$20=$R$6,$F$20=$U$6),CO2データ!J233,IF($F$20=$S$6,CO2データ!M233,CO2データ!P233))</f>
        <v>0</v>
      </c>
      <c r="J57" s="2292">
        <f>IF(OR($F$20=$R$6,$F$20=$U$6),CO2データ!K233,IF($F$20=$S$6,CO2データ!N233,CO2データ!Q233))</f>
        <v>0.88800000000000001</v>
      </c>
      <c r="K57" s="2319"/>
      <c r="L57" s="2318">
        <f t="shared" si="8"/>
        <v>0</v>
      </c>
      <c r="M57" s="2319"/>
      <c r="N57" s="2318"/>
      <c r="O57" s="2321">
        <f t="shared" si="9"/>
        <v>0</v>
      </c>
      <c r="P57" t="s">
        <v>2409</v>
      </c>
    </row>
    <row r="58" spans="2:16" hidden="1">
      <c r="B58" s="2316"/>
      <c r="C58" s="2044"/>
      <c r="D58" s="2044"/>
      <c r="E58" s="2044"/>
      <c r="F58" s="2292">
        <f>$F$56</f>
        <v>0</v>
      </c>
      <c r="G58" s="2044"/>
      <c r="H58" s="2292">
        <f>IF(OR($F$20=$R$6,$F$20=$U$6),CO2データ!I234,IF($F$20=$S$6,CO2データ!L234,CO2データ!O234))</f>
        <v>1.7000000000000001E-2</v>
      </c>
      <c r="I58" s="2292">
        <f>IF(OR($F$20=$R$6,$F$20=$U$6),CO2データ!J234,IF($F$20=$S$6,CO2データ!M234,CO2データ!P234))</f>
        <v>0</v>
      </c>
      <c r="J58" s="2292">
        <f>IF(OR($F$20=$R$6,$F$20=$U$6),CO2データ!K234,IF($F$20=$S$6,CO2データ!N234,CO2データ!Q234))</f>
        <v>1.7000000000000001E-2</v>
      </c>
      <c r="K58" s="2319"/>
      <c r="L58" s="2318">
        <f t="shared" si="8"/>
        <v>1.7000000000000001E-2</v>
      </c>
      <c r="M58" s="2319"/>
      <c r="N58" s="2318"/>
      <c r="O58" s="2321">
        <f t="shared" si="9"/>
        <v>1.7000000000000001E-2</v>
      </c>
      <c r="P58" t="s">
        <v>2412</v>
      </c>
    </row>
    <row r="59" spans="2:16" hidden="1">
      <c r="B59" s="2316"/>
      <c r="C59" s="2044"/>
      <c r="D59" s="2044"/>
      <c r="E59" s="2044"/>
      <c r="F59" s="2292">
        <f>$F$56</f>
        <v>0</v>
      </c>
      <c r="G59" s="2044"/>
      <c r="H59" s="2292">
        <f>IF(OR($F$20=$R$6,$F$20=$U$6),CO2データ!I235,IF($F$20=$S$6,CO2データ!L235,CO2データ!O235))</f>
        <v>0</v>
      </c>
      <c r="I59" s="2292">
        <f>IF(OR($F$20=$R$6,$F$20=$U$6),CO2データ!J235,IF($F$20=$S$6,CO2データ!M235,CO2データ!P235))</f>
        <v>0</v>
      </c>
      <c r="J59" s="2292">
        <f>IF(OR($F$20=$R$6,$F$20=$U$6),CO2データ!K235,IF($F$20=$S$6,CO2データ!N235,CO2データ!Q235))</f>
        <v>0</v>
      </c>
      <c r="K59" s="2319"/>
      <c r="L59" s="2318">
        <f t="shared" si="8"/>
        <v>0</v>
      </c>
      <c r="M59" s="2319"/>
      <c r="N59" s="2318"/>
      <c r="O59" s="2321">
        <f t="shared" si="9"/>
        <v>0</v>
      </c>
      <c r="P59" t="s">
        <v>2412</v>
      </c>
    </row>
    <row r="60" spans="2:16" hidden="1">
      <c r="B60" s="2316"/>
      <c r="C60" s="2044"/>
      <c r="D60" s="2044"/>
      <c r="E60" s="2044"/>
      <c r="F60" s="2292">
        <f>$F$56</f>
        <v>0</v>
      </c>
      <c r="G60" s="2044"/>
      <c r="H60" s="2292">
        <f>IF(OR($F$20=$R$6,$F$20=$U$6),CO2データ!I236,IF($F$20=$S$6,CO2データ!L236,CO2データ!O236))</f>
        <v>0.11799999999999999</v>
      </c>
      <c r="I60" s="2292">
        <f>IF(OR($F$20=$R$6,$F$20=$U$6),CO2データ!J236,IF($F$20=$S$6,CO2データ!M236,CO2データ!P236))</f>
        <v>0</v>
      </c>
      <c r="J60" s="2292">
        <f>IF(OR($F$20=$R$6,$F$20=$U$6),CO2データ!K236,IF($F$20=$S$6,CO2データ!N236,CO2データ!Q236))</f>
        <v>0.11799999999999999</v>
      </c>
      <c r="K60" s="2319"/>
      <c r="L60" s="2318">
        <f t="shared" si="8"/>
        <v>0.11799999999999999</v>
      </c>
      <c r="M60" s="2319"/>
      <c r="N60" s="2318"/>
      <c r="O60" s="2321">
        <f t="shared" si="9"/>
        <v>0.11799999999999999</v>
      </c>
      <c r="P60" t="s">
        <v>2412</v>
      </c>
    </row>
    <row r="61" spans="2:16" hidden="1">
      <c r="B61" s="2316"/>
      <c r="C61" s="2044"/>
      <c r="D61" s="2044"/>
      <c r="E61" s="2044"/>
      <c r="F61" s="2292">
        <f>$F$56</f>
        <v>0</v>
      </c>
      <c r="G61" s="2044"/>
      <c r="H61" s="2292">
        <f>IF(OR($F$20=$R$6,$F$20=$U$6),CO2データ!I237,IF($F$20=$S$6,CO2データ!L237,CO2データ!O237))</f>
        <v>1.4999999999999999E-2</v>
      </c>
      <c r="I61" s="2292">
        <f>IF(OR($F$20=$R$6,$F$20=$U$6),CO2データ!J237,IF($F$20=$S$6,CO2データ!M237,CO2データ!P237))</f>
        <v>0</v>
      </c>
      <c r="J61" s="2292">
        <f>IF(OR($F$20=$R$6,$F$20=$U$6),CO2データ!K237,IF($F$20=$S$6,CO2データ!N237,CO2データ!Q237))</f>
        <v>1.4800000000000001E-2</v>
      </c>
      <c r="K61" s="2319"/>
      <c r="L61" s="2318">
        <f t="shared" si="8"/>
        <v>1.4999999999999999E-2</v>
      </c>
      <c r="M61" s="2319"/>
      <c r="N61" s="2318"/>
      <c r="O61" s="2321">
        <f t="shared" si="9"/>
        <v>1.4999999999999999E-2</v>
      </c>
      <c r="P61" t="s">
        <v>2412</v>
      </c>
    </row>
    <row r="62" spans="2:16" hidden="1">
      <c r="B62" s="2316"/>
      <c r="C62" s="2044"/>
      <c r="D62" s="2044" t="s">
        <v>1965</v>
      </c>
      <c r="E62" s="2044"/>
      <c r="F62" s="2292">
        <f>F14</f>
        <v>0.20689655172413793</v>
      </c>
      <c r="G62" s="2044"/>
      <c r="H62" s="2292">
        <f>IF(OR($F$20=$R$6,$F$20=$U$6),CO2データ!I238,IF($F$20=$S$6,CO2データ!L238,CO2データ!O238))</f>
        <v>0.88800000000000001</v>
      </c>
      <c r="I62" s="2292">
        <f>IF(OR($F$20=$R$6,$F$20=$U$6),CO2データ!J238,IF($F$20=$S$6,CO2データ!M238,CO2データ!P238))</f>
        <v>0</v>
      </c>
      <c r="J62" s="2292">
        <f>IF(OR($F$20=$R$6,$F$20=$U$6),CO2データ!K238,IF($F$20=$S$6,CO2データ!N238,CO2データ!Q238))</f>
        <v>0</v>
      </c>
      <c r="K62" s="2319"/>
      <c r="L62" s="2318">
        <f t="shared" si="8"/>
        <v>0.88800000000000001</v>
      </c>
      <c r="M62" s="2319"/>
      <c r="N62" s="2318"/>
      <c r="O62" s="2321">
        <f t="shared" si="9"/>
        <v>0.88800000000000001</v>
      </c>
      <c r="P62" t="s">
        <v>2409</v>
      </c>
    </row>
    <row r="63" spans="2:16" hidden="1">
      <c r="B63" s="2316"/>
      <c r="C63" s="2044"/>
      <c r="D63" s="2044"/>
      <c r="E63" s="2044"/>
      <c r="F63" s="2292">
        <f>$F$62</f>
        <v>0.20689655172413793</v>
      </c>
      <c r="G63" s="2044"/>
      <c r="H63" s="2292">
        <f>IF(OR($F$20=$R$6,$F$20=$U$6),CO2データ!I239,IF($F$20=$S$6,CO2データ!L239,CO2データ!O239))</f>
        <v>0</v>
      </c>
      <c r="I63" s="2292">
        <f>IF(OR($F$20=$R$6,$F$20=$U$6),CO2データ!J239,IF($F$20=$S$6,CO2データ!M239,CO2データ!P239))</f>
        <v>0</v>
      </c>
      <c r="J63" s="2292">
        <f>IF(OR($F$20=$R$6,$F$20=$U$6),CO2データ!K239,IF($F$20=$S$6,CO2データ!N239,CO2データ!Q239))</f>
        <v>0.88800000000000001</v>
      </c>
      <c r="K63" s="2319"/>
      <c r="L63" s="2318">
        <f t="shared" si="8"/>
        <v>0</v>
      </c>
      <c r="M63" s="2319"/>
      <c r="N63" s="2318"/>
      <c r="O63" s="2321">
        <f t="shared" si="9"/>
        <v>0</v>
      </c>
      <c r="P63" t="s">
        <v>2409</v>
      </c>
    </row>
    <row r="64" spans="2:16" hidden="1">
      <c r="B64" s="2316"/>
      <c r="C64" s="2044"/>
      <c r="D64" s="2044"/>
      <c r="E64" s="2044"/>
      <c r="F64" s="2292">
        <f>$F$62</f>
        <v>0.20689655172413793</v>
      </c>
      <c r="G64" s="2044"/>
      <c r="H64" s="2292">
        <f>IF(OR($F$20=$R$6,$F$20=$U$6),CO2データ!I240,IF($F$20=$S$6,CO2データ!L240,CO2データ!O240))</f>
        <v>1.7000000000000001E-2</v>
      </c>
      <c r="I64" s="2292">
        <f>IF(OR($F$20=$R$6,$F$20=$U$6),CO2データ!J240,IF($F$20=$S$6,CO2データ!M240,CO2データ!P240))</f>
        <v>0</v>
      </c>
      <c r="J64" s="2292">
        <f>IF(OR($F$20=$R$6,$F$20=$U$6),CO2データ!K240,IF($F$20=$S$6,CO2データ!N240,CO2データ!Q240))</f>
        <v>1.7000000000000001E-2</v>
      </c>
      <c r="K64" s="2319"/>
      <c r="L64" s="2318">
        <f t="shared" si="8"/>
        <v>1.7000000000000001E-2</v>
      </c>
      <c r="M64" s="2319"/>
      <c r="N64" s="2318"/>
      <c r="O64" s="2321">
        <f t="shared" si="9"/>
        <v>1.7000000000000001E-2</v>
      </c>
      <c r="P64" t="s">
        <v>2412</v>
      </c>
    </row>
    <row r="65" spans="2:16" hidden="1">
      <c r="B65" s="2316"/>
      <c r="C65" s="2044"/>
      <c r="D65" s="2044"/>
      <c r="E65" s="2044"/>
      <c r="F65" s="2292">
        <f>$F$62</f>
        <v>0.20689655172413793</v>
      </c>
      <c r="G65" s="2044"/>
      <c r="H65" s="2292">
        <f>IF(OR($F$20=$R$6,$F$20=$U$6),CO2データ!I241,IF($F$20=$S$6,CO2データ!L241,CO2データ!O241))</f>
        <v>0</v>
      </c>
      <c r="I65" s="2292">
        <f>IF(OR($F$20=$R$6,$F$20=$U$6),CO2データ!J241,IF($F$20=$S$6,CO2データ!M241,CO2データ!P241))</f>
        <v>0</v>
      </c>
      <c r="J65" s="2292">
        <f>IF(OR($F$20=$R$6,$F$20=$U$6),CO2データ!K241,IF($F$20=$S$6,CO2データ!N241,CO2データ!Q241))</f>
        <v>0</v>
      </c>
      <c r="K65" s="2319"/>
      <c r="L65" s="2318">
        <f t="shared" si="8"/>
        <v>0</v>
      </c>
      <c r="M65" s="2319"/>
      <c r="N65" s="2318"/>
      <c r="O65" s="2321">
        <f t="shared" si="9"/>
        <v>0</v>
      </c>
      <c r="P65" t="s">
        <v>2412</v>
      </c>
    </row>
    <row r="66" spans="2:16" hidden="1">
      <c r="B66" s="2316"/>
      <c r="C66" s="2044"/>
      <c r="D66" s="2044"/>
      <c r="E66" s="2044"/>
      <c r="F66" s="2292">
        <f>$F$62</f>
        <v>0.20689655172413793</v>
      </c>
      <c r="G66" s="2044"/>
      <c r="H66" s="2292">
        <f>IF(OR($F$20=$R$6,$F$20=$U$6),CO2データ!I242,IF($F$20=$S$6,CO2データ!L242,CO2データ!O242))</f>
        <v>0.11799999999999999</v>
      </c>
      <c r="I66" s="2292">
        <f>IF(OR($F$20=$R$6,$F$20=$U$6),CO2データ!J242,IF($F$20=$S$6,CO2データ!M242,CO2データ!P242))</f>
        <v>0</v>
      </c>
      <c r="J66" s="2292">
        <f>IF(OR($F$20=$R$6,$F$20=$U$6),CO2データ!K242,IF($F$20=$S$6,CO2データ!N242,CO2データ!Q242))</f>
        <v>0.11799999999999999</v>
      </c>
      <c r="K66" s="2319"/>
      <c r="L66" s="2318">
        <f t="shared" si="8"/>
        <v>0.11799999999999999</v>
      </c>
      <c r="M66" s="2319"/>
      <c r="N66" s="2318"/>
      <c r="O66" s="2321">
        <f t="shared" si="9"/>
        <v>0.11799999999999999</v>
      </c>
      <c r="P66" t="s">
        <v>2412</v>
      </c>
    </row>
    <row r="67" spans="2:16" hidden="1">
      <c r="B67" s="2316"/>
      <c r="C67" s="2044"/>
      <c r="D67" s="2044"/>
      <c r="E67" s="2044"/>
      <c r="F67" s="2292">
        <f>$F$62</f>
        <v>0.20689655172413793</v>
      </c>
      <c r="G67" s="2044"/>
      <c r="H67" s="2292">
        <f>IF(OR($F$20=$R$6,$F$20=$U$6),CO2データ!I243,IF($F$20=$S$6,CO2データ!L243,CO2データ!O243))</f>
        <v>1.4999999999999999E-2</v>
      </c>
      <c r="I67" s="2292">
        <f>IF(OR($F$20=$R$6,$F$20=$U$6),CO2データ!J243,IF($F$20=$S$6,CO2データ!M243,CO2データ!P243))</f>
        <v>0</v>
      </c>
      <c r="J67" s="2292">
        <f>IF(OR($F$20=$R$6,$F$20=$U$6),CO2データ!K243,IF($F$20=$S$6,CO2データ!N243,CO2データ!Q243))</f>
        <v>1.4800000000000001E-2</v>
      </c>
      <c r="K67" s="2319"/>
      <c r="L67" s="2318">
        <f t="shared" si="8"/>
        <v>1.4999999999999999E-2</v>
      </c>
      <c r="M67" s="2319"/>
      <c r="N67" s="2318"/>
      <c r="O67" s="2321">
        <f t="shared" si="9"/>
        <v>1.4999999999999999E-2</v>
      </c>
      <c r="P67" t="s">
        <v>2412</v>
      </c>
    </row>
    <row r="68" spans="2:16" hidden="1">
      <c r="B68" s="2316"/>
      <c r="C68" s="2044"/>
      <c r="D68" s="2044" t="s">
        <v>477</v>
      </c>
      <c r="E68" s="2044"/>
      <c r="F68" s="2292">
        <f>F15</f>
        <v>0</v>
      </c>
      <c r="G68" s="2044"/>
      <c r="H68" s="2292">
        <f>IF(OR($F$20=$R$6,$F$20=$U$6),CO2データ!I244,IF($F$20=$S$6,CO2データ!L244,CO2データ!O244))</f>
        <v>0.77</v>
      </c>
      <c r="I68" s="2292">
        <f>IF(OR($F$20=$R$6,$F$20=$U$6),CO2データ!J244,IF($F$20=$S$6,CO2データ!M244,CO2データ!P244))</f>
        <v>0</v>
      </c>
      <c r="J68" s="2292">
        <f>IF(OR($F$20=$R$6,$F$20=$U$6),CO2データ!K244,IF($F$20=$S$6,CO2データ!N244,CO2データ!Q244))</f>
        <v>0</v>
      </c>
      <c r="K68" s="2319"/>
      <c r="L68" s="2318">
        <f t="shared" si="8"/>
        <v>0.77</v>
      </c>
      <c r="M68" s="2319"/>
      <c r="N68" s="2318"/>
      <c r="O68" s="2321">
        <f t="shared" si="9"/>
        <v>0.77</v>
      </c>
      <c r="P68" t="s">
        <v>2409</v>
      </c>
    </row>
    <row r="69" spans="2:16" hidden="1">
      <c r="B69" s="2316"/>
      <c r="C69" s="2044"/>
      <c r="D69" s="2044"/>
      <c r="E69" s="2044"/>
      <c r="F69" s="2292">
        <f>$F$68</f>
        <v>0</v>
      </c>
      <c r="G69" s="2044"/>
      <c r="H69" s="2292">
        <f>IF(OR($F$20=$R$6,$F$20=$U$6),CO2データ!I245,IF($F$20=$S$6,CO2データ!L245,CO2データ!O245))</f>
        <v>0</v>
      </c>
      <c r="I69" s="2292">
        <f>IF(OR($F$20=$R$6,$F$20=$U$6),CO2データ!J245,IF($F$20=$S$6,CO2データ!M245,CO2データ!P245))</f>
        <v>0</v>
      </c>
      <c r="J69" s="2292">
        <f>IF(OR($F$20=$R$6,$F$20=$U$6),CO2データ!K245,IF($F$20=$S$6,CO2データ!N245,CO2データ!Q245))</f>
        <v>0.77</v>
      </c>
      <c r="K69" s="2319"/>
      <c r="L69" s="2318">
        <f t="shared" si="8"/>
        <v>0</v>
      </c>
      <c r="M69" s="2319"/>
      <c r="N69" s="2318"/>
      <c r="O69" s="2321">
        <f t="shared" si="9"/>
        <v>0</v>
      </c>
      <c r="P69" t="s">
        <v>2409</v>
      </c>
    </row>
    <row r="70" spans="2:16" hidden="1">
      <c r="B70" s="2316"/>
      <c r="C70" s="2044"/>
      <c r="D70" s="2044"/>
      <c r="E70" s="2044"/>
      <c r="F70" s="2292">
        <f>$F$68</f>
        <v>0</v>
      </c>
      <c r="G70" s="2044"/>
      <c r="H70" s="2292">
        <f>IF(OR($F$20=$R$6,$F$20=$U$6),CO2データ!I246,IF($F$20=$S$6,CO2データ!L246,CO2データ!O246))</f>
        <v>0.01</v>
      </c>
      <c r="I70" s="2292">
        <f>IF(OR($F$20=$R$6,$F$20=$U$6),CO2データ!J246,IF($F$20=$S$6,CO2データ!M246,CO2データ!P246))</f>
        <v>0</v>
      </c>
      <c r="J70" s="2292">
        <f>IF(OR($F$20=$R$6,$F$20=$U$6),CO2データ!K246,IF($F$20=$S$6,CO2データ!N246,CO2データ!Q246))</f>
        <v>0.01</v>
      </c>
      <c r="K70" s="2319"/>
      <c r="L70" s="2318">
        <f t="shared" ref="L70:L91" si="10">H70-(H70-I70)*$F$21-(H70-J70)*$F$22</f>
        <v>0.01</v>
      </c>
      <c r="M70" s="2319"/>
      <c r="N70" s="2318"/>
      <c r="O70" s="2321">
        <f t="shared" ref="O70:O91" si="11">H70</f>
        <v>0.01</v>
      </c>
      <c r="P70" t="s">
        <v>2412</v>
      </c>
    </row>
    <row r="71" spans="2:16" hidden="1">
      <c r="B71" s="2316"/>
      <c r="C71" s="2044"/>
      <c r="D71" s="2044"/>
      <c r="E71" s="2044"/>
      <c r="F71" s="2292">
        <f>$F$68</f>
        <v>0</v>
      </c>
      <c r="G71" s="2044"/>
      <c r="H71" s="2292">
        <f>IF(OR($F$20=$R$6,$F$20=$U$6),CO2データ!I247,IF($F$20=$S$6,CO2データ!L247,CO2データ!O247))</f>
        <v>0</v>
      </c>
      <c r="I71" s="2292">
        <f>IF(OR($F$20=$R$6,$F$20=$U$6),CO2データ!J247,IF($F$20=$S$6,CO2データ!M247,CO2データ!P247))</f>
        <v>0</v>
      </c>
      <c r="J71" s="2292">
        <f>IF(OR($F$20=$R$6,$F$20=$U$6),CO2データ!K247,IF($F$20=$S$6,CO2データ!N247,CO2データ!Q247))</f>
        <v>0</v>
      </c>
      <c r="K71" s="2319"/>
      <c r="L71" s="2318">
        <f t="shared" si="10"/>
        <v>0</v>
      </c>
      <c r="M71" s="2319"/>
      <c r="N71" s="2318"/>
      <c r="O71" s="2321">
        <f t="shared" si="11"/>
        <v>0</v>
      </c>
      <c r="P71" t="s">
        <v>2412</v>
      </c>
    </row>
    <row r="72" spans="2:16" hidden="1">
      <c r="B72" s="2316"/>
      <c r="C72" s="2044"/>
      <c r="D72" s="2044"/>
      <c r="E72" s="2044"/>
      <c r="F72" s="2292">
        <f>$F$68</f>
        <v>0</v>
      </c>
      <c r="G72" s="2044"/>
      <c r="H72" s="2292">
        <f>IF(OR($F$20=$R$6,$F$20=$U$6),CO2データ!I248,IF($F$20=$S$6,CO2データ!L248,CO2データ!O248))</f>
        <v>0.108</v>
      </c>
      <c r="I72" s="2292">
        <f>IF(OR($F$20=$R$6,$F$20=$U$6),CO2データ!J248,IF($F$20=$S$6,CO2データ!M248,CO2データ!P248))</f>
        <v>0</v>
      </c>
      <c r="J72" s="2292">
        <f>IF(OR($F$20=$R$6,$F$20=$U$6),CO2データ!K248,IF($F$20=$S$6,CO2データ!N248,CO2データ!Q248))</f>
        <v>0.108</v>
      </c>
      <c r="K72" s="2319"/>
      <c r="L72" s="2318">
        <f t="shared" si="10"/>
        <v>0.108</v>
      </c>
      <c r="M72" s="2319"/>
      <c r="N72" s="2318"/>
      <c r="O72" s="2321">
        <f t="shared" si="11"/>
        <v>0.108</v>
      </c>
      <c r="P72" t="s">
        <v>2412</v>
      </c>
    </row>
    <row r="73" spans="2:16" hidden="1">
      <c r="B73" s="2316"/>
      <c r="C73" s="2044"/>
      <c r="D73" s="2044"/>
      <c r="E73" s="2044"/>
      <c r="F73" s="2292">
        <f>$F$68</f>
        <v>0</v>
      </c>
      <c r="G73" s="2044"/>
      <c r="H73" s="2292">
        <f>IF(OR($F$20=$R$6,$F$20=$U$6),CO2データ!I249,IF($F$20=$S$6,CO2データ!L249,CO2データ!O249))</f>
        <v>8.9999999999999993E-3</v>
      </c>
      <c r="I73" s="2292">
        <f>IF(OR($F$20=$R$6,$F$20=$U$6),CO2データ!J249,IF($F$20=$S$6,CO2データ!M249,CO2データ!P249))</f>
        <v>0</v>
      </c>
      <c r="J73" s="2292">
        <f>IF(OR($F$20=$R$6,$F$20=$U$6),CO2データ!K249,IF($F$20=$S$6,CO2データ!N249,CO2データ!Q249))</f>
        <v>9.1500000000000001E-3</v>
      </c>
      <c r="K73" s="2319"/>
      <c r="L73" s="2318">
        <f t="shared" si="10"/>
        <v>8.9999999999999993E-3</v>
      </c>
      <c r="M73" s="2319"/>
      <c r="N73" s="2318"/>
      <c r="O73" s="2321">
        <f t="shared" si="11"/>
        <v>8.9999999999999993E-3</v>
      </c>
      <c r="P73" t="s">
        <v>2412</v>
      </c>
    </row>
    <row r="74" spans="2:16" hidden="1">
      <c r="B74" s="2316"/>
      <c r="C74" s="2044"/>
      <c r="D74" s="2044" t="s">
        <v>1967</v>
      </c>
      <c r="E74" s="2044"/>
      <c r="F74" s="2292">
        <f>F16</f>
        <v>0</v>
      </c>
      <c r="G74" s="2044"/>
      <c r="H74" s="2292">
        <f>IF(OR($F$20=$R$6,$F$20=$U$6),CO2データ!I250,IF($F$20=$S$6,CO2データ!L250,CO2データ!O250))</f>
        <v>0.76600000000000001</v>
      </c>
      <c r="I74" s="2292">
        <f>IF(OR($F$20=$R$6,$F$20=$U$6),CO2データ!J250,IF($F$20=$S$6,CO2データ!M250,CO2データ!P250))</f>
        <v>0</v>
      </c>
      <c r="J74" s="2292">
        <f>IF(OR($F$20=$R$6,$F$20=$U$6),CO2データ!K250,IF($F$20=$S$6,CO2データ!N250,CO2データ!Q250))</f>
        <v>0</v>
      </c>
      <c r="K74" s="2319"/>
      <c r="L74" s="2318">
        <f t="shared" si="10"/>
        <v>0.76600000000000001</v>
      </c>
      <c r="M74" s="2319"/>
      <c r="N74" s="2318"/>
      <c r="O74" s="2321">
        <f t="shared" si="11"/>
        <v>0.76600000000000001</v>
      </c>
      <c r="P74" t="s">
        <v>2409</v>
      </c>
    </row>
    <row r="75" spans="2:16" hidden="1">
      <c r="B75" s="2316"/>
      <c r="C75" s="2044"/>
      <c r="D75" s="2044"/>
      <c r="E75" s="2044"/>
      <c r="F75" s="2292">
        <f>$F$74</f>
        <v>0</v>
      </c>
      <c r="G75" s="2044"/>
      <c r="H75" s="2292">
        <f>IF(OR($F$20=$R$6,$F$20=$U$6),CO2データ!I251,IF($F$20=$S$6,CO2データ!L251,CO2データ!O251))</f>
        <v>0</v>
      </c>
      <c r="I75" s="2292">
        <f>IF(OR($F$20=$R$6,$F$20=$U$6),CO2データ!J251,IF($F$20=$S$6,CO2データ!M251,CO2データ!P251))</f>
        <v>0</v>
      </c>
      <c r="J75" s="2292">
        <f>IF(OR($F$20=$R$6,$F$20=$U$6),CO2データ!K251,IF($F$20=$S$6,CO2データ!N251,CO2データ!Q251))</f>
        <v>0.76600000000000001</v>
      </c>
      <c r="K75" s="2319"/>
      <c r="L75" s="2318">
        <f t="shared" si="10"/>
        <v>0</v>
      </c>
      <c r="M75" s="2319"/>
      <c r="N75" s="2318"/>
      <c r="O75" s="2321">
        <f t="shared" si="11"/>
        <v>0</v>
      </c>
      <c r="P75" t="s">
        <v>2409</v>
      </c>
    </row>
    <row r="76" spans="2:16" hidden="1">
      <c r="B76" s="2316"/>
      <c r="C76" s="2044"/>
      <c r="D76" s="2044"/>
      <c r="E76" s="2044"/>
      <c r="F76" s="2292">
        <f>$F$74</f>
        <v>0</v>
      </c>
      <c r="G76" s="2044"/>
      <c r="H76" s="2292">
        <f>IF(OR($F$20=$R$6,$F$20=$U$6),CO2データ!I252,IF($F$20=$S$6,CO2データ!L252,CO2データ!O252))</f>
        <v>1.2E-2</v>
      </c>
      <c r="I76" s="2292">
        <f>IF(OR($F$20=$R$6,$F$20=$U$6),CO2データ!J252,IF($F$20=$S$6,CO2データ!M252,CO2データ!P252))</f>
        <v>0</v>
      </c>
      <c r="J76" s="2292">
        <f>IF(OR($F$20=$R$6,$F$20=$U$6),CO2データ!K252,IF($F$20=$S$6,CO2データ!N252,CO2データ!Q252))</f>
        <v>1.2E-2</v>
      </c>
      <c r="K76" s="2319"/>
      <c r="L76" s="2318">
        <f t="shared" si="10"/>
        <v>1.2E-2</v>
      </c>
      <c r="M76" s="2319"/>
      <c r="N76" s="2318"/>
      <c r="O76" s="2321">
        <f t="shared" si="11"/>
        <v>1.2E-2</v>
      </c>
      <c r="P76" t="s">
        <v>2412</v>
      </c>
    </row>
    <row r="77" spans="2:16" hidden="1">
      <c r="B77" s="2316"/>
      <c r="C77" s="2044"/>
      <c r="D77" s="2044"/>
      <c r="E77" s="2044"/>
      <c r="F77" s="2292">
        <f>$F$74</f>
        <v>0</v>
      </c>
      <c r="G77" s="2044"/>
      <c r="H77" s="2292">
        <f>IF(OR($F$20=$R$6,$F$20=$U$6),CO2データ!I253,IF($F$20=$S$6,CO2データ!L253,CO2データ!O253))</f>
        <v>0</v>
      </c>
      <c r="I77" s="2292">
        <f>IF(OR($F$20=$R$6,$F$20=$U$6),CO2データ!J253,IF($F$20=$S$6,CO2データ!M253,CO2データ!P253))</f>
        <v>0</v>
      </c>
      <c r="J77" s="2292">
        <f>IF(OR($F$20=$R$6,$F$20=$U$6),CO2データ!K253,IF($F$20=$S$6,CO2データ!N253,CO2データ!Q253))</f>
        <v>0</v>
      </c>
      <c r="K77" s="2319"/>
      <c r="L77" s="2318">
        <f t="shared" si="10"/>
        <v>0</v>
      </c>
      <c r="M77" s="2319"/>
      <c r="N77" s="2318"/>
      <c r="O77" s="2321">
        <f t="shared" si="11"/>
        <v>0</v>
      </c>
      <c r="P77" t="s">
        <v>2412</v>
      </c>
    </row>
    <row r="78" spans="2:16" hidden="1">
      <c r="B78" s="2316"/>
      <c r="C78" s="2044"/>
      <c r="D78" s="2044"/>
      <c r="E78" s="2044"/>
      <c r="F78" s="2292">
        <f>$F$74</f>
        <v>0</v>
      </c>
      <c r="G78" s="2044"/>
      <c r="H78" s="2292">
        <f>IF(OR($F$20=$R$6,$F$20=$U$6),CO2データ!I254,IF($F$20=$S$6,CO2データ!L254,CO2データ!O254))</f>
        <v>9.6000000000000002E-2</v>
      </c>
      <c r="I78" s="2292">
        <f>IF(OR($F$20=$R$6,$F$20=$U$6),CO2データ!J254,IF($F$20=$S$6,CO2データ!M254,CO2データ!P254))</f>
        <v>0</v>
      </c>
      <c r="J78" s="2292">
        <f>IF(OR($F$20=$R$6,$F$20=$U$6),CO2データ!K254,IF($F$20=$S$6,CO2データ!N254,CO2データ!Q254))</f>
        <v>9.6000000000000002E-2</v>
      </c>
      <c r="K78" s="2319"/>
      <c r="L78" s="2318">
        <f t="shared" si="10"/>
        <v>9.6000000000000002E-2</v>
      </c>
      <c r="M78" s="2319"/>
      <c r="N78" s="2318"/>
      <c r="O78" s="2321">
        <f t="shared" si="11"/>
        <v>9.6000000000000002E-2</v>
      </c>
      <c r="P78" t="s">
        <v>2412</v>
      </c>
    </row>
    <row r="79" spans="2:16" hidden="1">
      <c r="B79" s="2316"/>
      <c r="C79" s="2044"/>
      <c r="D79" s="2044"/>
      <c r="E79" s="2044"/>
      <c r="F79" s="2292">
        <f>$F$74</f>
        <v>0</v>
      </c>
      <c r="G79" s="2044"/>
      <c r="H79" s="2292">
        <f>IF(OR($F$20=$R$6,$F$20=$U$6),CO2データ!I255,IF($F$20=$S$6,CO2データ!L255,CO2データ!O255))</f>
        <v>1.2999999999999999E-2</v>
      </c>
      <c r="I79" s="2292">
        <f>IF(OR($F$20=$R$6,$F$20=$U$6),CO2データ!J255,IF($F$20=$S$6,CO2データ!M255,CO2データ!P255))</f>
        <v>0</v>
      </c>
      <c r="J79" s="2292">
        <f>IF(OR($F$20=$R$6,$F$20=$U$6),CO2データ!K255,IF($F$20=$S$6,CO2データ!N255,CO2データ!Q255))</f>
        <v>1.2999999999999999E-2</v>
      </c>
      <c r="K79" s="2319"/>
      <c r="L79" s="2318">
        <f t="shared" si="10"/>
        <v>1.2999999999999999E-2</v>
      </c>
      <c r="M79" s="2319"/>
      <c r="N79" s="2318"/>
      <c r="O79" s="2321">
        <f t="shared" si="11"/>
        <v>1.2999999999999999E-2</v>
      </c>
      <c r="P79" t="s">
        <v>2412</v>
      </c>
    </row>
    <row r="80" spans="2:16" hidden="1">
      <c r="B80" s="2316"/>
      <c r="C80" s="2044"/>
      <c r="D80" s="2044" t="s">
        <v>688</v>
      </c>
      <c r="E80" s="2044"/>
      <c r="F80" s="2292">
        <f>F17</f>
        <v>0</v>
      </c>
      <c r="G80" s="2044"/>
      <c r="H80" s="2292">
        <f>IF(OR($F$20=$R$6,$F$20=$U$6),CO2データ!I256,IF($F$20=$S$6,CO2データ!L256,CO2データ!O256))</f>
        <v>0.999</v>
      </c>
      <c r="I80" s="2292">
        <f>IF(OR($F$20=$R$6,$F$20=$U$6),CO2データ!J256,IF($F$20=$S$6,CO2データ!M256,CO2データ!P256))</f>
        <v>0</v>
      </c>
      <c r="J80" s="2292">
        <f>IF(OR($F$20=$R$6,$F$20=$U$6),CO2データ!K256,IF($F$20=$S$6,CO2データ!N256,CO2データ!Q256))</f>
        <v>0</v>
      </c>
      <c r="K80" s="2319"/>
      <c r="L80" s="2318">
        <f t="shared" si="10"/>
        <v>0.999</v>
      </c>
      <c r="M80" s="2319"/>
      <c r="N80" s="2318"/>
      <c r="O80" s="2321">
        <f t="shared" si="11"/>
        <v>0.999</v>
      </c>
      <c r="P80" t="s">
        <v>2409</v>
      </c>
    </row>
    <row r="81" spans="2:16" hidden="1">
      <c r="B81" s="2316"/>
      <c r="C81" s="2044"/>
      <c r="D81" s="2044"/>
      <c r="E81" s="2044"/>
      <c r="F81" s="2292">
        <f>$F$80</f>
        <v>0</v>
      </c>
      <c r="G81" s="2044"/>
      <c r="H81" s="2292">
        <f>IF(OR($F$20=$R$6,$F$20=$U$6),CO2データ!I257,IF($F$20=$S$6,CO2データ!L257,CO2データ!O257))</f>
        <v>0</v>
      </c>
      <c r="I81" s="2292">
        <f>IF(OR($F$20=$R$6,$F$20=$U$6),CO2データ!J257,IF($F$20=$S$6,CO2データ!M257,CO2データ!P257))</f>
        <v>0</v>
      </c>
      <c r="J81" s="2292">
        <f>IF(OR($F$20=$R$6,$F$20=$U$6),CO2データ!K257,IF($F$20=$S$6,CO2データ!N257,CO2データ!Q257))</f>
        <v>0.999</v>
      </c>
      <c r="K81" s="2319"/>
      <c r="L81" s="2318">
        <f t="shared" si="10"/>
        <v>0</v>
      </c>
      <c r="M81" s="2319"/>
      <c r="N81" s="2318"/>
      <c r="O81" s="2321">
        <f t="shared" si="11"/>
        <v>0</v>
      </c>
      <c r="P81" t="s">
        <v>2409</v>
      </c>
    </row>
    <row r="82" spans="2:16" hidden="1">
      <c r="B82" s="2316"/>
      <c r="C82" s="2044"/>
      <c r="D82" s="2044"/>
      <c r="E82" s="2044"/>
      <c r="F82" s="2292">
        <f>$F$80</f>
        <v>0</v>
      </c>
      <c r="G82" s="2044"/>
      <c r="H82" s="2292">
        <f>IF(OR($F$20=$R$6,$F$20=$U$6),CO2データ!I258,IF($F$20=$S$6,CO2データ!L258,CO2データ!O258))</f>
        <v>4.0000000000000001E-3</v>
      </c>
      <c r="I82" s="2292">
        <f>IF(OR($F$20=$R$6,$F$20=$U$6),CO2データ!J258,IF($F$20=$S$6,CO2データ!M258,CO2データ!P258))</f>
        <v>0</v>
      </c>
      <c r="J82" s="2292">
        <f>IF(OR($F$20=$R$6,$F$20=$U$6),CO2データ!K258,IF($F$20=$S$6,CO2データ!N258,CO2データ!Q258))</f>
        <v>4.0000000000000001E-3</v>
      </c>
      <c r="K82" s="2319"/>
      <c r="L82" s="2318">
        <f t="shared" si="10"/>
        <v>4.0000000000000001E-3</v>
      </c>
      <c r="M82" s="2319"/>
      <c r="N82" s="2318"/>
      <c r="O82" s="2321">
        <f t="shared" si="11"/>
        <v>4.0000000000000001E-3</v>
      </c>
      <c r="P82" t="s">
        <v>2412</v>
      </c>
    </row>
    <row r="83" spans="2:16" hidden="1">
      <c r="B83" s="2316"/>
      <c r="C83" s="2044"/>
      <c r="D83" s="2044"/>
      <c r="E83" s="2044"/>
      <c r="F83" s="2292">
        <f>$F$80</f>
        <v>0</v>
      </c>
      <c r="G83" s="2044"/>
      <c r="H83" s="2292">
        <f>IF(OR($F$20=$R$6,$F$20=$U$6),CO2データ!I259,IF($F$20=$S$6,CO2データ!L259,CO2データ!O259))</f>
        <v>0</v>
      </c>
      <c r="I83" s="2292">
        <f>IF(OR($F$20=$R$6,$F$20=$U$6),CO2データ!J259,IF($F$20=$S$6,CO2データ!M259,CO2データ!P259))</f>
        <v>0</v>
      </c>
      <c r="J83" s="2292">
        <f>IF(OR($F$20=$R$6,$F$20=$U$6),CO2データ!K259,IF($F$20=$S$6,CO2データ!N259,CO2データ!Q259))</f>
        <v>0</v>
      </c>
      <c r="K83" s="2319"/>
      <c r="L83" s="2318">
        <f t="shared" si="10"/>
        <v>0</v>
      </c>
      <c r="M83" s="2319"/>
      <c r="N83" s="2318"/>
      <c r="O83" s="2321">
        <f t="shared" si="11"/>
        <v>0</v>
      </c>
      <c r="P83" t="s">
        <v>2412</v>
      </c>
    </row>
    <row r="84" spans="2:16" hidden="1">
      <c r="B84" s="2316"/>
      <c r="C84" s="2044"/>
      <c r="D84" s="2044"/>
      <c r="E84" s="2044"/>
      <c r="F84" s="2292">
        <f>$F$80</f>
        <v>0</v>
      </c>
      <c r="G84" s="2044"/>
      <c r="H84" s="2292">
        <f>IF(OR($F$20=$R$6,$F$20=$U$6),CO2データ!I260,IF($F$20=$S$6,CO2データ!L260,CO2データ!O260))</f>
        <v>0.111</v>
      </c>
      <c r="I84" s="2292">
        <f>IF(OR($F$20=$R$6,$F$20=$U$6),CO2データ!J260,IF($F$20=$S$6,CO2データ!M260,CO2データ!P260))</f>
        <v>0</v>
      </c>
      <c r="J84" s="2292">
        <f>IF(OR($F$20=$R$6,$F$20=$U$6),CO2データ!K260,IF($F$20=$S$6,CO2データ!N260,CO2データ!Q260))</f>
        <v>0.111</v>
      </c>
      <c r="K84" s="2319"/>
      <c r="L84" s="2318">
        <f t="shared" si="10"/>
        <v>0.111</v>
      </c>
      <c r="M84" s="2319"/>
      <c r="N84" s="2318"/>
      <c r="O84" s="2321">
        <f t="shared" si="11"/>
        <v>0.111</v>
      </c>
      <c r="P84" t="s">
        <v>2412</v>
      </c>
    </row>
    <row r="85" spans="2:16" hidden="1">
      <c r="B85" s="2316"/>
      <c r="C85" s="2044"/>
      <c r="D85" s="2044"/>
      <c r="E85" s="2044"/>
      <c r="F85" s="2292">
        <f>$F$80</f>
        <v>0</v>
      </c>
      <c r="G85" s="2044"/>
      <c r="H85" s="2292">
        <f>IF(OR($F$20=$R$6,$F$20=$U$6),CO2データ!I261,IF($F$20=$S$6,CO2データ!L261,CO2データ!O261))</f>
        <v>1.4E-2</v>
      </c>
      <c r="I85" s="2292">
        <f>IF(OR($F$20=$R$6,$F$20=$U$6),CO2データ!J261,IF($F$20=$S$6,CO2データ!M261,CO2データ!P261))</f>
        <v>0</v>
      </c>
      <c r="J85" s="2292">
        <f>IF(OR($F$20=$R$6,$F$20=$U$6),CO2データ!K261,IF($F$20=$S$6,CO2データ!N261,CO2データ!Q261))</f>
        <v>1.434E-2</v>
      </c>
      <c r="K85" s="2319"/>
      <c r="L85" s="2318">
        <f t="shared" si="10"/>
        <v>1.4E-2</v>
      </c>
      <c r="M85" s="2319"/>
      <c r="N85" s="2318"/>
      <c r="O85" s="2321">
        <f t="shared" si="11"/>
        <v>1.4E-2</v>
      </c>
      <c r="P85" t="s">
        <v>2412</v>
      </c>
    </row>
    <row r="86" spans="2:16" hidden="1">
      <c r="B86" s="2316"/>
      <c r="C86" s="2044"/>
      <c r="D86" s="2044" t="s">
        <v>2074</v>
      </c>
      <c r="E86" s="2044"/>
      <c r="F86" s="2292">
        <f>F18</f>
        <v>0.17241379310344829</v>
      </c>
      <c r="G86" s="2044"/>
      <c r="H86" s="2292">
        <f>IF(OR($F$20=$R$6,$F$20=$U$6),CO2データ!I262,IF($F$20=$S$6,CO2データ!L262,CO2データ!O262))</f>
        <v>0.73399999999999999</v>
      </c>
      <c r="I86" s="2292">
        <f>IF(OR($F$20=$R$6,$F$20=$U$6),CO2データ!J262,IF($F$20=$S$6,CO2データ!M262,CO2データ!P262))</f>
        <v>0</v>
      </c>
      <c r="J86" s="2292">
        <f>IF(OR($F$20=$R$6,$F$20=$U$6),CO2データ!K262,IF($F$20=$S$6,CO2データ!N262,CO2データ!Q262))</f>
        <v>0</v>
      </c>
      <c r="K86" s="2319"/>
      <c r="L86" s="2318">
        <f t="shared" si="10"/>
        <v>0.73399999999999999</v>
      </c>
      <c r="M86" s="2319"/>
      <c r="N86" s="2318"/>
      <c r="O86" s="2321">
        <f t="shared" si="11"/>
        <v>0.73399999999999999</v>
      </c>
      <c r="P86" t="s">
        <v>2409</v>
      </c>
    </row>
    <row r="87" spans="2:16" hidden="1">
      <c r="B87" s="2316"/>
      <c r="C87" s="2044"/>
      <c r="D87" s="2044"/>
      <c r="E87" s="2044"/>
      <c r="F87" s="2292">
        <f>$F$86</f>
        <v>0.17241379310344829</v>
      </c>
      <c r="G87" s="2044"/>
      <c r="H87" s="2292">
        <f>IF(OR($F$20=$R$6,$F$20=$U$6),CO2データ!I263,IF($F$20=$S$6,CO2データ!L263,CO2データ!O263))</f>
        <v>0</v>
      </c>
      <c r="I87" s="2292">
        <f>IF(OR($F$20=$R$6,$F$20=$U$6),CO2データ!J263,IF($F$20=$S$6,CO2データ!M263,CO2データ!P263))</f>
        <v>0</v>
      </c>
      <c r="J87" s="2292">
        <f>IF(OR($F$20=$R$6,$F$20=$U$6),CO2データ!K263,IF($F$20=$S$6,CO2データ!N263,CO2データ!Q263))</f>
        <v>0.73399999999999999</v>
      </c>
      <c r="K87" s="2319"/>
      <c r="L87" s="2318">
        <f t="shared" si="10"/>
        <v>0</v>
      </c>
      <c r="M87" s="2319"/>
      <c r="N87" s="2318"/>
      <c r="O87" s="2321">
        <f t="shared" si="11"/>
        <v>0</v>
      </c>
      <c r="P87" t="s">
        <v>2409</v>
      </c>
    </row>
    <row r="88" spans="2:16" hidden="1">
      <c r="B88" s="2316"/>
      <c r="C88" s="2044"/>
      <c r="D88" s="2044"/>
      <c r="E88" s="2044"/>
      <c r="F88" s="2292">
        <f>$F$86</f>
        <v>0.17241379310344829</v>
      </c>
      <c r="G88" s="2044"/>
      <c r="H88" s="2292">
        <f>IF(OR($F$20=$R$6,$F$20=$U$6),CO2データ!I264,IF($F$20=$S$6,CO2データ!L264,CO2データ!O264))</f>
        <v>1.2E-2</v>
      </c>
      <c r="I88" s="2292">
        <f>IF(OR($F$20=$R$6,$F$20=$U$6),CO2データ!J264,IF($F$20=$S$6,CO2データ!M264,CO2データ!P264))</f>
        <v>0</v>
      </c>
      <c r="J88" s="2292">
        <f>IF(OR($F$20=$R$6,$F$20=$U$6),CO2データ!K264,IF($F$20=$S$6,CO2データ!N264,CO2データ!Q264))</f>
        <v>1.2E-2</v>
      </c>
      <c r="K88" s="2319"/>
      <c r="L88" s="2318">
        <f t="shared" si="10"/>
        <v>1.2E-2</v>
      </c>
      <c r="M88" s="2319"/>
      <c r="N88" s="2318"/>
      <c r="O88" s="2321">
        <f t="shared" si="11"/>
        <v>1.2E-2</v>
      </c>
      <c r="P88" t="s">
        <v>2412</v>
      </c>
    </row>
    <row r="89" spans="2:16" hidden="1">
      <c r="B89" s="2316"/>
      <c r="C89" s="2044"/>
      <c r="D89" s="2044"/>
      <c r="E89" s="2044"/>
      <c r="F89" s="2292">
        <f>$F$86</f>
        <v>0.17241379310344829</v>
      </c>
      <c r="G89" s="2044"/>
      <c r="H89" s="2292">
        <f>IF(OR($F$20=$R$6,$F$20=$U$6),CO2データ!I265,IF($F$20=$S$6,CO2データ!L265,CO2データ!O265))</f>
        <v>0</v>
      </c>
      <c r="I89" s="2292">
        <f>IF(OR($F$20=$R$6,$F$20=$U$6),CO2データ!J265,IF($F$20=$S$6,CO2データ!M265,CO2データ!P265))</f>
        <v>0</v>
      </c>
      <c r="J89" s="2292">
        <f>IF(OR($F$20=$R$6,$F$20=$U$6),CO2データ!K265,IF($F$20=$S$6,CO2データ!N265,CO2データ!Q265))</f>
        <v>0</v>
      </c>
      <c r="K89" s="2319"/>
      <c r="L89" s="2318">
        <f t="shared" si="10"/>
        <v>0</v>
      </c>
      <c r="M89" s="2319"/>
      <c r="N89" s="2318"/>
      <c r="O89" s="2321">
        <f t="shared" si="11"/>
        <v>0</v>
      </c>
      <c r="P89" t="s">
        <v>2412</v>
      </c>
    </row>
    <row r="90" spans="2:16" hidden="1">
      <c r="B90" s="2316"/>
      <c r="C90" s="2044"/>
      <c r="D90" s="2044"/>
      <c r="E90" s="2044"/>
      <c r="F90" s="2292">
        <f>$F$86</f>
        <v>0.17241379310344829</v>
      </c>
      <c r="G90" s="2044"/>
      <c r="H90" s="2292">
        <f>IF(OR($F$20=$R$6,$F$20=$U$6),CO2データ!I266,IF($F$20=$S$6,CO2データ!L266,CO2データ!O266))</f>
        <v>0.1</v>
      </c>
      <c r="I90" s="2292">
        <f>IF(OR($F$20=$R$6,$F$20=$U$6),CO2データ!J266,IF($F$20=$S$6,CO2データ!M266,CO2データ!P266))</f>
        <v>0</v>
      </c>
      <c r="J90" s="2292">
        <f>IF(OR($F$20=$R$6,$F$20=$U$6),CO2データ!K266,IF($F$20=$S$6,CO2データ!N266,CO2データ!Q266))</f>
        <v>0.1</v>
      </c>
      <c r="K90" s="2319"/>
      <c r="L90" s="2318">
        <f t="shared" si="10"/>
        <v>0.1</v>
      </c>
      <c r="M90" s="2319"/>
      <c r="N90" s="2318"/>
      <c r="O90" s="2321">
        <f t="shared" si="11"/>
        <v>0.1</v>
      </c>
      <c r="P90" t="s">
        <v>2412</v>
      </c>
    </row>
    <row r="91" spans="2:16" hidden="1">
      <c r="B91" s="2316"/>
      <c r="C91" s="2044"/>
      <c r="D91" s="2044"/>
      <c r="E91" s="2044"/>
      <c r="F91" s="2292">
        <f>$F$86</f>
        <v>0.17241379310344829</v>
      </c>
      <c r="G91" s="2044"/>
      <c r="H91" s="2292">
        <f>IF(OR($F$20=$R$6,$F$20=$U$6),CO2データ!I267,IF($F$20=$S$6,CO2データ!L267,CO2データ!O267))</f>
        <v>1.2999999999999999E-2</v>
      </c>
      <c r="I91" s="2292">
        <f>IF(OR($F$20=$R$6,$F$20=$U$6),CO2データ!J267,IF($F$20=$S$6,CO2データ!M267,CO2データ!P267))</f>
        <v>0</v>
      </c>
      <c r="J91" s="2292">
        <f>IF(OR($F$20=$R$6,$F$20=$U$6),CO2データ!K267,IF($F$20=$S$6,CO2データ!N267,CO2データ!Q267))</f>
        <v>1.329E-2</v>
      </c>
      <c r="K91" s="2319"/>
      <c r="L91" s="2318">
        <f t="shared" si="10"/>
        <v>1.2999999999999999E-2</v>
      </c>
      <c r="M91" s="2319"/>
      <c r="N91" s="2318"/>
      <c r="O91" s="2321">
        <f t="shared" si="11"/>
        <v>1.2999999999999999E-2</v>
      </c>
      <c r="P91" t="s">
        <v>2412</v>
      </c>
    </row>
    <row r="92" spans="2:16" ht="14.25" hidden="1" thickBot="1">
      <c r="B92" s="2305"/>
      <c r="C92" s="47"/>
      <c r="D92" s="47"/>
      <c r="E92" s="47"/>
      <c r="F92" s="47"/>
      <c r="G92" s="47"/>
      <c r="H92" s="47"/>
      <c r="I92" s="47"/>
      <c r="J92" s="47"/>
      <c r="K92" s="47"/>
      <c r="L92" s="47"/>
      <c r="M92" s="47"/>
      <c r="N92" s="47"/>
      <c r="O92" s="2197"/>
    </row>
    <row r="93" spans="2:16" hidden="1">
      <c r="B93" s="2316"/>
      <c r="C93" s="2044" t="s">
        <v>1943</v>
      </c>
      <c r="D93" s="2044" t="s">
        <v>479</v>
      </c>
      <c r="E93" s="2044"/>
      <c r="F93" s="47"/>
      <c r="G93" s="47"/>
      <c r="H93" s="47"/>
      <c r="I93" s="47"/>
      <c r="J93" s="47"/>
      <c r="K93" s="2319"/>
      <c r="L93" s="2322">
        <f t="shared" ref="L93:L98" si="12">$F38*L38+$F44*L44+$F50*L50+$F56*L56+$F62*L62+$F68*L68+$F74*L74+$F80*L80+$F86*L86</f>
        <v>0.81510344827586201</v>
      </c>
      <c r="M93" s="2319"/>
      <c r="N93" s="2323"/>
      <c r="O93" s="2322">
        <f t="shared" ref="O93:O98" si="13">$F38*O38+$F44*O44+$F50*O50+$F56*O56+$F62*O62+$F68*O68+$F74*O74+$F80*O80+$F86*O86</f>
        <v>0.81510344827586201</v>
      </c>
      <c r="P93" t="s">
        <v>2409</v>
      </c>
    </row>
    <row r="94" spans="2:16" hidden="1">
      <c r="B94" s="2316"/>
      <c r="C94" s="2044"/>
      <c r="D94" s="2044"/>
      <c r="E94" s="2044"/>
      <c r="F94" s="47"/>
      <c r="G94" s="47"/>
      <c r="H94" s="47"/>
      <c r="I94" s="47"/>
      <c r="J94" s="47"/>
      <c r="K94" s="2319"/>
      <c r="L94" s="2324">
        <f t="shared" si="12"/>
        <v>0</v>
      </c>
      <c r="M94" s="2319"/>
      <c r="N94" s="2323"/>
      <c r="O94" s="2324">
        <f t="shared" si="13"/>
        <v>0</v>
      </c>
      <c r="P94" t="s">
        <v>2409</v>
      </c>
    </row>
    <row r="95" spans="2:16" hidden="1">
      <c r="B95" s="2316"/>
      <c r="C95" s="2044"/>
      <c r="D95" s="2044"/>
      <c r="E95" s="2044"/>
      <c r="F95" s="47"/>
      <c r="G95" s="47"/>
      <c r="H95" s="47"/>
      <c r="I95" s="47"/>
      <c r="J95" s="47"/>
      <c r="K95" s="2319"/>
      <c r="L95" s="2324">
        <f t="shared" si="12"/>
        <v>2.0068965517241383E-2</v>
      </c>
      <c r="M95" s="2319"/>
      <c r="N95" s="2323"/>
      <c r="O95" s="2324">
        <f t="shared" si="13"/>
        <v>2.0068965517241383E-2</v>
      </c>
      <c r="P95" t="s">
        <v>2412</v>
      </c>
    </row>
    <row r="96" spans="2:16" hidden="1">
      <c r="B96" s="2316"/>
      <c r="C96" s="2044"/>
      <c r="D96" s="2044"/>
      <c r="E96" s="2044"/>
      <c r="F96" s="47"/>
      <c r="G96" s="47"/>
      <c r="H96" s="47"/>
      <c r="I96" s="47"/>
      <c r="J96" s="47"/>
      <c r="K96" s="2319"/>
      <c r="L96" s="2324">
        <f t="shared" si="12"/>
        <v>0</v>
      </c>
      <c r="M96" s="2319"/>
      <c r="N96" s="2323"/>
      <c r="O96" s="2324">
        <f t="shared" si="13"/>
        <v>0</v>
      </c>
      <c r="P96" t="s">
        <v>2412</v>
      </c>
    </row>
    <row r="97" spans="2:16" hidden="1">
      <c r="B97" s="2316"/>
      <c r="C97" s="2044"/>
      <c r="D97" s="2044"/>
      <c r="E97" s="2044"/>
      <c r="F97" s="47"/>
      <c r="G97" s="47"/>
      <c r="H97" s="47"/>
      <c r="I97" s="47"/>
      <c r="J97" s="47"/>
      <c r="K97" s="2319"/>
      <c r="L97" s="2324">
        <f t="shared" si="12"/>
        <v>0.10806896551724138</v>
      </c>
      <c r="M97" s="2319"/>
      <c r="N97" s="2323"/>
      <c r="O97" s="2324">
        <f t="shared" si="13"/>
        <v>0.10806896551724138</v>
      </c>
      <c r="P97" t="s">
        <v>2412</v>
      </c>
    </row>
    <row r="98" spans="2:16" ht="14.25" hidden="1" thickBot="1">
      <c r="B98" s="2316"/>
      <c r="C98" s="2044"/>
      <c r="D98" s="2044"/>
      <c r="E98" s="2044"/>
      <c r="F98" s="47"/>
      <c r="G98" s="47"/>
      <c r="H98" s="47"/>
      <c r="I98" s="47"/>
      <c r="J98" s="47"/>
      <c r="K98" s="2319"/>
      <c r="L98" s="2325">
        <f t="shared" si="12"/>
        <v>1.3965517241379311E-2</v>
      </c>
      <c r="M98" s="2319"/>
      <c r="N98" s="2323"/>
      <c r="O98" s="2325">
        <f t="shared" si="13"/>
        <v>1.3965517241379311E-2</v>
      </c>
      <c r="P98" t="s">
        <v>2412</v>
      </c>
    </row>
    <row r="99" spans="2:16" hidden="1">
      <c r="B99" s="2305"/>
      <c r="C99" s="47"/>
      <c r="D99" s="47"/>
      <c r="E99" s="47"/>
      <c r="F99" s="47"/>
      <c r="G99" s="47"/>
      <c r="H99" s="47"/>
      <c r="I99" s="47"/>
      <c r="J99" s="47"/>
      <c r="K99" s="47"/>
      <c r="L99" s="47"/>
      <c r="M99" s="47"/>
      <c r="N99" s="47"/>
      <c r="O99" s="2197"/>
    </row>
    <row r="100" spans="2:16" ht="16.5">
      <c r="B100" s="901" t="s">
        <v>1944</v>
      </c>
      <c r="C100" s="910"/>
      <c r="D100" s="912"/>
      <c r="E100" s="910"/>
      <c r="F100" s="47"/>
      <c r="G100" s="47"/>
      <c r="H100" s="902"/>
      <c r="I100" s="903"/>
      <c r="J100" s="903"/>
      <c r="K100" s="903"/>
      <c r="L100" s="903"/>
      <c r="M100" s="903"/>
      <c r="N100" s="903"/>
      <c r="O100" s="914"/>
    </row>
    <row r="101" spans="2:16" ht="14.25">
      <c r="B101" s="901"/>
      <c r="C101" s="905" t="s">
        <v>1945</v>
      </c>
      <c r="D101" s="912"/>
      <c r="E101" s="910"/>
      <c r="F101" s="47"/>
      <c r="G101" s="47"/>
      <c r="H101" s="902"/>
      <c r="I101" s="903"/>
      <c r="J101" s="902" t="s">
        <v>1939</v>
      </c>
      <c r="K101" s="903"/>
      <c r="L101" s="902" t="s">
        <v>1939</v>
      </c>
      <c r="M101" s="903"/>
      <c r="N101" s="903"/>
      <c r="O101" s="904" t="s">
        <v>1939</v>
      </c>
    </row>
    <row r="102" spans="2:16">
      <c r="B102" s="2042"/>
      <c r="C102" s="912"/>
      <c r="D102" s="912" t="s">
        <v>318</v>
      </c>
      <c r="E102" s="910"/>
      <c r="F102" s="2291" t="s">
        <v>1624</v>
      </c>
      <c r="G102" s="910"/>
      <c r="H102" s="907" t="s">
        <v>1625</v>
      </c>
      <c r="I102" s="907" t="s">
        <v>1626</v>
      </c>
      <c r="J102" s="907" t="s">
        <v>1627</v>
      </c>
      <c r="K102" s="908" t="s">
        <v>316</v>
      </c>
      <c r="L102" s="909" t="s">
        <v>317</v>
      </c>
      <c r="M102" s="910"/>
      <c r="N102" s="908" t="s">
        <v>316</v>
      </c>
      <c r="O102" s="911" t="s">
        <v>317</v>
      </c>
    </row>
    <row r="103" spans="2:16">
      <c r="B103" s="2042"/>
      <c r="C103" s="912"/>
      <c r="D103" s="912"/>
      <c r="E103" s="912" t="s">
        <v>461</v>
      </c>
      <c r="F103" s="2292">
        <f t="shared" ref="F103:F111" si="14">F10</f>
        <v>0.34482758620689657</v>
      </c>
      <c r="G103" s="910"/>
      <c r="H103" s="2292">
        <f>IF(OR($F$20=$R$6,$F$20=$U$6),CO2データ!I67,IF($F$20=$S$6,CO2データ!L67,CO2データ!O67))</f>
        <v>16.456</v>
      </c>
      <c r="I103" s="2292">
        <f>IF(OR($F$20=$R$6,$F$20=$U$6),CO2データ!J67,IF($F$20=$S$6,CO2データ!M67,CO2データ!P67))</f>
        <v>16.456</v>
      </c>
      <c r="J103" s="2292">
        <f>IF(OR($F$20=$R$6,$F$20=$U$6),CO2データ!K67,IF($F$20=$S$6,CO2データ!N67,CO2データ!Q67))</f>
        <v>16.456</v>
      </c>
      <c r="K103" s="2059">
        <f>スコア!M80</f>
        <v>3</v>
      </c>
      <c r="L103" s="2294">
        <f t="shared" ref="L103:L111" si="15">IF(K103&gt;=5,$J103,IF(K103&gt;=4,$I103,$H103))</f>
        <v>16.456</v>
      </c>
      <c r="M103" s="910"/>
      <c r="N103" s="2059">
        <v>3</v>
      </c>
      <c r="O103" s="2295">
        <f>IF(OR($F$20=$R$6,$F$20=$U$6),CO2データ!I65,IF($F$20=$S$6,CO2データ!L65,CO2データ!O65))</f>
        <v>16.456</v>
      </c>
    </row>
    <row r="104" spans="2:16">
      <c r="B104" s="2042"/>
      <c r="C104" s="910"/>
      <c r="D104" s="912"/>
      <c r="E104" s="912" t="s">
        <v>463</v>
      </c>
      <c r="F104" s="2292">
        <f t="shared" si="14"/>
        <v>0.27586206896551724</v>
      </c>
      <c r="G104" s="910"/>
      <c r="H104" s="2292">
        <f>IF(OR($F$20=$R$6,$F$20=$U$6),CO2データ!I70,IF($F$20=$S$6,CO2データ!L70,CO2データ!O70))</f>
        <v>12.423999999999999</v>
      </c>
      <c r="I104" s="2292">
        <f>IF(OR($F$20=$R$6,$F$20=$U$6),CO2データ!J70,IF($F$20=$S$6,CO2データ!M70,CO2データ!P70))</f>
        <v>12.423999999999999</v>
      </c>
      <c r="J104" s="2292">
        <f>IF(OR($F$20=$R$6,$F$20=$U$6),CO2データ!K70,IF($F$20=$S$6,CO2データ!N70,CO2データ!Q70))</f>
        <v>12.423999999999999</v>
      </c>
      <c r="K104" s="2059">
        <f t="shared" ref="K104:K111" si="16">K$103</f>
        <v>3</v>
      </c>
      <c r="L104" s="2294">
        <f t="shared" si="15"/>
        <v>12.423999999999999</v>
      </c>
      <c r="M104" s="910"/>
      <c r="N104" s="2059">
        <v>3</v>
      </c>
      <c r="O104" s="2295">
        <f>IF(OR($F$20=$R$6,$F$20=$U$6),CO2データ!I68,IF($F$20=$S$6,CO2データ!L68,CO2データ!O68))</f>
        <v>12.423999999999999</v>
      </c>
    </row>
    <row r="105" spans="2:16">
      <c r="B105" s="2042"/>
      <c r="C105" s="910"/>
      <c r="D105" s="47"/>
      <c r="E105" s="912" t="s">
        <v>465</v>
      </c>
      <c r="F105" s="2292">
        <f t="shared" si="14"/>
        <v>0</v>
      </c>
      <c r="G105" s="910"/>
      <c r="H105" s="2292">
        <f>IF(OR($F$20=$R$6,$F$20=$U$6),CO2データ!I73,IF($F$20=$S$6,CO2データ!L73,CO2データ!O73))</f>
        <v>13.193999999999999</v>
      </c>
      <c r="I105" s="2292">
        <f>IF(OR($F$20=$R$6,$F$20=$U$6),CO2データ!J73,IF($F$20=$S$6,CO2データ!M73,CO2データ!P73))</f>
        <v>13.193999999999999</v>
      </c>
      <c r="J105" s="2292">
        <f>IF(OR($F$20=$R$6,$F$20=$U$6),CO2データ!K73,IF($F$20=$S$6,CO2データ!N73,CO2データ!Q73))</f>
        <v>13.193999999999999</v>
      </c>
      <c r="K105" s="2059">
        <f t="shared" si="16"/>
        <v>3</v>
      </c>
      <c r="L105" s="2294">
        <f t="shared" si="15"/>
        <v>13.193999999999999</v>
      </c>
      <c r="M105" s="910"/>
      <c r="N105" s="2059">
        <v>3</v>
      </c>
      <c r="O105" s="2295">
        <f>IF(OR($F$20=$R$6,$F$20=$U$6),CO2データ!I71,IF($F$20=$S$6,CO2データ!L71,CO2データ!O71))</f>
        <v>7.7379999999999995</v>
      </c>
    </row>
    <row r="106" spans="2:16">
      <c r="B106" s="2042"/>
      <c r="C106" s="910"/>
      <c r="D106" s="912"/>
      <c r="E106" s="912" t="s">
        <v>467</v>
      </c>
      <c r="F106" s="2292">
        <f t="shared" si="14"/>
        <v>0</v>
      </c>
      <c r="G106" s="910"/>
      <c r="H106" s="2292">
        <f>IF(OR($F$20=$R$6,$F$20=$U$6),CO2データ!I76,IF($F$20=$S$6,CO2データ!L76,CO2データ!O76))</f>
        <v>7.7379999999999995</v>
      </c>
      <c r="I106" s="2292">
        <f>IF(OR($F$20=$R$6,$F$20=$U$6),CO2データ!J76,IF($F$20=$S$6,CO2データ!M76,CO2データ!P76))</f>
        <v>7.7379999999999995</v>
      </c>
      <c r="J106" s="2292">
        <f>IF(OR($F$20=$R$6,$F$20=$U$6),CO2データ!K76,IF($F$20=$S$6,CO2データ!N76,CO2データ!Q76))</f>
        <v>7.7379999999999995</v>
      </c>
      <c r="K106" s="2059">
        <f t="shared" si="16"/>
        <v>3</v>
      </c>
      <c r="L106" s="2294">
        <f t="shared" si="15"/>
        <v>7.7379999999999995</v>
      </c>
      <c r="M106" s="910"/>
      <c r="N106" s="2059">
        <v>3</v>
      </c>
      <c r="O106" s="2295">
        <f>IF(OR($F$20=$R$6,$F$20=$U$6),CO2データ!I74,IF($F$20=$S$6,CO2データ!L74,CO2データ!O74))</f>
        <v>7.7379999999999995</v>
      </c>
    </row>
    <row r="107" spans="2:16">
      <c r="B107" s="2042"/>
      <c r="C107" s="47"/>
      <c r="D107" s="47"/>
      <c r="E107" s="2047" t="s">
        <v>1966</v>
      </c>
      <c r="F107" s="2292">
        <f t="shared" si="14"/>
        <v>0.20689655172413793</v>
      </c>
      <c r="G107" s="910"/>
      <c r="H107" s="2292">
        <f>IF(OR($F$20=$R$6,$F$20=$U$6),CO2データ!I79,IF($F$20=$S$6,CO2データ!L79,CO2データ!O79))</f>
        <v>13.426</v>
      </c>
      <c r="I107" s="2292">
        <f>IF(OR($F$20=$R$6,$F$20=$U$6),CO2データ!J79,IF($F$20=$S$6,CO2データ!M79,CO2データ!P79))</f>
        <v>13.426</v>
      </c>
      <c r="J107" s="2292">
        <f>IF(OR($F$20=$R$6,$F$20=$U$6),CO2データ!K79,IF($F$20=$S$6,CO2データ!N79,CO2データ!Q79))</f>
        <v>13.426</v>
      </c>
      <c r="K107" s="2059">
        <f t="shared" si="16"/>
        <v>3</v>
      </c>
      <c r="L107" s="2294">
        <f t="shared" si="15"/>
        <v>13.426</v>
      </c>
      <c r="M107" s="910"/>
      <c r="N107" s="2059">
        <v>3</v>
      </c>
      <c r="O107" s="2295">
        <f>IF(OR($F$20=$R$6,$F$20=$U$6),CO2データ!I77,IF($F$20=$S$6,CO2データ!L77,CO2データ!O77))</f>
        <v>13.426</v>
      </c>
    </row>
    <row r="108" spans="2:16">
      <c r="B108" s="2042"/>
      <c r="C108" s="47"/>
      <c r="D108" s="47"/>
      <c r="E108" s="2047" t="s">
        <v>477</v>
      </c>
      <c r="F108" s="2292">
        <f t="shared" si="14"/>
        <v>0</v>
      </c>
      <c r="G108" s="910"/>
      <c r="H108" s="2292">
        <f>IF(OR($F$20=$R$6,$F$20=$U$6),CO2データ!I82,IF($F$20=$S$6,CO2データ!L82,CO2データ!O82))</f>
        <v>9.4220000000000006</v>
      </c>
      <c r="I108" s="2292">
        <f>IF(OR($F$20=$R$6,$F$20=$U$6),CO2データ!J82,IF($F$20=$S$6,CO2データ!M82,CO2データ!P82))</f>
        <v>9.4220000000000006</v>
      </c>
      <c r="J108" s="2292">
        <f>IF(OR($F$20=$R$6,$F$20=$U$6),CO2データ!K82,IF($F$20=$S$6,CO2データ!N82,CO2データ!Q82))</f>
        <v>9.4220000000000006</v>
      </c>
      <c r="K108" s="2059">
        <f t="shared" si="16"/>
        <v>3</v>
      </c>
      <c r="L108" s="2294">
        <f t="shared" si="15"/>
        <v>9.4220000000000006</v>
      </c>
      <c r="M108" s="910"/>
      <c r="N108" s="2059">
        <v>3</v>
      </c>
      <c r="O108" s="2295">
        <f>IF(OR($F$20=$R$6,$F$20=$U$6),CO2データ!I80,IF($F$20=$S$6,CO2データ!L80,CO2データ!O80))</f>
        <v>9.4220000000000006</v>
      </c>
    </row>
    <row r="109" spans="2:16">
      <c r="B109" s="2042"/>
      <c r="C109" s="47"/>
      <c r="D109" s="47"/>
      <c r="E109" s="2047" t="s">
        <v>471</v>
      </c>
      <c r="F109" s="2292">
        <f t="shared" si="14"/>
        <v>0</v>
      </c>
      <c r="G109" s="910"/>
      <c r="H109" s="2292">
        <f>IF(OR($F$20=$R$6,$F$20=$U$6),CO2データ!I85,IF($F$20=$S$6,CO2データ!L85,CO2データ!O85))</f>
        <v>16.053999999999998</v>
      </c>
      <c r="I109" s="2292">
        <f>IF(OR($F$20=$R$6,$F$20=$U$6),CO2データ!J85,IF($F$20=$S$6,CO2データ!M85,CO2データ!P85))</f>
        <v>16.053999999999998</v>
      </c>
      <c r="J109" s="2292">
        <f>IF(OR($F$20=$R$6,$F$20=$U$6),CO2データ!K85,IF($F$20=$S$6,CO2データ!N85,CO2データ!Q85))</f>
        <v>16.053999999999998</v>
      </c>
      <c r="K109" s="2059">
        <f t="shared" si="16"/>
        <v>3</v>
      </c>
      <c r="L109" s="2294">
        <f t="shared" si="15"/>
        <v>16.053999999999998</v>
      </c>
      <c r="M109" s="910"/>
      <c r="N109" s="2059">
        <v>3</v>
      </c>
      <c r="O109" s="2295">
        <f>IF(OR($F$20=$R$6,$F$20=$U$6),CO2データ!I83,IF($F$20=$S$6,CO2データ!L83,CO2データ!O83))</f>
        <v>16.053999999999998</v>
      </c>
    </row>
    <row r="110" spans="2:16">
      <c r="B110" s="2042"/>
      <c r="C110" s="47"/>
      <c r="D110" s="47"/>
      <c r="E110" s="2047" t="s">
        <v>319</v>
      </c>
      <c r="F110" s="2292">
        <f t="shared" si="14"/>
        <v>0</v>
      </c>
      <c r="G110" s="910"/>
      <c r="H110" s="2292">
        <f>IF(OR($F$20=$R$6,$F$20=$U$6),CO2データ!I88,IF($F$20=$S$6,CO2データ!L88,CO2データ!O88))</f>
        <v>13.942</v>
      </c>
      <c r="I110" s="2292">
        <f>IF(OR($F$20=$R$6,$F$20=$U$6),CO2データ!J88,IF($F$20=$S$6,CO2データ!M88,CO2データ!P88))</f>
        <v>13.942</v>
      </c>
      <c r="J110" s="2292">
        <f>IF(OR($F$20=$R$6,$F$20=$U$6),CO2データ!K88,IF($F$20=$S$6,CO2データ!N88,CO2データ!Q88))</f>
        <v>13.942</v>
      </c>
      <c r="K110" s="2059">
        <f t="shared" si="16"/>
        <v>3</v>
      </c>
      <c r="L110" s="2294">
        <f t="shared" si="15"/>
        <v>13.942</v>
      </c>
      <c r="M110" s="910"/>
      <c r="N110" s="2059">
        <v>3</v>
      </c>
      <c r="O110" s="2295">
        <f>IF(OR($F$20=$R$6,$F$20=$U$6),CO2データ!I86,IF($F$20=$S$6,CO2データ!L86,CO2データ!O86))</f>
        <v>13.942</v>
      </c>
    </row>
    <row r="111" spans="2:16">
      <c r="B111" s="2042"/>
      <c r="C111" s="47"/>
      <c r="D111" s="47"/>
      <c r="E111" s="2047" t="s">
        <v>475</v>
      </c>
      <c r="F111" s="2292">
        <f t="shared" si="14"/>
        <v>0.17241379310344829</v>
      </c>
      <c r="G111" s="910"/>
      <c r="H111" s="2292">
        <f>IF(OR($F$20=$R$6,$F$20=$U$6),CO2データ!I91,IF($F$20=$S$6,CO2データ!L91,CO2データ!O91))</f>
        <v>8.3709999999999987</v>
      </c>
      <c r="I111" s="2292">
        <f>IF(OR($F$20=$R$6,$F$20=$U$6),CO2データ!J91,IF($F$20=$S$6,CO2データ!M91,CO2データ!P91))</f>
        <v>9.7349999999999994</v>
      </c>
      <c r="J111" s="2292">
        <f>IF(OR($F$20=$R$6,$F$20=$U$6),CO2データ!K91,IF($F$20=$S$6,CO2データ!N91,CO2データ!Q91))</f>
        <v>10.863</v>
      </c>
      <c r="K111" s="2059">
        <f t="shared" si="16"/>
        <v>3</v>
      </c>
      <c r="L111" s="2294">
        <f t="shared" si="15"/>
        <v>8.3709999999999987</v>
      </c>
      <c r="M111" s="910"/>
      <c r="N111" s="2059">
        <v>3</v>
      </c>
      <c r="O111" s="2295">
        <f>IF(OR($F$20=$R$6,$F$20=$U$6),CO2データ!I89,IF($F$20=$S$6,CO2データ!L89,CO2データ!O89))</f>
        <v>8.3709999999999987</v>
      </c>
    </row>
    <row r="112" spans="2:16" ht="14.25" thickBot="1">
      <c r="B112" s="2042"/>
      <c r="C112" s="47"/>
      <c r="D112" s="47"/>
      <c r="E112" s="47"/>
      <c r="F112" s="47"/>
      <c r="G112" s="47"/>
      <c r="H112" s="47"/>
      <c r="I112" s="47"/>
      <c r="J112" s="47"/>
      <c r="K112" s="47"/>
      <c r="L112" s="47"/>
      <c r="M112" s="47"/>
      <c r="N112" s="47"/>
      <c r="O112" s="2197"/>
    </row>
    <row r="113" spans="2:18" ht="14.25" thickBot="1">
      <c r="B113" s="2305"/>
      <c r="C113" s="905" t="s">
        <v>2075</v>
      </c>
      <c r="D113" s="912"/>
      <c r="E113" s="2047"/>
      <c r="F113" s="47"/>
      <c r="G113" s="47"/>
      <c r="H113" s="47"/>
      <c r="I113" s="47"/>
      <c r="J113" s="47"/>
      <c r="K113" s="47"/>
      <c r="L113" s="2308">
        <f>SUMPRODUCT(F103:F111,L103:L111)</f>
        <v>13.322862068965517</v>
      </c>
      <c r="M113" s="47"/>
      <c r="N113" s="47"/>
      <c r="O113" s="2308">
        <f>SUMPRODUCT(F103:F111,O103:O111)</f>
        <v>13.322862068965517</v>
      </c>
    </row>
    <row r="114" spans="2:18">
      <c r="B114" s="2042"/>
      <c r="C114" s="47"/>
      <c r="D114" s="47"/>
      <c r="E114" s="47"/>
      <c r="F114" s="47"/>
      <c r="G114" s="47"/>
      <c r="H114" s="47"/>
      <c r="I114" s="47"/>
      <c r="J114" s="47"/>
      <c r="K114" s="47"/>
      <c r="L114" s="47"/>
      <c r="M114" s="47"/>
      <c r="N114" s="47"/>
      <c r="O114" s="2197"/>
    </row>
    <row r="115" spans="2:18" ht="17.25" thickBot="1">
      <c r="B115" s="901" t="s">
        <v>1946</v>
      </c>
      <c r="C115" s="47"/>
      <c r="D115" s="47"/>
      <c r="E115" s="47"/>
      <c r="F115" s="47"/>
      <c r="G115" s="47"/>
      <c r="H115" s="47"/>
      <c r="I115" s="47"/>
      <c r="J115" s="47"/>
      <c r="K115" s="47"/>
      <c r="L115" s="902" t="s">
        <v>1939</v>
      </c>
      <c r="M115" s="910"/>
      <c r="N115" s="910"/>
      <c r="O115" s="904" t="s">
        <v>1939</v>
      </c>
      <c r="R115" t="s">
        <v>1947</v>
      </c>
    </row>
    <row r="116" spans="2:18" ht="14.25" thickBot="1">
      <c r="B116" s="901"/>
      <c r="C116" s="905" t="s">
        <v>2076</v>
      </c>
      <c r="D116" s="47"/>
      <c r="E116" s="47"/>
      <c r="F116" s="47" t="s">
        <v>423</v>
      </c>
      <c r="G116" s="47"/>
      <c r="H116" s="47" t="s">
        <v>1750</v>
      </c>
      <c r="I116" s="47"/>
      <c r="J116" s="47" t="s">
        <v>2349</v>
      </c>
      <c r="K116" s="47"/>
      <c r="L116" s="915" t="e">
        <f>SUM(L118:L121)</f>
        <v>#VALUE!</v>
      </c>
      <c r="M116" s="910"/>
      <c r="N116" s="916" t="s">
        <v>2077</v>
      </c>
      <c r="O116" s="915" t="e">
        <f>SUM(O118:O121)</f>
        <v>#N/A</v>
      </c>
    </row>
    <row r="117" spans="2:18">
      <c r="B117" s="901"/>
      <c r="C117" s="905"/>
      <c r="D117" s="47"/>
      <c r="E117" s="47"/>
      <c r="F117" s="2326" t="s">
        <v>2944</v>
      </c>
      <c r="G117" s="47"/>
      <c r="H117" s="898" t="s">
        <v>1752</v>
      </c>
      <c r="I117" s="898" t="s">
        <v>1751</v>
      </c>
      <c r="J117" s="912" t="s">
        <v>1748</v>
      </c>
      <c r="K117" s="47"/>
      <c r="L117" s="917"/>
      <c r="M117" s="910"/>
      <c r="N117" s="916"/>
      <c r="O117" s="2056"/>
    </row>
    <row r="118" spans="2:18">
      <c r="B118" s="901"/>
      <c r="C118" s="905"/>
      <c r="D118" s="47"/>
      <c r="E118" s="47" t="s">
        <v>649</v>
      </c>
      <c r="F118" s="2603">
        <f>計画書!G32+計画書!G33</f>
        <v>12000</v>
      </c>
      <c r="G118" s="47"/>
      <c r="H118" s="2327" t="e">
        <f>計画書!Q93+H125</f>
        <v>#N/A</v>
      </c>
      <c r="I118" s="2491"/>
      <c r="J118" s="919" t="e">
        <f>計画書!L113</f>
        <v>#VALUE!</v>
      </c>
      <c r="K118" s="47"/>
      <c r="L118" s="917"/>
      <c r="M118" s="910"/>
      <c r="N118" s="916"/>
      <c r="O118" s="2328" t="e">
        <f>IF(F118=0,0,H118*J118/F118*1000)</f>
        <v>#N/A</v>
      </c>
    </row>
    <row r="119" spans="2:18">
      <c r="B119" s="901"/>
      <c r="C119" s="905"/>
      <c r="D119" s="47"/>
      <c r="E119" s="47"/>
      <c r="F119" s="2604"/>
      <c r="G119" s="47"/>
      <c r="H119" s="47"/>
      <c r="I119" s="2327">
        <f>I125+H125</f>
        <v>0</v>
      </c>
      <c r="J119" s="47"/>
      <c r="K119" s="47"/>
      <c r="L119" s="2105" t="e">
        <f>IF(F118=0,0,L125+(H125*J118)/F118*1000)</f>
        <v>#VALUE!</v>
      </c>
      <c r="M119" s="910"/>
      <c r="N119" s="916"/>
      <c r="O119" s="2492"/>
    </row>
    <row r="120" spans="2:18">
      <c r="B120" s="901"/>
      <c r="C120" s="905"/>
      <c r="D120" s="47"/>
      <c r="E120" s="47" t="s">
        <v>720</v>
      </c>
      <c r="F120" s="2603">
        <f>メイン!E64</f>
        <v>2000</v>
      </c>
      <c r="G120" s="47"/>
      <c r="H120" s="2327">
        <f>計画書!Q127</f>
        <v>0</v>
      </c>
      <c r="I120" s="2327">
        <f>計画書!N127</f>
        <v>0</v>
      </c>
      <c r="J120" s="919" t="e">
        <f>CO2データ!R168</f>
        <v>#VALUE!</v>
      </c>
      <c r="K120" s="47"/>
      <c r="L120" s="2105" t="e">
        <f>IF(F120=0,0,I120*J120/F120*1000)</f>
        <v>#VALUE!</v>
      </c>
      <c r="M120" s="910"/>
      <c r="N120" s="916"/>
      <c r="O120" s="2328" t="e">
        <f>IF(F120=0,0,H120*J120/F120*1000)</f>
        <v>#VALUE!</v>
      </c>
    </row>
    <row r="121" spans="2:18">
      <c r="B121" s="901"/>
      <c r="C121" s="905"/>
      <c r="D121" s="47"/>
      <c r="E121" s="47" t="s">
        <v>1749</v>
      </c>
      <c r="F121" s="2603">
        <f>メイン!E65</f>
        <v>500</v>
      </c>
      <c r="G121" s="47"/>
      <c r="H121" s="2327">
        <f>計画書!Q131</f>
        <v>0</v>
      </c>
      <c r="I121" s="2327" t="str">
        <f>計画書!N131</f>
        <v>-</v>
      </c>
      <c r="J121" s="919" t="e">
        <f>CO2データ!R169</f>
        <v>#VALUE!</v>
      </c>
      <c r="K121" s="47"/>
      <c r="L121" s="2105" t="e">
        <f>IF(F121=0,0,I121*J121/F121*1000)</f>
        <v>#VALUE!</v>
      </c>
      <c r="M121" s="910"/>
      <c r="N121" s="916"/>
      <c r="O121" s="2328" t="e">
        <f>IF(F121=0,0,H121*J121/F121*1000)</f>
        <v>#VALUE!</v>
      </c>
    </row>
    <row r="122" spans="2:18" ht="14.25" thickBot="1">
      <c r="B122" s="901"/>
      <c r="C122" s="47"/>
      <c r="D122" s="47"/>
      <c r="E122" s="47"/>
      <c r="F122" s="47"/>
      <c r="G122" s="47"/>
      <c r="H122" s="47"/>
      <c r="I122" s="47"/>
      <c r="J122" s="47"/>
      <c r="K122" s="47"/>
      <c r="L122" s="902"/>
      <c r="M122" s="910"/>
      <c r="N122" s="910"/>
      <c r="O122" s="904"/>
    </row>
    <row r="123" spans="2:18" ht="14.25" thickBot="1">
      <c r="B123" s="2042"/>
      <c r="C123" s="905" t="s">
        <v>2078</v>
      </c>
      <c r="D123" s="47"/>
      <c r="E123" s="47"/>
      <c r="F123" s="47" t="s">
        <v>423</v>
      </c>
      <c r="G123" s="47"/>
      <c r="H123" s="47" t="s">
        <v>1750</v>
      </c>
      <c r="I123" s="47"/>
      <c r="J123" s="47" t="s">
        <v>2349</v>
      </c>
      <c r="K123" s="47"/>
      <c r="L123" s="915" t="e">
        <f>SUM(L125:L127)</f>
        <v>#VALUE!</v>
      </c>
      <c r="M123" s="47"/>
      <c r="N123" s="47"/>
      <c r="O123" s="2197"/>
    </row>
    <row r="124" spans="2:18">
      <c r="B124" s="2042"/>
      <c r="C124" s="905"/>
      <c r="D124" s="47"/>
      <c r="E124" s="47"/>
      <c r="F124" s="2046" t="s">
        <v>2360</v>
      </c>
      <c r="G124" s="47"/>
      <c r="H124" s="2329" t="s">
        <v>129</v>
      </c>
      <c r="I124" s="898" t="s">
        <v>1753</v>
      </c>
      <c r="J124" s="912" t="s">
        <v>1748</v>
      </c>
      <c r="K124" s="47"/>
      <c r="L124" s="47"/>
      <c r="M124" s="47"/>
      <c r="N124" s="47"/>
      <c r="O124" s="2197"/>
    </row>
    <row r="125" spans="2:18">
      <c r="B125" s="2042"/>
      <c r="C125" s="905"/>
      <c r="D125" s="47"/>
      <c r="E125" s="47" t="s">
        <v>649</v>
      </c>
      <c r="F125" s="2327">
        <f>F118</f>
        <v>12000</v>
      </c>
      <c r="G125" s="47"/>
      <c r="H125" s="2603">
        <f>計画書!J84</f>
        <v>0</v>
      </c>
      <c r="I125" s="2327">
        <f>計画書!N93</f>
        <v>0</v>
      </c>
      <c r="J125" s="919" t="e">
        <f>CO2データ!R170</f>
        <v>#VALUE!</v>
      </c>
      <c r="K125" s="47"/>
      <c r="L125" s="2105" t="e">
        <f>IF(F125=0,0,I125*J125/F125*1000)</f>
        <v>#VALUE!</v>
      </c>
      <c r="M125" s="47"/>
      <c r="N125" s="47"/>
      <c r="O125" s="2197"/>
    </row>
    <row r="126" spans="2:18">
      <c r="B126" s="2042"/>
      <c r="C126" s="905"/>
      <c r="D126" s="47"/>
      <c r="E126" s="47" t="s">
        <v>720</v>
      </c>
      <c r="F126" s="2327">
        <f>F120</f>
        <v>2000</v>
      </c>
      <c r="G126" s="47"/>
      <c r="H126" s="2603">
        <f>IF(計画書!F62=計画書!S59,計画書!K84,0)</f>
        <v>0</v>
      </c>
      <c r="I126" s="2327">
        <f>I120-H126</f>
        <v>0</v>
      </c>
      <c r="J126" s="919" t="e">
        <f>J120</f>
        <v>#VALUE!</v>
      </c>
      <c r="K126" s="47"/>
      <c r="L126" s="2105" t="e">
        <f>IF(F126=0,0,I126*J126/F126*1000)</f>
        <v>#VALUE!</v>
      </c>
      <c r="M126" s="47"/>
      <c r="N126" s="47"/>
      <c r="O126" s="2197"/>
    </row>
    <row r="127" spans="2:18">
      <c r="B127" s="2042"/>
      <c r="C127" s="905"/>
      <c r="D127" s="47"/>
      <c r="E127" s="47" t="s">
        <v>1749</v>
      </c>
      <c r="F127" s="2327">
        <f>F121</f>
        <v>500</v>
      </c>
      <c r="G127" s="47"/>
      <c r="H127" s="2603">
        <f>計画書!L84</f>
        <v>0</v>
      </c>
      <c r="I127" s="2327" t="e">
        <f>I121-H127</f>
        <v>#VALUE!</v>
      </c>
      <c r="J127" s="919" t="e">
        <f>J121</f>
        <v>#VALUE!</v>
      </c>
      <c r="K127" s="47"/>
      <c r="L127" s="2105" t="e">
        <f>IF(F127=0,0,I127*J127/F127*1000)</f>
        <v>#VALUE!</v>
      </c>
      <c r="M127" s="47"/>
      <c r="N127" s="47"/>
      <c r="O127" s="2197"/>
    </row>
    <row r="128" spans="2:18">
      <c r="B128" s="2042"/>
      <c r="C128" s="905"/>
      <c r="D128" s="47"/>
      <c r="E128" s="47"/>
      <c r="F128" s="47"/>
      <c r="G128" s="47"/>
      <c r="H128" s="47"/>
      <c r="I128" s="47"/>
      <c r="J128" s="47"/>
      <c r="K128" s="47"/>
      <c r="L128" s="47"/>
      <c r="M128" s="47"/>
      <c r="N128" s="47"/>
      <c r="O128" s="2197"/>
    </row>
    <row r="129" spans="2:15" hidden="1">
      <c r="B129" s="2042"/>
      <c r="C129" s="905"/>
      <c r="D129" s="47"/>
      <c r="E129" s="47"/>
      <c r="F129" s="47" t="s">
        <v>2161</v>
      </c>
      <c r="G129" s="47"/>
      <c r="H129" s="2327"/>
      <c r="I129" s="919"/>
      <c r="J129" s="2181"/>
      <c r="K129" s="47"/>
      <c r="L129" s="47"/>
      <c r="M129" s="47"/>
      <c r="N129" s="47"/>
      <c r="O129" s="2197"/>
    </row>
    <row r="130" spans="2:15" hidden="1">
      <c r="B130" s="2042"/>
      <c r="C130" s="905"/>
      <c r="D130" s="47"/>
      <c r="E130" s="47"/>
      <c r="F130" s="47"/>
      <c r="G130" s="47"/>
      <c r="H130" s="910"/>
      <c r="I130" s="47"/>
      <c r="J130" s="47"/>
      <c r="K130" s="47"/>
      <c r="L130" s="2183"/>
      <c r="M130" s="47"/>
      <c r="N130" s="47"/>
      <c r="O130" s="2197"/>
    </row>
    <row r="131" spans="2:15" ht="16.5">
      <c r="B131" s="901" t="s">
        <v>1948</v>
      </c>
      <c r="C131" s="910"/>
      <c r="D131" s="912"/>
      <c r="E131" s="910"/>
      <c r="F131" s="903"/>
      <c r="G131" s="910"/>
      <c r="H131" s="910"/>
      <c r="I131" s="910"/>
      <c r="J131" s="910"/>
      <c r="K131" s="2330"/>
      <c r="L131" s="902" t="s">
        <v>1939</v>
      </c>
      <c r="M131" s="910"/>
      <c r="N131" s="910"/>
      <c r="O131" s="904" t="s">
        <v>1939</v>
      </c>
    </row>
    <row r="132" spans="2:15">
      <c r="B132" s="2045"/>
      <c r="C132" s="910"/>
      <c r="D132" s="912"/>
      <c r="E132" s="910"/>
      <c r="F132" s="903"/>
      <c r="G132" s="910"/>
      <c r="H132" s="910"/>
      <c r="I132" s="910"/>
      <c r="J132" s="910"/>
      <c r="K132" s="2330"/>
      <c r="L132" s="909" t="s">
        <v>317</v>
      </c>
      <c r="M132" s="910"/>
      <c r="N132" s="920"/>
      <c r="O132" s="911" t="s">
        <v>317</v>
      </c>
    </row>
    <row r="133" spans="2:15">
      <c r="B133" s="2045"/>
      <c r="C133" s="921" t="s">
        <v>724</v>
      </c>
      <c r="D133" s="922"/>
      <c r="E133" s="922"/>
      <c r="F133" s="923"/>
      <c r="G133" s="910"/>
      <c r="H133" s="910"/>
      <c r="I133" s="910"/>
      <c r="J133" s="910"/>
      <c r="K133" s="2330"/>
      <c r="L133" s="924">
        <f>L24</f>
        <v>13.77</v>
      </c>
      <c r="M133" s="910"/>
      <c r="N133" s="910"/>
      <c r="O133" s="925">
        <f>O24</f>
        <v>13.77</v>
      </c>
    </row>
    <row r="134" spans="2:15">
      <c r="B134" s="2045"/>
      <c r="C134" s="921" t="s">
        <v>2162</v>
      </c>
      <c r="D134" s="922"/>
      <c r="E134" s="922"/>
      <c r="F134" s="923"/>
      <c r="G134" s="910"/>
      <c r="H134" s="910"/>
      <c r="I134" s="910"/>
      <c r="J134" s="910"/>
      <c r="K134" s="2330"/>
      <c r="L134" s="924">
        <f>L113</f>
        <v>13.322862068965517</v>
      </c>
      <c r="M134" s="910"/>
      <c r="N134" s="910"/>
      <c r="O134" s="925">
        <f>O113</f>
        <v>13.322862068965517</v>
      </c>
    </row>
    <row r="135" spans="2:15">
      <c r="B135" s="2045"/>
      <c r="C135" s="921" t="s">
        <v>726</v>
      </c>
      <c r="D135" s="922"/>
      <c r="E135" s="922"/>
      <c r="F135" s="923"/>
      <c r="G135" s="910"/>
      <c r="H135" s="910"/>
      <c r="I135" s="910"/>
      <c r="J135" s="910"/>
      <c r="K135" s="2330"/>
      <c r="L135" s="926" t="e">
        <f>L123</f>
        <v>#VALUE!</v>
      </c>
      <c r="M135" s="910"/>
      <c r="N135" s="910"/>
      <c r="O135" s="927" t="e">
        <f>O116</f>
        <v>#N/A</v>
      </c>
    </row>
    <row r="136" spans="2:15" ht="14.25" thickBot="1">
      <c r="B136" s="2202"/>
      <c r="C136" s="928" t="s">
        <v>479</v>
      </c>
      <c r="D136" s="929"/>
      <c r="E136" s="930"/>
      <c r="F136" s="931"/>
      <c r="G136" s="2203"/>
      <c r="H136" s="2203"/>
      <c r="I136" s="2203"/>
      <c r="J136" s="2203"/>
      <c r="K136" s="2203"/>
      <c r="L136" s="932" t="e">
        <f>IF(COUNTIF(L133:L135,$R$115)&gt;0,$R$115,SUM(L133:L135))</f>
        <v>#VALUE!</v>
      </c>
      <c r="M136" s="933"/>
      <c r="N136" s="933"/>
      <c r="O136" s="934" t="e">
        <f>IF(COUNTIF(O133:O135,$R$115)&gt;0,$R$115,SUM(O133:O135))</f>
        <v>#N/A</v>
      </c>
    </row>
    <row r="137" spans="2:15"/>
    <row r="145" customFormat="1" hidden="1"/>
    <row r="146" customFormat="1" hidden="1"/>
    <row r="147" customFormat="1" hidden="1"/>
    <row r="148" customFormat="1" hidden="1"/>
    <row r="149" customFormat="1" hidden="1"/>
    <row r="150" customFormat="1" hidden="1"/>
    <row r="151" customFormat="1" hidden="1"/>
    <row r="152" customFormat="1" hidden="1"/>
    <row r="153" customFormat="1" hidden="1"/>
    <row r="154" customFormat="1" hidden="1"/>
    <row r="155" customFormat="1" hidden="1"/>
    <row r="156" customFormat="1" hidden="1"/>
    <row r="157" customFormat="1" hidden="1"/>
    <row r="158" customFormat="1" hidden="1"/>
    <row r="159" customFormat="1" hidden="1"/>
    <row r="160" customFormat="1" hidden="1"/>
    <row r="161" customFormat="1" hidden="1"/>
    <row r="162" customFormat="1" hidden="1"/>
    <row r="163" customFormat="1" hidden="1"/>
    <row r="164" customFormat="1" hidden="1"/>
    <row r="165" customFormat="1" hidden="1"/>
    <row r="166" customFormat="1" hidden="1"/>
    <row r="167" customFormat="1" hidden="1"/>
    <row r="168" customFormat="1" hidden="1"/>
    <row r="169" customFormat="1" hidden="1"/>
    <row r="170" customFormat="1" hidden="1"/>
    <row r="171" customFormat="1" hidden="1"/>
    <row r="172" customFormat="1" hidden="1"/>
    <row r="173" customFormat="1" hidden="1"/>
    <row r="174" customFormat="1" hidden="1"/>
    <row r="175" customFormat="1" hidden="1"/>
    <row r="176" customFormat="1" hidden="1"/>
    <row r="177" customFormat="1" hidden="1"/>
    <row r="178" customFormat="1" hidden="1"/>
    <row r="179" customFormat="1" hidden="1"/>
    <row r="180" customFormat="1"/>
    <row r="181" customFormat="1"/>
    <row r="182" customFormat="1"/>
    <row r="183" customFormat="1"/>
    <row r="184" customFormat="1"/>
    <row r="185" customFormat="1"/>
    <row r="186" customFormat="1"/>
  </sheetData>
  <sheetProtection algorithmName="SHA-512" hashValue="Pzhj4USMx/KGXI+ze/eJUhPap9H3hTQXgLNSeAUFkJByxVGmrumNkKZKkC4/1VyH2i8a4vmGcRl7GWRweigKrw==" saltValue="BMl4r/x34FSDxqPVNUJGIw==" spinCount="100000" sheet="1" objects="1" scenarios="1"/>
  <mergeCells count="3">
    <mergeCell ref="L2:M2"/>
    <mergeCell ref="N2:O2"/>
    <mergeCell ref="L3:M3"/>
  </mergeCells>
  <phoneticPr fontId="21"/>
  <conditionalFormatting sqref="E133 E135">
    <cfRule type="cellIs" dxfId="5" priority="1" stopIfTrue="1" operator="equal">
      <formula>5</formula>
    </cfRule>
    <cfRule type="cellIs" dxfId="4" priority="2" stopIfTrue="1" operator="equal">
      <formula>4</formula>
    </cfRule>
    <cfRule type="cellIs" dxfId="3" priority="3" stopIfTrue="1" operator="equal">
      <formula>2</formula>
    </cfRule>
  </conditionalFormatting>
  <printOptions horizontalCentered="1"/>
  <pageMargins left="0.59055118110236227" right="0.59055118110236227" top="0.78740157480314965" bottom="0.59055118110236227" header="0.51181102362204722" footer="0.51181102362204722"/>
  <pageSetup paperSize="9" scale="72" orientation="portrait" verticalDpi="300" r:id="rId1"/>
  <headerFooter alignWithMargins="0">
    <oddHeader>&amp;L&amp;F&amp;R&amp;A</oddHeader>
    <oddFooter>&amp;C&amp;P/&amp;N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pageSetUpPr autoPageBreaks="0"/>
  </sheetPr>
  <dimension ref="A1:CH181"/>
  <sheetViews>
    <sheetView showGridLines="0" topLeftCell="A2" zoomScaleNormal="100" zoomScaleSheetLayoutView="100" zoomScalePageLayoutView="25" workbookViewId="0">
      <selection activeCell="B2" sqref="B2"/>
    </sheetView>
  </sheetViews>
  <sheetFormatPr defaultColWidth="0" defaultRowHeight="13.5" zeroHeight="1"/>
  <cols>
    <col min="1" max="1" width="1.25" customWidth="1"/>
    <col min="2" max="2" width="7.25" style="1812" customWidth="1"/>
    <col min="3" max="3" width="37" style="1813" customWidth="1"/>
    <col min="4" max="4" width="8.875" style="1814" bestFit="1" customWidth="1"/>
    <col min="5" max="5" width="8.875" style="1815" bestFit="1" customWidth="1"/>
    <col min="6" max="6" width="1.625" customWidth="1"/>
    <col min="7" max="14" width="7.875" style="1815" customWidth="1"/>
    <col min="15" max="15" width="2.625" customWidth="1"/>
    <col min="16" max="16" width="5.875" style="1816" customWidth="1"/>
    <col min="17" max="17" width="11.375" style="1816" customWidth="1"/>
    <col min="18" max="18" width="37.25" style="1817" customWidth="1"/>
    <col min="19" max="31" width="6.625" style="1818" customWidth="1"/>
    <col min="32" max="32" width="1.625" customWidth="1"/>
    <col min="33" max="33" width="10.5" style="136" bestFit="1" customWidth="1"/>
    <col min="34" max="34" width="6.875" style="136" bestFit="1" customWidth="1"/>
    <col min="35" max="35" width="40.625" style="1819" bestFit="1" customWidth="1"/>
    <col min="36" max="36" width="6.375" style="136" bestFit="1" customWidth="1"/>
    <col min="37" max="37" width="5.625" style="136" bestFit="1" customWidth="1"/>
    <col min="38" max="39" width="6.375" style="136" bestFit="1" customWidth="1"/>
    <col min="40" max="40" width="5.625" style="136" bestFit="1" customWidth="1"/>
    <col min="41" max="41" width="6.125" style="136" bestFit="1" customWidth="1"/>
    <col min="42" max="42" width="8" style="136" bestFit="1" customWidth="1"/>
    <col min="43" max="43" width="6.375" style="136" bestFit="1" customWidth="1"/>
    <col min="44" max="44" width="6" style="136" bestFit="1" customWidth="1"/>
    <col min="45" max="45" width="6.375" style="136" bestFit="1" customWidth="1"/>
    <col min="46" max="46" width="5.625" style="136" bestFit="1" customWidth="1"/>
    <col min="47" max="47" width="7" style="136" bestFit="1" customWidth="1"/>
    <col min="48" max="48" width="7.875" style="136" customWidth="1"/>
    <col min="49" max="49" width="3.5" customWidth="1"/>
    <col min="50" max="50" width="12.5" style="136" hidden="1" customWidth="1"/>
    <col min="51" max="51" width="6.875" style="136" hidden="1" customWidth="1"/>
    <col min="52" max="52" width="40.625" style="1819" hidden="1" customWidth="1"/>
    <col min="53" max="53" width="6.375" style="136" hidden="1" customWidth="1"/>
    <col min="54" max="54" width="5" style="136" hidden="1" customWidth="1"/>
    <col min="55" max="56" width="6.375" style="136" hidden="1" customWidth="1"/>
    <col min="57" max="57" width="5" style="136" hidden="1" customWidth="1"/>
    <col min="58" max="58" width="6.125" style="136" hidden="1" customWidth="1"/>
    <col min="59" max="59" width="8" style="136" hidden="1" customWidth="1"/>
    <col min="60" max="60" width="6.375" style="136" hidden="1" customWidth="1"/>
    <col min="61" max="61" width="6" style="136" hidden="1" customWidth="1"/>
    <col min="62" max="62" width="6.375" style="136" hidden="1" customWidth="1"/>
    <col min="63" max="63" width="5.625" style="136" hidden="1" customWidth="1"/>
    <col min="64" max="64" width="7" style="136" hidden="1" customWidth="1"/>
    <col min="65" max="65" width="8.875" style="136" hidden="1" customWidth="1"/>
    <col min="66" max="66" width="1.375" hidden="1" customWidth="1"/>
    <col min="67" max="67" width="9.75" style="136" hidden="1" customWidth="1"/>
    <col min="68" max="68" width="6.875" style="136" hidden="1" customWidth="1"/>
    <col min="69" max="69" width="37.625" style="1819" hidden="1" customWidth="1"/>
    <col min="70" max="82" width="6.625" style="136" hidden="1" customWidth="1"/>
    <col min="83" max="83" width="1.875" style="136" customWidth="1"/>
    <col min="84" max="84" width="4.75" hidden="1" customWidth="1"/>
    <col min="85" max="85" width="0" style="136" hidden="1" customWidth="1"/>
    <col min="86" max="86" width="4.75" style="136" hidden="1" customWidth="1"/>
    <col min="87" max="16384" width="0" style="136" hidden="1"/>
  </cols>
  <sheetData>
    <row r="1" spans="1:84"/>
    <row r="2" spans="1:84" s="1828" customFormat="1" ht="17.25">
      <c r="A2"/>
      <c r="B2" s="1820" t="s">
        <v>1177</v>
      </c>
      <c r="C2" s="1821"/>
      <c r="D2" s="1822"/>
      <c r="E2" s="1823"/>
      <c r="F2"/>
      <c r="G2" s="1823"/>
      <c r="H2" s="1823"/>
      <c r="I2" s="1824"/>
      <c r="J2" s="1824"/>
      <c r="K2" s="1823"/>
      <c r="L2" s="1823"/>
      <c r="M2" s="1823"/>
      <c r="N2" s="1823"/>
      <c r="O2"/>
      <c r="P2" s="1825" t="s">
        <v>1178</v>
      </c>
      <c r="Q2" s="1826"/>
      <c r="R2" s="1827"/>
      <c r="T2" s="1829"/>
      <c r="U2" s="1829"/>
      <c r="V2" s="1829"/>
      <c r="W2" s="1829"/>
      <c r="X2" s="1829"/>
      <c r="Y2" s="1829"/>
      <c r="Z2" s="1829"/>
      <c r="AA2" s="1829"/>
      <c r="AB2" s="1829"/>
      <c r="AC2" s="1829"/>
      <c r="AD2" s="1829"/>
      <c r="AE2" s="1829"/>
      <c r="AF2"/>
      <c r="AI2" s="1830"/>
      <c r="AW2"/>
      <c r="AZ2" s="1830"/>
      <c r="BN2"/>
      <c r="BQ2" s="1830"/>
      <c r="CF2"/>
    </row>
    <row r="3" spans="1:84" s="1828" customFormat="1" ht="17.25">
      <c r="A3"/>
      <c r="B3" s="1820"/>
      <c r="C3" s="1821"/>
      <c r="D3" s="1822"/>
      <c r="E3" s="1823"/>
      <c r="F3"/>
      <c r="G3" s="1823"/>
      <c r="H3" s="1823"/>
      <c r="I3" s="1824"/>
      <c r="J3" s="1824"/>
      <c r="K3" s="1823"/>
      <c r="L3" s="1823"/>
      <c r="M3" s="1823"/>
      <c r="N3" s="1823"/>
      <c r="O3"/>
      <c r="P3" s="1298">
        <f>メイン!I42</f>
        <v>0</v>
      </c>
      <c r="Q3" s="880" t="str">
        <f>LEFT(メイン!C5,6)</f>
        <v>CASBEE</v>
      </c>
      <c r="R3" s="1831"/>
      <c r="S3" s="1832"/>
      <c r="T3" s="1829"/>
      <c r="U3" s="1829"/>
      <c r="V3" s="1829"/>
      <c r="W3" s="1829"/>
      <c r="X3" s="1829"/>
      <c r="Y3" s="1829"/>
      <c r="Z3" s="1829"/>
      <c r="AA3" s="1829"/>
      <c r="AB3" s="1829"/>
      <c r="AC3" s="1829"/>
      <c r="AD3" s="1829"/>
      <c r="AE3" s="1829"/>
      <c r="AF3"/>
      <c r="AG3" s="1298" t="s">
        <v>1179</v>
      </c>
      <c r="AI3" s="1833"/>
      <c r="AJ3" s="1829"/>
      <c r="AK3" s="1829"/>
      <c r="AL3" s="1829"/>
      <c r="AM3" s="1829"/>
      <c r="AN3" s="1829"/>
      <c r="AO3" s="1829"/>
      <c r="AP3" s="1829"/>
      <c r="AQ3" s="1829"/>
      <c r="AR3" s="1829"/>
      <c r="AS3" s="1829"/>
      <c r="AT3" s="1829"/>
      <c r="AU3" s="1829"/>
      <c r="AV3" s="1829"/>
      <c r="AW3"/>
      <c r="AX3" s="1298" t="s">
        <v>1180</v>
      </c>
      <c r="AZ3" s="1833"/>
      <c r="BA3" s="1829"/>
      <c r="BB3" s="1829"/>
      <c r="BC3" s="1829"/>
      <c r="BD3" s="1829"/>
      <c r="BE3" s="1829"/>
      <c r="BF3" s="1829"/>
      <c r="BG3" s="1829"/>
      <c r="BH3" s="1829"/>
      <c r="BI3" s="1829"/>
      <c r="BJ3" s="1829"/>
      <c r="BK3" s="1829"/>
      <c r="BL3" s="1829"/>
      <c r="BM3" s="1829"/>
      <c r="BN3"/>
      <c r="BO3" s="1298" t="s">
        <v>1181</v>
      </c>
      <c r="BQ3" s="1833"/>
      <c r="BR3" s="1829"/>
      <c r="BS3" s="1829"/>
      <c r="BT3" s="1829"/>
      <c r="BU3" s="1829"/>
      <c r="BV3" s="1829"/>
      <c r="BW3" s="1829"/>
      <c r="BX3" s="1829"/>
      <c r="BY3" s="1829"/>
      <c r="BZ3" s="1829"/>
      <c r="CA3" s="1829"/>
      <c r="CB3" s="1829"/>
      <c r="CC3" s="1829"/>
      <c r="CD3" s="1829"/>
      <c r="CE3" s="1829"/>
      <c r="CF3"/>
    </row>
    <row r="4" spans="1:84" s="1828" customFormat="1" ht="4.5" customHeight="1">
      <c r="A4"/>
      <c r="B4" s="1820"/>
      <c r="C4" s="1821"/>
      <c r="D4" s="1822"/>
      <c r="E4" s="1823"/>
      <c r="F4"/>
      <c r="G4" s="1823"/>
      <c r="H4" s="1823"/>
      <c r="I4" s="1824"/>
      <c r="J4" s="1824"/>
      <c r="K4" s="1823"/>
      <c r="L4" s="1823"/>
      <c r="M4" s="1823"/>
      <c r="N4" s="1823"/>
      <c r="O4"/>
      <c r="P4" s="1826"/>
      <c r="Q4" s="1826"/>
      <c r="R4" s="1833"/>
      <c r="S4" s="1829"/>
      <c r="T4" s="1829"/>
      <c r="U4" s="1829"/>
      <c r="V4" s="1829"/>
      <c r="W4" s="1829"/>
      <c r="X4" s="1829"/>
      <c r="Y4" s="1829"/>
      <c r="Z4" s="1829"/>
      <c r="AA4" s="1829"/>
      <c r="AB4" s="1829"/>
      <c r="AC4" s="1829"/>
      <c r="AD4" s="1829"/>
      <c r="AE4" s="1829"/>
      <c r="AF4"/>
      <c r="AG4" s="1298"/>
      <c r="AH4" s="1826"/>
      <c r="AI4" s="1833"/>
      <c r="AJ4" s="1829"/>
      <c r="AK4" s="1829"/>
      <c r="AL4" s="1829"/>
      <c r="AM4" s="1829"/>
      <c r="AN4" s="1829"/>
      <c r="AO4" s="1829"/>
      <c r="AP4" s="1829"/>
      <c r="AQ4" s="1829"/>
      <c r="AR4" s="1829"/>
      <c r="AS4" s="1829"/>
      <c r="AT4" s="1829"/>
      <c r="AU4" s="1829"/>
      <c r="AV4" s="1829"/>
      <c r="AW4"/>
      <c r="AX4" s="1298"/>
      <c r="AY4" s="1826"/>
      <c r="AZ4" s="1833"/>
      <c r="BA4" s="1829"/>
      <c r="BB4" s="1829"/>
      <c r="BC4" s="1829"/>
      <c r="BD4" s="1829"/>
      <c r="BE4" s="1829"/>
      <c r="BF4" s="1829"/>
      <c r="BG4" s="1829"/>
      <c r="BH4" s="1829"/>
      <c r="BI4" s="1829"/>
      <c r="BJ4" s="1829"/>
      <c r="BK4" s="1829"/>
      <c r="BL4" s="1829"/>
      <c r="BM4" s="1829"/>
      <c r="BN4"/>
      <c r="BO4" s="1298"/>
      <c r="BP4" s="1826"/>
      <c r="BQ4" s="1833"/>
      <c r="BR4" s="1829"/>
      <c r="BS4" s="1829"/>
      <c r="BT4" s="1829"/>
      <c r="BU4" s="1829"/>
      <c r="BV4" s="1829"/>
      <c r="BW4" s="1829"/>
      <c r="BX4" s="1829"/>
      <c r="BY4" s="1829"/>
      <c r="BZ4" s="1829"/>
      <c r="CA4" s="1829"/>
      <c r="CB4" s="1829"/>
      <c r="CC4" s="1829"/>
      <c r="CD4" s="1829"/>
      <c r="CE4" s="1829"/>
      <c r="CF4"/>
    </row>
    <row r="5" spans="1:84">
      <c r="B5" s="1834"/>
      <c r="C5" s="1835"/>
      <c r="D5" s="1836" t="s">
        <v>1182</v>
      </c>
      <c r="E5" s="1837"/>
      <c r="G5" s="1838" t="s">
        <v>1183</v>
      </c>
      <c r="H5" s="1839"/>
      <c r="I5" s="1840" t="s">
        <v>1184</v>
      </c>
      <c r="J5" s="1841"/>
      <c r="K5" s="1838" t="s">
        <v>1185</v>
      </c>
      <c r="L5" s="1839"/>
      <c r="M5" s="1838" t="s">
        <v>1186</v>
      </c>
      <c r="N5" s="1839"/>
      <c r="P5" s="1842"/>
      <c r="Q5" s="1842"/>
      <c r="R5" s="1843"/>
      <c r="S5" s="3188" t="s">
        <v>921</v>
      </c>
      <c r="T5" s="3188"/>
      <c r="U5" s="3188"/>
      <c r="V5" s="3188"/>
      <c r="W5" s="3188"/>
      <c r="X5" s="3188"/>
      <c r="Y5" s="3188"/>
      <c r="Z5" s="3188"/>
      <c r="AA5" s="3189"/>
      <c r="AB5" s="1844" t="s">
        <v>922</v>
      </c>
      <c r="AC5" s="3188" t="s">
        <v>923</v>
      </c>
      <c r="AD5" s="3188"/>
      <c r="AE5" s="3188"/>
      <c r="AG5" s="1842"/>
      <c r="AH5" s="1842"/>
      <c r="AI5" s="1845"/>
      <c r="AJ5" s="3188" t="s">
        <v>921</v>
      </c>
      <c r="AK5" s="3188"/>
      <c r="AL5" s="3188"/>
      <c r="AM5" s="3188"/>
      <c r="AN5" s="3188"/>
      <c r="AO5" s="3188"/>
      <c r="AP5" s="3188"/>
      <c r="AQ5" s="3188"/>
      <c r="AR5" s="3189"/>
      <c r="AS5" s="1844" t="s">
        <v>922</v>
      </c>
      <c r="AT5" s="3188" t="s">
        <v>923</v>
      </c>
      <c r="AU5" s="3188"/>
      <c r="AV5" s="3188"/>
      <c r="AX5" s="1842"/>
      <c r="AY5" s="1842"/>
      <c r="AZ5" s="1845"/>
      <c r="BA5" s="3188" t="s">
        <v>921</v>
      </c>
      <c r="BB5" s="3188"/>
      <c r="BC5" s="3188"/>
      <c r="BD5" s="3188"/>
      <c r="BE5" s="3188"/>
      <c r="BF5" s="3188"/>
      <c r="BG5" s="3188"/>
      <c r="BH5" s="3188"/>
      <c r="BI5" s="3189"/>
      <c r="BJ5" s="1844" t="s">
        <v>922</v>
      </c>
      <c r="BK5" s="3188" t="s">
        <v>923</v>
      </c>
      <c r="BL5" s="3188"/>
      <c r="BM5" s="3188"/>
      <c r="BO5" s="1842"/>
      <c r="BP5" s="1842"/>
      <c r="BQ5" s="1845"/>
      <c r="BR5" s="3188" t="s">
        <v>921</v>
      </c>
      <c r="BS5" s="3188"/>
      <c r="BT5" s="3188"/>
      <c r="BU5" s="3188"/>
      <c r="BV5" s="3188"/>
      <c r="BW5" s="3188"/>
      <c r="BX5" s="3188"/>
      <c r="BY5" s="3188"/>
      <c r="BZ5" s="3189"/>
      <c r="CA5" s="1844" t="s">
        <v>922</v>
      </c>
      <c r="CB5" s="3188" t="s">
        <v>923</v>
      </c>
      <c r="CC5" s="3188"/>
      <c r="CD5" s="3188"/>
      <c r="CE5" s="2272"/>
    </row>
    <row r="6" spans="1:84" s="1852" customFormat="1">
      <c r="A6"/>
      <c r="B6" s="1846"/>
      <c r="C6" s="1847"/>
      <c r="D6" s="1848" t="s">
        <v>924</v>
      </c>
      <c r="E6" s="1848" t="s">
        <v>925</v>
      </c>
      <c r="F6"/>
      <c r="G6" s="1848" t="s">
        <v>924</v>
      </c>
      <c r="H6" s="1848" t="s">
        <v>925</v>
      </c>
      <c r="I6" s="1848" t="s">
        <v>924</v>
      </c>
      <c r="J6" s="1848" t="s">
        <v>925</v>
      </c>
      <c r="K6" s="1848" t="s">
        <v>924</v>
      </c>
      <c r="L6" s="1848" t="s">
        <v>925</v>
      </c>
      <c r="M6" s="1848" t="s">
        <v>924</v>
      </c>
      <c r="N6" s="1848" t="s">
        <v>925</v>
      </c>
      <c r="O6"/>
      <c r="P6" s="1843"/>
      <c r="Q6" s="1843" t="s">
        <v>2151</v>
      </c>
      <c r="R6" s="1843" t="s">
        <v>926</v>
      </c>
      <c r="S6" s="1849" t="s">
        <v>461</v>
      </c>
      <c r="T6" s="1849" t="s">
        <v>463</v>
      </c>
      <c r="U6" s="1849" t="s">
        <v>465</v>
      </c>
      <c r="V6" s="1849" t="s">
        <v>467</v>
      </c>
      <c r="W6" s="1849" t="s">
        <v>471</v>
      </c>
      <c r="X6" s="1849" t="s">
        <v>473</v>
      </c>
      <c r="Y6" s="1849" t="s">
        <v>475</v>
      </c>
      <c r="Z6" s="1850" t="s">
        <v>1966</v>
      </c>
      <c r="AA6" s="1849" t="s">
        <v>477</v>
      </c>
      <c r="AB6" s="1849" t="s">
        <v>463</v>
      </c>
      <c r="AC6" s="1851" t="s">
        <v>2123</v>
      </c>
      <c r="AD6" s="1849" t="s">
        <v>241</v>
      </c>
      <c r="AE6" s="1849" t="s">
        <v>242</v>
      </c>
      <c r="AF6"/>
      <c r="AG6" s="1843"/>
      <c r="AH6" s="1843" t="s">
        <v>2151</v>
      </c>
      <c r="AI6" s="1845" t="s">
        <v>926</v>
      </c>
      <c r="AJ6" s="1849" t="s">
        <v>461</v>
      </c>
      <c r="AK6" s="1849" t="s">
        <v>463</v>
      </c>
      <c r="AL6" s="1849" t="s">
        <v>465</v>
      </c>
      <c r="AM6" s="1849" t="s">
        <v>467</v>
      </c>
      <c r="AN6" s="1849" t="s">
        <v>471</v>
      </c>
      <c r="AO6" s="1849" t="s">
        <v>473</v>
      </c>
      <c r="AP6" s="1849" t="s">
        <v>475</v>
      </c>
      <c r="AQ6" s="1850" t="s">
        <v>1966</v>
      </c>
      <c r="AR6" s="1849" t="s">
        <v>477</v>
      </c>
      <c r="AS6" s="1849" t="s">
        <v>463</v>
      </c>
      <c r="AT6" s="1851" t="s">
        <v>2123</v>
      </c>
      <c r="AU6" s="1849" t="s">
        <v>241</v>
      </c>
      <c r="AV6" s="1849" t="s">
        <v>242</v>
      </c>
      <c r="AW6"/>
      <c r="AX6" s="1843"/>
      <c r="AY6" s="1843" t="s">
        <v>2151</v>
      </c>
      <c r="AZ6" s="1845" t="s">
        <v>926</v>
      </c>
      <c r="BA6" s="1849" t="s">
        <v>461</v>
      </c>
      <c r="BB6" s="1849" t="s">
        <v>463</v>
      </c>
      <c r="BC6" s="1849" t="s">
        <v>465</v>
      </c>
      <c r="BD6" s="1849" t="s">
        <v>467</v>
      </c>
      <c r="BE6" s="1849" t="s">
        <v>471</v>
      </c>
      <c r="BF6" s="1849" t="s">
        <v>473</v>
      </c>
      <c r="BG6" s="1849" t="s">
        <v>475</v>
      </c>
      <c r="BH6" s="1850" t="s">
        <v>1966</v>
      </c>
      <c r="BI6" s="1849" t="s">
        <v>477</v>
      </c>
      <c r="BJ6" s="1849" t="s">
        <v>463</v>
      </c>
      <c r="BK6" s="1851" t="s">
        <v>2123</v>
      </c>
      <c r="BL6" s="1849" t="s">
        <v>241</v>
      </c>
      <c r="BM6" s="1849" t="s">
        <v>242</v>
      </c>
      <c r="BN6"/>
      <c r="BO6" s="1843"/>
      <c r="BP6" s="1843" t="s">
        <v>2151</v>
      </c>
      <c r="BQ6" s="1845" t="s">
        <v>926</v>
      </c>
      <c r="BR6" s="1849" t="s">
        <v>461</v>
      </c>
      <c r="BS6" s="1849" t="s">
        <v>463</v>
      </c>
      <c r="BT6" s="1849" t="s">
        <v>465</v>
      </c>
      <c r="BU6" s="1849" t="s">
        <v>467</v>
      </c>
      <c r="BV6" s="1849" t="s">
        <v>471</v>
      </c>
      <c r="BW6" s="1849" t="s">
        <v>473</v>
      </c>
      <c r="BX6" s="1849" t="s">
        <v>475</v>
      </c>
      <c r="BY6" s="1850" t="s">
        <v>1966</v>
      </c>
      <c r="BZ6" s="1849" t="s">
        <v>477</v>
      </c>
      <c r="CA6" s="1849" t="s">
        <v>463</v>
      </c>
      <c r="CB6" s="1851" t="s">
        <v>2123</v>
      </c>
      <c r="CC6" s="1849" t="s">
        <v>241</v>
      </c>
      <c r="CD6" s="1849" t="s">
        <v>242</v>
      </c>
      <c r="CE6" s="2273"/>
      <c r="CF6"/>
    </row>
    <row r="7" spans="1:84">
      <c r="B7" s="1853"/>
      <c r="C7" s="1854" t="s">
        <v>243</v>
      </c>
      <c r="D7" s="1855">
        <f>1-E7</f>
        <v>0.86206896551724133</v>
      </c>
      <c r="E7" s="1856">
        <f>(AC8*W7)+(AD8*X7)+(AE8*Y7)</f>
        <v>0.13793103448275865</v>
      </c>
      <c r="G7" s="1856"/>
      <c r="H7" s="1856"/>
      <c r="I7" s="1856"/>
      <c r="J7" s="1856"/>
      <c r="K7" s="1856"/>
      <c r="L7" s="1856"/>
      <c r="M7" s="1856"/>
      <c r="N7" s="1856"/>
      <c r="P7" s="1842"/>
      <c r="Q7" s="1842" t="s">
        <v>927</v>
      </c>
      <c r="R7" s="1843" t="s">
        <v>928</v>
      </c>
      <c r="S7" s="1857">
        <f>メイン!C47/メイン!$C$19</f>
        <v>0.34482758620689657</v>
      </c>
      <c r="T7" s="1857">
        <f>(メイン!E49+メイン!E52+メイン!E53)/メイン!$C$19</f>
        <v>0</v>
      </c>
      <c r="U7" s="1857">
        <f>メイン!C54/メイン!$C$19</f>
        <v>0</v>
      </c>
      <c r="V7" s="1857">
        <f>メイン!C56/メイン!$C$19</f>
        <v>0</v>
      </c>
      <c r="W7" s="1857">
        <f>メイン!C61/メイン!$C$19</f>
        <v>0</v>
      </c>
      <c r="X7" s="1857">
        <f>メイン!C62/メイン!$C$19</f>
        <v>0</v>
      </c>
      <c r="Y7" s="1857">
        <f>メイン!C64/メイン!$C$19</f>
        <v>0.17241379310344829</v>
      </c>
      <c r="Z7" s="1857">
        <f>メイン!C57/メイン!$C$19</f>
        <v>0.20689655172413793</v>
      </c>
      <c r="AA7" s="1857">
        <f>メイン!C60/メイン!$C$19</f>
        <v>0</v>
      </c>
      <c r="AB7" s="1857">
        <f>(メイン!E50+メイン!E51)/メイン!$C$19</f>
        <v>0.27586206896551724</v>
      </c>
      <c r="AC7" s="1857">
        <f>W7</f>
        <v>0</v>
      </c>
      <c r="AD7" s="1857">
        <f>X7</f>
        <v>0</v>
      </c>
      <c r="AE7" s="1857">
        <f>Y7</f>
        <v>0.17241379310344829</v>
      </c>
      <c r="AG7" s="1842"/>
      <c r="AH7" s="1842"/>
      <c r="AI7" s="1845"/>
      <c r="AJ7" s="1859"/>
      <c r="AK7" s="1859"/>
      <c r="AL7" s="1859"/>
      <c r="AM7" s="1859"/>
      <c r="AN7" s="1859"/>
      <c r="AO7" s="1859"/>
      <c r="AP7" s="1859"/>
      <c r="AQ7" s="1860"/>
      <c r="AR7" s="1859"/>
      <c r="AS7" s="1859"/>
      <c r="AT7" s="1859"/>
      <c r="AU7" s="1859"/>
      <c r="AV7" s="1859"/>
      <c r="AX7" s="1842"/>
      <c r="AY7" s="1842"/>
      <c r="AZ7" s="1845"/>
      <c r="BA7" s="1859"/>
      <c r="BB7" s="1859"/>
      <c r="BC7" s="1859"/>
      <c r="BD7" s="1859"/>
      <c r="BE7" s="1859"/>
      <c r="BF7" s="1859"/>
      <c r="BG7" s="1859"/>
      <c r="BH7" s="1860"/>
      <c r="BI7" s="1859"/>
      <c r="BJ7" s="1859"/>
      <c r="BK7" s="1859"/>
      <c r="BL7" s="1859"/>
      <c r="BM7" s="1859"/>
      <c r="BO7" s="1842"/>
      <c r="BP7" s="1842"/>
      <c r="BQ7" s="1845"/>
      <c r="BR7" s="1859"/>
      <c r="BS7" s="1859"/>
      <c r="BT7" s="1859"/>
      <c r="BU7" s="1859"/>
      <c r="BV7" s="1859"/>
      <c r="BW7" s="1859"/>
      <c r="BX7" s="1859"/>
      <c r="BY7" s="1860"/>
      <c r="BZ7" s="1859"/>
      <c r="CA7" s="1859"/>
      <c r="CB7" s="1859"/>
      <c r="CC7" s="1859"/>
      <c r="CD7" s="1859"/>
      <c r="CE7" s="2274"/>
    </row>
    <row r="8" spans="1:84" s="1355" customFormat="1" ht="14.25">
      <c r="A8"/>
      <c r="B8" s="1861" t="s">
        <v>244</v>
      </c>
      <c r="C8" s="1862" t="s">
        <v>938</v>
      </c>
      <c r="D8" s="1863"/>
      <c r="E8" s="1864"/>
      <c r="F8"/>
      <c r="G8" s="1864"/>
      <c r="H8" s="1864"/>
      <c r="I8" s="1864">
        <f>G9+G61+G109</f>
        <v>1</v>
      </c>
      <c r="J8" s="1864">
        <f>H9+H61+H109</f>
        <v>0</v>
      </c>
      <c r="K8" s="1864"/>
      <c r="L8" s="1864"/>
      <c r="M8" s="1864"/>
      <c r="N8" s="1864"/>
      <c r="O8"/>
      <c r="P8" s="1861"/>
      <c r="Q8" s="1861" t="s">
        <v>245</v>
      </c>
      <c r="R8" s="1843" t="s">
        <v>939</v>
      </c>
      <c r="S8" s="1857"/>
      <c r="T8" s="1857"/>
      <c r="U8" s="1857"/>
      <c r="V8" s="1857"/>
      <c r="W8" s="1857">
        <f>1-メイン!F68</f>
        <v>1</v>
      </c>
      <c r="X8" s="1857">
        <f>1-メイン!F69</f>
        <v>1</v>
      </c>
      <c r="Y8" s="1857">
        <f>1-メイン!F70</f>
        <v>0.19999999999999996</v>
      </c>
      <c r="Z8" s="1858"/>
      <c r="AA8" s="1857"/>
      <c r="AB8" s="1857"/>
      <c r="AC8" s="1865">
        <f>メイン!F68</f>
        <v>0</v>
      </c>
      <c r="AD8" s="1866">
        <f>メイン!F69</f>
        <v>0</v>
      </c>
      <c r="AE8" s="1857">
        <f>メイン!F70</f>
        <v>0.8</v>
      </c>
      <c r="AF8"/>
      <c r="AG8" s="1861" t="s">
        <v>246</v>
      </c>
      <c r="AH8" s="1861"/>
      <c r="AI8" s="1867" t="s">
        <v>247</v>
      </c>
      <c r="AJ8" s="1868"/>
      <c r="AK8" s="1868"/>
      <c r="AL8" s="1868"/>
      <c r="AM8" s="1868"/>
      <c r="AN8" s="1868"/>
      <c r="AO8" s="1868"/>
      <c r="AP8" s="1868"/>
      <c r="AQ8" s="1869"/>
      <c r="AR8" s="1868"/>
      <c r="AS8" s="1868"/>
      <c r="AT8" s="1870"/>
      <c r="AU8" s="1871"/>
      <c r="AV8" s="1871"/>
      <c r="AW8"/>
      <c r="AX8" s="1861" t="s">
        <v>246</v>
      </c>
      <c r="AY8" s="1861"/>
      <c r="AZ8" s="1867" t="s">
        <v>247</v>
      </c>
      <c r="BA8" s="1868"/>
      <c r="BB8" s="1868"/>
      <c r="BC8" s="1868"/>
      <c r="BD8" s="1868"/>
      <c r="BE8" s="1868"/>
      <c r="BF8" s="1868"/>
      <c r="BG8" s="1868"/>
      <c r="BH8" s="1869"/>
      <c r="BI8" s="1868"/>
      <c r="BJ8" s="1868"/>
      <c r="BK8" s="1870"/>
      <c r="BL8" s="1871"/>
      <c r="BM8" s="1871"/>
      <c r="BN8"/>
      <c r="BO8" s="1861" t="s">
        <v>246</v>
      </c>
      <c r="BP8" s="1861"/>
      <c r="BQ8" s="1867" t="s">
        <v>247</v>
      </c>
      <c r="BR8" s="1868"/>
      <c r="BS8" s="1868"/>
      <c r="BT8" s="1868"/>
      <c r="BU8" s="1868"/>
      <c r="BV8" s="1868"/>
      <c r="BW8" s="1868"/>
      <c r="BX8" s="1868"/>
      <c r="BY8" s="1869"/>
      <c r="BZ8" s="1868"/>
      <c r="CA8" s="1868"/>
      <c r="CB8" s="1870"/>
      <c r="CC8" s="1871"/>
      <c r="CD8" s="1871"/>
      <c r="CE8" s="2275"/>
      <c r="CF8"/>
    </row>
    <row r="9" spans="1:84" s="1355" customFormat="1">
      <c r="A9"/>
      <c r="B9" s="1872" t="str">
        <f t="shared" ref="B9:B41" si="0">P9</f>
        <v>Q1</v>
      </c>
      <c r="C9" s="1873" t="str">
        <f t="shared" ref="C9:C40" si="1">R9</f>
        <v>室内環境</v>
      </c>
      <c r="D9" s="1874">
        <f>IF(I$8=0,0,G9/I$8)</f>
        <v>0.4</v>
      </c>
      <c r="E9" s="1875">
        <f>IF(J$8=0,0,H9/J$8)</f>
        <v>0</v>
      </c>
      <c r="F9"/>
      <c r="G9" s="1875">
        <f t="shared" ref="G9:G40" si="2">K9*M9</f>
        <v>0.4</v>
      </c>
      <c r="H9" s="1875">
        <f t="shared" ref="H9:H40" si="3">L9*N9</f>
        <v>0</v>
      </c>
      <c r="I9" s="1875">
        <f>G10+G20+G34+G47</f>
        <v>1</v>
      </c>
      <c r="J9" s="1875">
        <f>H10+H20+H34+H47</f>
        <v>0</v>
      </c>
      <c r="K9" s="1875">
        <f>IF(スコア!Q9=0,0,1)</f>
        <v>1</v>
      </c>
      <c r="L9" s="1875">
        <f>IF(スコア!O9=0,0,1)</f>
        <v>0</v>
      </c>
      <c r="M9" s="1875">
        <f t="shared" ref="M9:M40" si="4">SUMPRODUCT($S$7:$AB$7,S9:AB9)</f>
        <v>0.4</v>
      </c>
      <c r="N9" s="1875">
        <f t="shared" ref="N9:N40" si="5">(AC$7*AC9)+(AD$7*AD9)+(AE$7*AE9)</f>
        <v>0</v>
      </c>
      <c r="O9"/>
      <c r="P9" s="1872" t="str">
        <f t="shared" ref="P9:P40" si="6">IF($P$3=1,AX9,IF($P$3=2,BO9,AG9))</f>
        <v>Q1</v>
      </c>
      <c r="Q9" s="1872" t="str">
        <f t="shared" ref="Q9:Q40" si="7">IF($P$3=1,AY9,IF($P$3=2,BP9,AH9))</f>
        <v xml:space="preserve"> Q</v>
      </c>
      <c r="R9" s="1876" t="str">
        <f t="shared" ref="R9:R40" si="8">IF($P$3=1,AZ9,IF($P$3=2,BQ9,AI9))</f>
        <v>室内環境</v>
      </c>
      <c r="S9" s="1877">
        <f t="shared" ref="S9:S40" si="9">IF($P$3=1,BA9,IF($P$3=2,BR9,AJ9))</f>
        <v>0.4</v>
      </c>
      <c r="T9" s="1877">
        <f t="shared" ref="T9:T40" si="10">IF($P$3=1,BB9,IF($P$3=2,BS9,AK9))</f>
        <v>0.4</v>
      </c>
      <c r="U9" s="1877">
        <f t="shared" ref="U9:U40" si="11">IF($P$3=1,BC9,IF($P$3=2,BT9,AL9))</f>
        <v>0.4</v>
      </c>
      <c r="V9" s="1877">
        <f t="shared" ref="V9:V40" si="12">IF($P$3=1,BD9,IF($P$3=2,BU9,AM9))</f>
        <v>0.4</v>
      </c>
      <c r="W9" s="1877">
        <f t="shared" ref="W9:W40" si="13">IF($P$3=1,BE9,IF($P$3=2,BV9,AN9))</f>
        <v>0.4</v>
      </c>
      <c r="X9" s="1877">
        <f t="shared" ref="X9:X40" si="14">IF($P$3=1,BF9,IF($P$3=2,BW9,AO9))</f>
        <v>0.4</v>
      </c>
      <c r="Y9" s="1877">
        <f t="shared" ref="Y9:Y40" si="15">IF($P$3=1,BG9,IF($P$3=2,BX9,AP9))</f>
        <v>0.4</v>
      </c>
      <c r="Z9" s="1877">
        <f t="shared" ref="Z9:Z40" si="16">IF($P$3=1,BH9,IF($P$3=2,BY9,AQ9))</f>
        <v>0.4</v>
      </c>
      <c r="AA9" s="2391">
        <f>IF(Q3="coCASB",0,IF($P$3=1,BI9,IF($P$3=2,BZ9,AR9)))</f>
        <v>0.3</v>
      </c>
      <c r="AB9" s="1877">
        <f t="shared" ref="AB9:AB40" si="17">IF($P$3=1,BJ9,IF($P$3=2,CA9,AS9))</f>
        <v>0.4</v>
      </c>
      <c r="AC9" s="1878">
        <f t="shared" ref="AC9:AC40" si="18">IF($P$3=1,BK9,IF($P$3=2,CB9,AT9))</f>
        <v>0</v>
      </c>
      <c r="AD9" s="1877">
        <f t="shared" ref="AD9:AD40" si="19">IF($P$3=1,BL9,IF($P$3=2,CC9,AU9))</f>
        <v>0</v>
      </c>
      <c r="AE9" s="1877">
        <f t="shared" ref="AE9:AE40" si="20">IF($P$3=1,BM9,IF($P$3=2,CD9,AV9))</f>
        <v>0</v>
      </c>
      <c r="AF9"/>
      <c r="AG9" s="1872" t="s">
        <v>248</v>
      </c>
      <c r="AH9" s="1879" t="s">
        <v>940</v>
      </c>
      <c r="AI9" s="1876" t="s">
        <v>249</v>
      </c>
      <c r="AJ9" s="1877">
        <v>0.4</v>
      </c>
      <c r="AK9" s="1877">
        <v>0.4</v>
      </c>
      <c r="AL9" s="1877">
        <v>0.4</v>
      </c>
      <c r="AM9" s="1877">
        <v>0.4</v>
      </c>
      <c r="AN9" s="1877">
        <v>0.4</v>
      </c>
      <c r="AO9" s="1877">
        <v>0.4</v>
      </c>
      <c r="AP9" s="1877">
        <v>0.4</v>
      </c>
      <c r="AQ9" s="1877">
        <v>0.4</v>
      </c>
      <c r="AR9" s="1877">
        <v>0.3</v>
      </c>
      <c r="AS9" s="1880">
        <v>0.4</v>
      </c>
      <c r="AT9" s="1881"/>
      <c r="AU9" s="1880"/>
      <c r="AV9" s="1880"/>
      <c r="AW9"/>
      <c r="AX9" s="1872" t="s">
        <v>248</v>
      </c>
      <c r="AY9" s="1879" t="s">
        <v>940</v>
      </c>
      <c r="AZ9" s="1876" t="s">
        <v>249</v>
      </c>
      <c r="BA9" s="1880">
        <v>0.4</v>
      </c>
      <c r="BB9" s="1880">
        <v>0.4</v>
      </c>
      <c r="BC9" s="1880">
        <v>0.4</v>
      </c>
      <c r="BD9" s="1880">
        <v>0.4</v>
      </c>
      <c r="BE9" s="1880">
        <v>0.4</v>
      </c>
      <c r="BF9" s="1880">
        <v>0.4</v>
      </c>
      <c r="BG9" s="1880">
        <v>0.4</v>
      </c>
      <c r="BH9" s="1880">
        <v>0.4</v>
      </c>
      <c r="BI9" s="1880">
        <v>0.3</v>
      </c>
      <c r="BJ9" s="1880">
        <v>0.4</v>
      </c>
      <c r="BK9" s="1881"/>
      <c r="BL9" s="1880"/>
      <c r="BM9" s="1880"/>
      <c r="BN9"/>
      <c r="BO9" s="1872" t="s">
        <v>248</v>
      </c>
      <c r="BP9" s="1879" t="s">
        <v>940</v>
      </c>
      <c r="BQ9" s="1876" t="s">
        <v>249</v>
      </c>
      <c r="BR9" s="1880">
        <v>0.4</v>
      </c>
      <c r="BS9" s="1880">
        <v>0.4</v>
      </c>
      <c r="BT9" s="1880">
        <v>0.4</v>
      </c>
      <c r="BU9" s="1880">
        <v>0.4</v>
      </c>
      <c r="BV9" s="1880">
        <v>0.4</v>
      </c>
      <c r="BW9" s="1880">
        <v>0.4</v>
      </c>
      <c r="BX9" s="1880">
        <v>0.4</v>
      </c>
      <c r="BY9" s="1880">
        <v>0.4</v>
      </c>
      <c r="BZ9" s="1880">
        <v>0.3</v>
      </c>
      <c r="CA9" s="1880">
        <v>0.4</v>
      </c>
      <c r="CB9" s="1881"/>
      <c r="CC9" s="1880"/>
      <c r="CD9" s="1880"/>
      <c r="CE9" s="2276"/>
      <c r="CF9"/>
    </row>
    <row r="10" spans="1:84" s="1355" customFormat="1">
      <c r="A10"/>
      <c r="B10" s="1872">
        <f t="shared" si="0"/>
        <v>1</v>
      </c>
      <c r="C10" s="1882" t="str">
        <f t="shared" si="1"/>
        <v>音環境</v>
      </c>
      <c r="D10" s="1883">
        <f>IF(I$9=0,0,G10/I$9)</f>
        <v>0.15</v>
      </c>
      <c r="E10" s="1884">
        <f>IF(J$9=0,0,H10/J$9)</f>
        <v>0</v>
      </c>
      <c r="F10"/>
      <c r="G10" s="1884">
        <f t="shared" si="2"/>
        <v>0.15</v>
      </c>
      <c r="H10" s="1884">
        <f t="shared" si="3"/>
        <v>0</v>
      </c>
      <c r="I10" s="1885">
        <f>G11+G14+G19</f>
        <v>1</v>
      </c>
      <c r="J10" s="1885">
        <f>H11+H14+H19</f>
        <v>0.17241379310344832</v>
      </c>
      <c r="K10" s="1884">
        <f>IF(L10&gt;0,1,IF(スコア!M10=0,0,1))</f>
        <v>1</v>
      </c>
      <c r="L10" s="1884">
        <f>IF(スコア!O10=0,0,1)</f>
        <v>1</v>
      </c>
      <c r="M10" s="1884">
        <f t="shared" si="4"/>
        <v>0.15</v>
      </c>
      <c r="N10" s="1884">
        <f t="shared" si="5"/>
        <v>0</v>
      </c>
      <c r="O10"/>
      <c r="P10" s="1886">
        <f t="shared" si="6"/>
        <v>1</v>
      </c>
      <c r="Q10" s="1886" t="str">
        <f t="shared" si="7"/>
        <v xml:space="preserve"> Q1</v>
      </c>
      <c r="R10" s="1887" t="str">
        <f t="shared" si="8"/>
        <v>音環境</v>
      </c>
      <c r="S10" s="1888">
        <f t="shared" si="9"/>
        <v>0.15</v>
      </c>
      <c r="T10" s="1888">
        <f t="shared" si="10"/>
        <v>0.15</v>
      </c>
      <c r="U10" s="1888">
        <f t="shared" si="11"/>
        <v>0.15</v>
      </c>
      <c r="V10" s="1888">
        <f t="shared" si="12"/>
        <v>0.15</v>
      </c>
      <c r="W10" s="1888">
        <f t="shared" si="13"/>
        <v>0.15</v>
      </c>
      <c r="X10" s="1888">
        <f t="shared" si="14"/>
        <v>0.15</v>
      </c>
      <c r="Y10" s="1888">
        <f t="shared" si="15"/>
        <v>0.15</v>
      </c>
      <c r="Z10" s="1889">
        <f t="shared" si="16"/>
        <v>0.15</v>
      </c>
      <c r="AA10" s="1888">
        <f t="shared" ref="AA10:AA40" si="21">IF($P$3=1,BI10,IF($P$3=2,BZ10,AR10))</f>
        <v>0.15</v>
      </c>
      <c r="AB10" s="1888">
        <f t="shared" si="17"/>
        <v>0.15</v>
      </c>
      <c r="AC10" s="1890">
        <f t="shared" si="18"/>
        <v>0</v>
      </c>
      <c r="AD10" s="1888">
        <f t="shared" si="19"/>
        <v>0</v>
      </c>
      <c r="AE10" s="1888">
        <f t="shared" si="20"/>
        <v>0</v>
      </c>
      <c r="AF10"/>
      <c r="AG10" s="1886">
        <v>1</v>
      </c>
      <c r="AH10" s="1891" t="s">
        <v>941</v>
      </c>
      <c r="AI10" s="1887" t="s">
        <v>931</v>
      </c>
      <c r="AJ10" s="1888">
        <v>0.15</v>
      </c>
      <c r="AK10" s="1888">
        <v>0.15</v>
      </c>
      <c r="AL10" s="1888">
        <v>0.15</v>
      </c>
      <c r="AM10" s="1888">
        <v>0.15</v>
      </c>
      <c r="AN10" s="1888">
        <v>0.15</v>
      </c>
      <c r="AO10" s="1888">
        <v>0.15</v>
      </c>
      <c r="AP10" s="1888">
        <v>0.15</v>
      </c>
      <c r="AQ10" s="1889">
        <v>0.15</v>
      </c>
      <c r="AR10" s="1888">
        <v>0.15</v>
      </c>
      <c r="AS10" s="1892">
        <v>0.15</v>
      </c>
      <c r="AT10" s="1893"/>
      <c r="AU10" s="1892"/>
      <c r="AV10" s="1892"/>
      <c r="AW10"/>
      <c r="AX10" s="1886">
        <v>1</v>
      </c>
      <c r="AY10" s="1891" t="s">
        <v>941</v>
      </c>
      <c r="AZ10" s="1887" t="s">
        <v>931</v>
      </c>
      <c r="BA10" s="1892">
        <v>0.15</v>
      </c>
      <c r="BB10" s="1892">
        <v>0.15</v>
      </c>
      <c r="BC10" s="1892">
        <v>0.15</v>
      </c>
      <c r="BD10" s="1892">
        <v>0.15</v>
      </c>
      <c r="BE10" s="1892">
        <v>0.15</v>
      </c>
      <c r="BF10" s="1892">
        <v>0.15</v>
      </c>
      <c r="BG10" s="1892">
        <v>0.15</v>
      </c>
      <c r="BH10" s="1894">
        <v>0.23</v>
      </c>
      <c r="BI10" s="1892">
        <v>0.15</v>
      </c>
      <c r="BJ10" s="1892">
        <v>0.15</v>
      </c>
      <c r="BK10" s="1893"/>
      <c r="BL10" s="1892"/>
      <c r="BM10" s="1892"/>
      <c r="BN10"/>
      <c r="BO10" s="1886">
        <v>1</v>
      </c>
      <c r="BP10" s="1891" t="s">
        <v>941</v>
      </c>
      <c r="BQ10" s="1887" t="s">
        <v>931</v>
      </c>
      <c r="BR10" s="1892">
        <v>0.15</v>
      </c>
      <c r="BS10" s="1892">
        <v>0.15</v>
      </c>
      <c r="BT10" s="1892">
        <v>0.15</v>
      </c>
      <c r="BU10" s="1892">
        <v>0.15</v>
      </c>
      <c r="BV10" s="1892">
        <v>0.15</v>
      </c>
      <c r="BW10" s="1892">
        <v>0.15</v>
      </c>
      <c r="BX10" s="1892">
        <v>0.15</v>
      </c>
      <c r="BY10" s="1894">
        <v>0.23</v>
      </c>
      <c r="BZ10" s="1892">
        <v>0.15</v>
      </c>
      <c r="CA10" s="1892">
        <v>0.15</v>
      </c>
      <c r="CB10" s="1893"/>
      <c r="CC10" s="1892"/>
      <c r="CD10" s="1892"/>
      <c r="CE10" s="2277"/>
      <c r="CF10"/>
    </row>
    <row r="11" spans="1:84">
      <c r="B11" s="1872">
        <f t="shared" si="0"/>
        <v>1.1000000000000001</v>
      </c>
      <c r="C11" s="1895" t="str">
        <f t="shared" si="1"/>
        <v>騒音</v>
      </c>
      <c r="D11" s="1896">
        <f>IF(I$10=0,0,G11/I$10)</f>
        <v>0.55172413793103448</v>
      </c>
      <c r="E11" s="1896">
        <f>IF(J$10=0,0,H11/J$10)</f>
        <v>0.39999999999999997</v>
      </c>
      <c r="G11" s="1897">
        <f t="shared" si="2"/>
        <v>0.55172413793103448</v>
      </c>
      <c r="H11" s="1897">
        <f t="shared" si="3"/>
        <v>6.8965517241379323E-2</v>
      </c>
      <c r="I11" s="1885">
        <f>SUM(G12:G13)</f>
        <v>0.7931034482758621</v>
      </c>
      <c r="J11" s="1885">
        <f>SUM(H12:H13)</f>
        <v>0.17241379310344829</v>
      </c>
      <c r="K11" s="1897">
        <f>IF(スコア!M11=0,0,1)</f>
        <v>1</v>
      </c>
      <c r="L11" s="1897">
        <f>IF(スコア!O11=0,0,1)</f>
        <v>1</v>
      </c>
      <c r="M11" s="1897">
        <f t="shared" si="4"/>
        <v>0.55172413793103448</v>
      </c>
      <c r="N11" s="1897">
        <f t="shared" si="5"/>
        <v>6.8965517241379323E-2</v>
      </c>
      <c r="P11" s="1898">
        <f t="shared" si="6"/>
        <v>1.1000000000000001</v>
      </c>
      <c r="Q11" s="1898" t="str">
        <f t="shared" si="7"/>
        <v xml:space="preserve"> Q1 1</v>
      </c>
      <c r="R11" s="1899" t="str">
        <f t="shared" si="8"/>
        <v>騒音</v>
      </c>
      <c r="S11" s="1900">
        <f t="shared" si="9"/>
        <v>0.4</v>
      </c>
      <c r="T11" s="1900">
        <f t="shared" si="10"/>
        <v>0.4</v>
      </c>
      <c r="U11" s="1900">
        <f t="shared" si="11"/>
        <v>0.8</v>
      </c>
      <c r="V11" s="1900">
        <f t="shared" si="12"/>
        <v>0.4</v>
      </c>
      <c r="W11" s="1900">
        <f t="shared" si="13"/>
        <v>0.4</v>
      </c>
      <c r="X11" s="1900">
        <f t="shared" si="14"/>
        <v>0.8</v>
      </c>
      <c r="Y11" s="1900">
        <f t="shared" si="15"/>
        <v>0.8</v>
      </c>
      <c r="Z11" s="1900">
        <f t="shared" si="16"/>
        <v>0.8</v>
      </c>
      <c r="AA11" s="1900">
        <f t="shared" si="21"/>
        <v>0.5</v>
      </c>
      <c r="AB11" s="1900">
        <f t="shared" si="17"/>
        <v>0.4</v>
      </c>
      <c r="AC11" s="1901">
        <f t="shared" si="18"/>
        <v>0.5</v>
      </c>
      <c r="AD11" s="1900">
        <f t="shared" si="19"/>
        <v>0.4</v>
      </c>
      <c r="AE11" s="1900">
        <f t="shared" si="20"/>
        <v>0.4</v>
      </c>
      <c r="AG11" s="1898">
        <v>1.1000000000000001</v>
      </c>
      <c r="AH11" s="1902" t="s">
        <v>942</v>
      </c>
      <c r="AI11" s="1899" t="s">
        <v>250</v>
      </c>
      <c r="AJ11" s="1903">
        <v>0.4</v>
      </c>
      <c r="AK11" s="1900">
        <v>0.4</v>
      </c>
      <c r="AL11" s="1900">
        <v>0.8</v>
      </c>
      <c r="AM11" s="1900">
        <v>0.4</v>
      </c>
      <c r="AN11" s="1903">
        <v>0.4</v>
      </c>
      <c r="AO11" s="1900">
        <v>0.8</v>
      </c>
      <c r="AP11" s="1900">
        <v>0.8</v>
      </c>
      <c r="AQ11" s="1903">
        <v>0.8</v>
      </c>
      <c r="AR11" s="1903">
        <v>0.5</v>
      </c>
      <c r="AS11" s="1904">
        <v>0.4</v>
      </c>
      <c r="AT11" s="1905">
        <v>0.5</v>
      </c>
      <c r="AU11" s="1904">
        <v>0.4</v>
      </c>
      <c r="AV11" s="1904">
        <v>0.4</v>
      </c>
      <c r="AX11" s="1898">
        <v>1.1000000000000001</v>
      </c>
      <c r="AY11" s="1902" t="s">
        <v>942</v>
      </c>
      <c r="AZ11" s="1899" t="s">
        <v>250</v>
      </c>
      <c r="BA11" s="1904"/>
      <c r="BB11" s="1904"/>
      <c r="BC11" s="1904"/>
      <c r="BD11" s="1904"/>
      <c r="BE11" s="1904"/>
      <c r="BF11" s="1904"/>
      <c r="BG11" s="1904"/>
      <c r="BH11" s="1906">
        <v>0.4</v>
      </c>
      <c r="BI11" s="1904"/>
      <c r="BJ11" s="1904"/>
      <c r="BK11" s="1905"/>
      <c r="BL11" s="1904"/>
      <c r="BM11" s="1904"/>
      <c r="BO11" s="1898">
        <v>1.1000000000000001</v>
      </c>
      <c r="BP11" s="1902" t="s">
        <v>942</v>
      </c>
      <c r="BQ11" s="1899" t="s">
        <v>250</v>
      </c>
      <c r="BR11" s="1904">
        <v>0.4</v>
      </c>
      <c r="BS11" s="1904">
        <v>0.4</v>
      </c>
      <c r="BT11" s="1904">
        <v>0.4</v>
      </c>
      <c r="BU11" s="1904">
        <v>0.4</v>
      </c>
      <c r="BV11" s="1904">
        <v>0.4</v>
      </c>
      <c r="BW11" s="1904">
        <v>0.4</v>
      </c>
      <c r="BX11" s="1904">
        <v>0.5</v>
      </c>
      <c r="BY11" s="1904">
        <v>0.4</v>
      </c>
      <c r="BZ11" s="1904">
        <v>0.4</v>
      </c>
      <c r="CA11" s="1904">
        <v>0.4</v>
      </c>
      <c r="CB11" s="1904">
        <v>0.4</v>
      </c>
      <c r="CC11" s="1904">
        <v>0.4</v>
      </c>
      <c r="CD11" s="1904">
        <v>0.5</v>
      </c>
      <c r="CE11" s="2278"/>
    </row>
    <row r="12" spans="1:84" hidden="1">
      <c r="B12" s="1872" t="str">
        <f t="shared" si="0"/>
        <v>1.1.1</v>
      </c>
      <c r="C12" s="1895" t="str">
        <f t="shared" si="1"/>
        <v>室内騒音レベル</v>
      </c>
      <c r="D12" s="1896">
        <f>IF(I$11=0,0,G12/I$11)</f>
        <v>1</v>
      </c>
      <c r="E12" s="1896">
        <f>IF(J$11=0,0,H12/J$11)</f>
        <v>1</v>
      </c>
      <c r="G12" s="1897">
        <f t="shared" si="2"/>
        <v>0.7931034482758621</v>
      </c>
      <c r="H12" s="1897">
        <f t="shared" si="3"/>
        <v>0.17241379310344829</v>
      </c>
      <c r="I12" s="1885"/>
      <c r="J12" s="1885"/>
      <c r="K12" s="1897">
        <f>IF(スコア!M12=0,0,1)</f>
        <v>1</v>
      </c>
      <c r="L12" s="1897">
        <f>IF(スコア!O12=0,0,1)</f>
        <v>1</v>
      </c>
      <c r="M12" s="1897">
        <f t="shared" si="4"/>
        <v>0.7931034482758621</v>
      </c>
      <c r="N12" s="1897">
        <f t="shared" si="5"/>
        <v>0.17241379310344829</v>
      </c>
      <c r="P12" s="1898" t="str">
        <f t="shared" si="6"/>
        <v>1.1.1</v>
      </c>
      <c r="Q12" s="1898" t="str">
        <f t="shared" si="7"/>
        <v xml:space="preserve"> Q1 1.1</v>
      </c>
      <c r="R12" s="1899" t="str">
        <f t="shared" si="8"/>
        <v>室内騒音レベル</v>
      </c>
      <c r="S12" s="1900">
        <f t="shared" si="9"/>
        <v>0.4</v>
      </c>
      <c r="T12" s="1900">
        <f t="shared" si="10"/>
        <v>1</v>
      </c>
      <c r="U12" s="1900">
        <f t="shared" si="11"/>
        <v>1</v>
      </c>
      <c r="V12" s="1900">
        <f t="shared" si="12"/>
        <v>1</v>
      </c>
      <c r="W12" s="1900">
        <f t="shared" si="13"/>
        <v>0.4</v>
      </c>
      <c r="X12" s="1900">
        <f t="shared" si="14"/>
        <v>1</v>
      </c>
      <c r="Y12" s="1900">
        <f t="shared" si="15"/>
        <v>1</v>
      </c>
      <c r="Z12" s="1900">
        <f t="shared" si="16"/>
        <v>1</v>
      </c>
      <c r="AA12" s="1900">
        <f t="shared" si="21"/>
        <v>0.4</v>
      </c>
      <c r="AB12" s="1900">
        <f t="shared" si="17"/>
        <v>1</v>
      </c>
      <c r="AC12" s="1901">
        <f t="shared" si="18"/>
        <v>0.4</v>
      </c>
      <c r="AD12" s="1900">
        <f t="shared" si="19"/>
        <v>1</v>
      </c>
      <c r="AE12" s="1900">
        <f t="shared" si="20"/>
        <v>1</v>
      </c>
      <c r="AG12" s="1898" t="s">
        <v>943</v>
      </c>
      <c r="AH12" s="1902" t="s">
        <v>944</v>
      </c>
      <c r="AI12" s="1899" t="s">
        <v>945</v>
      </c>
      <c r="AJ12" s="1900">
        <v>0.4</v>
      </c>
      <c r="AK12" s="1900">
        <v>1</v>
      </c>
      <c r="AL12" s="1900">
        <v>1</v>
      </c>
      <c r="AM12" s="1900">
        <v>1</v>
      </c>
      <c r="AN12" s="1900">
        <v>0.4</v>
      </c>
      <c r="AO12" s="1900">
        <v>1</v>
      </c>
      <c r="AP12" s="1900">
        <v>1</v>
      </c>
      <c r="AQ12" s="1900">
        <v>1</v>
      </c>
      <c r="AR12" s="1900">
        <v>0.4</v>
      </c>
      <c r="AS12" s="1904">
        <v>1</v>
      </c>
      <c r="AT12" s="1905">
        <v>0.4</v>
      </c>
      <c r="AU12" s="1904">
        <v>1</v>
      </c>
      <c r="AV12" s="1904">
        <v>1</v>
      </c>
      <c r="AX12" s="1898" t="s">
        <v>943</v>
      </c>
      <c r="AY12" s="1902" t="s">
        <v>944</v>
      </c>
      <c r="AZ12" s="1899" t="s">
        <v>945</v>
      </c>
      <c r="BA12" s="1904"/>
      <c r="BB12" s="1904"/>
      <c r="BC12" s="1904"/>
      <c r="BD12" s="1904"/>
      <c r="BE12" s="1904"/>
      <c r="BF12" s="1904"/>
      <c r="BG12" s="1904"/>
      <c r="BH12" s="1906">
        <v>1</v>
      </c>
      <c r="BI12" s="1904"/>
      <c r="BJ12" s="1904"/>
      <c r="BK12" s="1905"/>
      <c r="BL12" s="1904"/>
      <c r="BM12" s="1904"/>
      <c r="BO12" s="1898" t="s">
        <v>943</v>
      </c>
      <c r="BP12" s="1902" t="s">
        <v>944</v>
      </c>
      <c r="BQ12" s="1899" t="s">
        <v>945</v>
      </c>
      <c r="BR12" s="1904">
        <v>0.5</v>
      </c>
      <c r="BS12" s="1904">
        <v>0.5</v>
      </c>
      <c r="BT12" s="1904">
        <v>0.5</v>
      </c>
      <c r="BU12" s="1904">
        <v>0.5</v>
      </c>
      <c r="BV12" s="1904">
        <v>0.5</v>
      </c>
      <c r="BW12" s="1904">
        <v>0.5</v>
      </c>
      <c r="BX12" s="1904">
        <v>1</v>
      </c>
      <c r="BY12" s="1904">
        <v>0.5</v>
      </c>
      <c r="BZ12" s="1904">
        <v>0.5</v>
      </c>
      <c r="CA12" s="1904">
        <v>0.5</v>
      </c>
      <c r="CB12" s="1905">
        <v>0.5</v>
      </c>
      <c r="CC12" s="1904">
        <v>0.5</v>
      </c>
      <c r="CD12" s="1904">
        <v>0.5</v>
      </c>
      <c r="CE12" s="2278"/>
    </row>
    <row r="13" spans="1:84" hidden="1">
      <c r="B13" s="1872" t="str">
        <f t="shared" si="0"/>
        <v>1.1.2</v>
      </c>
      <c r="C13" s="1895" t="str">
        <f t="shared" si="1"/>
        <v>設備騒音対策</v>
      </c>
      <c r="D13" s="1896">
        <f>IF(I$11=0,0,G13/I$11)</f>
        <v>0</v>
      </c>
      <c r="E13" s="1896">
        <f>IF(J$11=0,0,H13/J$11)</f>
        <v>0</v>
      </c>
      <c r="G13" s="1897">
        <f t="shared" si="2"/>
        <v>0</v>
      </c>
      <c r="H13" s="1897">
        <f t="shared" si="3"/>
        <v>0</v>
      </c>
      <c r="I13" s="1885"/>
      <c r="J13" s="1885"/>
      <c r="K13" s="1897">
        <f>IF(スコア!M13=0,0,1)</f>
        <v>0</v>
      </c>
      <c r="L13" s="1897">
        <f>IF(スコア!O13=0,0,1)</f>
        <v>0</v>
      </c>
      <c r="M13" s="1897">
        <f t="shared" si="4"/>
        <v>0.20689655172413793</v>
      </c>
      <c r="N13" s="1897">
        <f t="shared" si="5"/>
        <v>0</v>
      </c>
      <c r="P13" s="1898" t="str">
        <f t="shared" si="6"/>
        <v>1.1.2</v>
      </c>
      <c r="Q13" s="1898" t="str">
        <f t="shared" si="7"/>
        <v xml:space="preserve"> Q1 1.1</v>
      </c>
      <c r="R13" s="1899" t="str">
        <f t="shared" si="8"/>
        <v>設備騒音対策</v>
      </c>
      <c r="S13" s="1900">
        <f t="shared" si="9"/>
        <v>0.6</v>
      </c>
      <c r="T13" s="1900">
        <f t="shared" si="10"/>
        <v>0</v>
      </c>
      <c r="U13" s="1900">
        <f t="shared" si="11"/>
        <v>0</v>
      </c>
      <c r="V13" s="1900">
        <f t="shared" si="12"/>
        <v>0</v>
      </c>
      <c r="W13" s="1900">
        <f t="shared" si="13"/>
        <v>0.6</v>
      </c>
      <c r="X13" s="1900">
        <f t="shared" si="14"/>
        <v>0</v>
      </c>
      <c r="Y13" s="1900">
        <f t="shared" si="15"/>
        <v>0</v>
      </c>
      <c r="Z13" s="1900">
        <f t="shared" si="16"/>
        <v>0</v>
      </c>
      <c r="AA13" s="1900">
        <f t="shared" si="21"/>
        <v>0.6</v>
      </c>
      <c r="AB13" s="1900">
        <f t="shared" si="17"/>
        <v>0</v>
      </c>
      <c r="AC13" s="1901">
        <f t="shared" si="18"/>
        <v>0.6</v>
      </c>
      <c r="AD13" s="1900">
        <f t="shared" si="19"/>
        <v>0</v>
      </c>
      <c r="AE13" s="1900">
        <f t="shared" si="20"/>
        <v>0</v>
      </c>
      <c r="AG13" s="1898" t="s">
        <v>946</v>
      </c>
      <c r="AH13" s="1902" t="s">
        <v>944</v>
      </c>
      <c r="AI13" s="1899" t="s">
        <v>947</v>
      </c>
      <c r="AJ13" s="1900">
        <v>0.6</v>
      </c>
      <c r="AK13" s="1900"/>
      <c r="AL13" s="1900"/>
      <c r="AM13" s="1900"/>
      <c r="AN13" s="1900">
        <v>0.6</v>
      </c>
      <c r="AO13" s="1900"/>
      <c r="AP13" s="1900"/>
      <c r="AQ13" s="1900"/>
      <c r="AR13" s="1900">
        <v>0.6</v>
      </c>
      <c r="AS13" s="1904"/>
      <c r="AT13" s="1905">
        <v>0.6</v>
      </c>
      <c r="AU13" s="1904"/>
      <c r="AV13" s="1904"/>
      <c r="AX13" s="1898" t="s">
        <v>946</v>
      </c>
      <c r="AY13" s="1902" t="s">
        <v>944</v>
      </c>
      <c r="AZ13" s="1899" t="s">
        <v>947</v>
      </c>
      <c r="BA13" s="1904"/>
      <c r="BB13" s="1904"/>
      <c r="BC13" s="1904"/>
      <c r="BD13" s="1904"/>
      <c r="BE13" s="1904"/>
      <c r="BF13" s="1904"/>
      <c r="BG13" s="1904"/>
      <c r="BH13" s="1906"/>
      <c r="BI13" s="1904"/>
      <c r="BJ13" s="1904"/>
      <c r="BK13" s="1905"/>
      <c r="BL13" s="1904"/>
      <c r="BM13" s="1904"/>
      <c r="BO13" s="1898" t="s">
        <v>946</v>
      </c>
      <c r="BP13" s="1902" t="s">
        <v>944</v>
      </c>
      <c r="BQ13" s="1899" t="s">
        <v>947</v>
      </c>
      <c r="BR13" s="1904">
        <v>0.5</v>
      </c>
      <c r="BS13" s="1904">
        <v>0.5</v>
      </c>
      <c r="BT13" s="1904">
        <v>0.5</v>
      </c>
      <c r="BU13" s="1904">
        <v>0.5</v>
      </c>
      <c r="BV13" s="1904">
        <v>0.5</v>
      </c>
      <c r="BW13" s="1904">
        <v>0.5</v>
      </c>
      <c r="BX13" s="1904"/>
      <c r="BY13" s="1904">
        <v>0.5</v>
      </c>
      <c r="BZ13" s="1904">
        <v>0.5</v>
      </c>
      <c r="CA13" s="1904">
        <v>0.5</v>
      </c>
      <c r="CB13" s="1905">
        <v>0.5</v>
      </c>
      <c r="CC13" s="1904">
        <v>0.5</v>
      </c>
      <c r="CD13" s="1904">
        <v>0.5</v>
      </c>
      <c r="CE13" s="2278"/>
    </row>
    <row r="14" spans="1:84">
      <c r="B14" s="1872">
        <f t="shared" si="0"/>
        <v>1.2</v>
      </c>
      <c r="C14" s="1387" t="str">
        <f t="shared" si="1"/>
        <v>遮音</v>
      </c>
      <c r="D14" s="1896">
        <f>IF(I$10=0,0,G14/I$10)</f>
        <v>0.24827586206896554</v>
      </c>
      <c r="E14" s="1896">
        <f>IF(J$10=0,0,H14/J$10)</f>
        <v>0.39999999999999997</v>
      </c>
      <c r="G14" s="1897">
        <f t="shared" si="2"/>
        <v>0.24827586206896554</v>
      </c>
      <c r="H14" s="1897">
        <f t="shared" si="3"/>
        <v>6.8965517241379323E-2</v>
      </c>
      <c r="I14" s="1885">
        <f>SUM(G15:G18)</f>
        <v>0.6206896551724137</v>
      </c>
      <c r="J14" s="1885">
        <f>SUM(H15:H18)</f>
        <v>0.17241379310344829</v>
      </c>
      <c r="K14" s="1897">
        <f>IF(スコア!M14=0,0,1)</f>
        <v>1</v>
      </c>
      <c r="L14" s="1897">
        <f>IF(スコア!O14=0,0,1)</f>
        <v>1</v>
      </c>
      <c r="M14" s="1897">
        <f t="shared" si="4"/>
        <v>0.24827586206896554</v>
      </c>
      <c r="N14" s="1897">
        <f t="shared" si="5"/>
        <v>6.8965517241379323E-2</v>
      </c>
      <c r="P14" s="1898">
        <f t="shared" si="6"/>
        <v>1.2</v>
      </c>
      <c r="Q14" s="1898" t="str">
        <f t="shared" si="7"/>
        <v xml:space="preserve"> Q1 1</v>
      </c>
      <c r="R14" s="1899" t="str">
        <f t="shared" si="8"/>
        <v>遮音</v>
      </c>
      <c r="S14" s="1900">
        <f t="shared" si="9"/>
        <v>0.4</v>
      </c>
      <c r="T14" s="1900">
        <f t="shared" si="10"/>
        <v>0.4</v>
      </c>
      <c r="U14" s="1900">
        <f t="shared" si="11"/>
        <v>0</v>
      </c>
      <c r="V14" s="1900">
        <f t="shared" si="12"/>
        <v>0.4</v>
      </c>
      <c r="W14" s="1900">
        <f t="shared" si="13"/>
        <v>0.4</v>
      </c>
      <c r="X14" s="1900">
        <f t="shared" si="14"/>
        <v>0</v>
      </c>
      <c r="Y14" s="1900">
        <f t="shared" si="15"/>
        <v>0</v>
      </c>
      <c r="Z14" s="1900">
        <f t="shared" si="16"/>
        <v>0</v>
      </c>
      <c r="AA14" s="1900">
        <f t="shared" si="21"/>
        <v>0.5</v>
      </c>
      <c r="AB14" s="1900">
        <f t="shared" si="17"/>
        <v>0.4</v>
      </c>
      <c r="AC14" s="1901">
        <f t="shared" si="18"/>
        <v>0.5</v>
      </c>
      <c r="AD14" s="1900">
        <f t="shared" si="19"/>
        <v>0.4</v>
      </c>
      <c r="AE14" s="1900">
        <f t="shared" si="20"/>
        <v>0.4</v>
      </c>
      <c r="AG14" s="1898">
        <v>1.2</v>
      </c>
      <c r="AH14" s="1902" t="s">
        <v>942</v>
      </c>
      <c r="AI14" s="1390" t="s">
        <v>2828</v>
      </c>
      <c r="AJ14" s="1903">
        <v>0.4</v>
      </c>
      <c r="AK14" s="1900">
        <v>0.4</v>
      </c>
      <c r="AL14" s="1900"/>
      <c r="AM14" s="1900">
        <v>0.4</v>
      </c>
      <c r="AN14" s="1903">
        <v>0.4</v>
      </c>
      <c r="AO14" s="1900"/>
      <c r="AP14" s="1900"/>
      <c r="AQ14" s="1900"/>
      <c r="AR14" s="1903">
        <v>0.5</v>
      </c>
      <c r="AS14" s="1904">
        <v>0.4</v>
      </c>
      <c r="AT14" s="1905">
        <v>0.5</v>
      </c>
      <c r="AU14" s="1904">
        <v>0.4</v>
      </c>
      <c r="AV14" s="1907">
        <v>0.4</v>
      </c>
      <c r="AX14" s="1898">
        <v>1.2</v>
      </c>
      <c r="AY14" s="1902" t="s">
        <v>942</v>
      </c>
      <c r="AZ14" s="1390" t="s">
        <v>2828</v>
      </c>
      <c r="BA14" s="1904">
        <v>0.7</v>
      </c>
      <c r="BB14" s="1904">
        <v>0.7</v>
      </c>
      <c r="BC14" s="1904">
        <v>0.7</v>
      </c>
      <c r="BD14" s="1904">
        <v>0.7</v>
      </c>
      <c r="BE14" s="1904">
        <v>0.7</v>
      </c>
      <c r="BF14" s="1904">
        <v>0.7</v>
      </c>
      <c r="BG14" s="1904">
        <v>1</v>
      </c>
      <c r="BH14" s="1906">
        <v>0.4</v>
      </c>
      <c r="BI14" s="1904">
        <v>0.7</v>
      </c>
      <c r="BJ14" s="1904">
        <v>0.7</v>
      </c>
      <c r="BK14" s="1905">
        <v>0.7</v>
      </c>
      <c r="BL14" s="1904">
        <v>0.7</v>
      </c>
      <c r="BM14" s="1904">
        <v>1</v>
      </c>
      <c r="BO14" s="1898">
        <v>1.2</v>
      </c>
      <c r="BP14" s="1902" t="s">
        <v>942</v>
      </c>
      <c r="BQ14" s="1390" t="s">
        <v>2828</v>
      </c>
      <c r="BR14" s="1904">
        <v>0.4</v>
      </c>
      <c r="BS14" s="1904">
        <v>0.4</v>
      </c>
      <c r="BT14" s="1904">
        <v>0.4</v>
      </c>
      <c r="BU14" s="1904">
        <v>0.4</v>
      </c>
      <c r="BV14" s="1904">
        <v>0.4</v>
      </c>
      <c r="BW14" s="1904">
        <v>0.4</v>
      </c>
      <c r="BX14" s="1904">
        <v>0.5</v>
      </c>
      <c r="BY14" s="1904">
        <v>0.4</v>
      </c>
      <c r="BZ14" s="1904">
        <v>0.4</v>
      </c>
      <c r="CA14" s="1904">
        <v>0.4</v>
      </c>
      <c r="CB14" s="1904">
        <v>0.4</v>
      </c>
      <c r="CC14" s="1904">
        <v>0.4</v>
      </c>
      <c r="CD14" s="1904">
        <v>0.5</v>
      </c>
      <c r="CE14" s="2278"/>
    </row>
    <row r="15" spans="1:84">
      <c r="B15" s="1872" t="str">
        <f t="shared" si="0"/>
        <v>1.2.1</v>
      </c>
      <c r="C15" s="1387" t="str">
        <f t="shared" si="1"/>
        <v>開口部遮音性能</v>
      </c>
      <c r="D15" s="1896">
        <f t="shared" ref="D15:E18" si="22">IF(I$14=0,0,G15/I$14)</f>
        <v>0</v>
      </c>
      <c r="E15" s="1896">
        <f>IF(J$14=0,0,H15/J$14)</f>
        <v>0</v>
      </c>
      <c r="G15" s="1897">
        <f t="shared" si="2"/>
        <v>0</v>
      </c>
      <c r="H15" s="1897">
        <f t="shared" si="3"/>
        <v>0</v>
      </c>
      <c r="I15" s="1885"/>
      <c r="J15" s="1885"/>
      <c r="K15" s="1897">
        <f>IF(スコア!M15=0,0,1)</f>
        <v>0</v>
      </c>
      <c r="L15" s="1897">
        <f>IF(スコア!O15=0,0,1)</f>
        <v>0</v>
      </c>
      <c r="M15" s="1897">
        <f t="shared" si="4"/>
        <v>0</v>
      </c>
      <c r="N15" s="1897">
        <f t="shared" si="5"/>
        <v>0</v>
      </c>
      <c r="P15" s="1898" t="str">
        <f t="shared" si="6"/>
        <v>1.2.1</v>
      </c>
      <c r="Q15" s="1898" t="str">
        <f t="shared" si="7"/>
        <v xml:space="preserve"> Q1 1.2</v>
      </c>
      <c r="R15" s="1899" t="str">
        <f t="shared" si="8"/>
        <v>開口部遮音性能</v>
      </c>
      <c r="S15" s="1900">
        <f t="shared" si="9"/>
        <v>0</v>
      </c>
      <c r="T15" s="1900">
        <f t="shared" si="10"/>
        <v>0</v>
      </c>
      <c r="U15" s="1900">
        <f t="shared" si="11"/>
        <v>0</v>
      </c>
      <c r="V15" s="1900">
        <f t="shared" si="12"/>
        <v>0</v>
      </c>
      <c r="W15" s="1900">
        <f t="shared" si="13"/>
        <v>0</v>
      </c>
      <c r="X15" s="1900">
        <f t="shared" si="14"/>
        <v>0</v>
      </c>
      <c r="Y15" s="1900">
        <f t="shared" si="15"/>
        <v>0</v>
      </c>
      <c r="Z15" s="1908">
        <f t="shared" si="16"/>
        <v>0</v>
      </c>
      <c r="AA15" s="1900">
        <f t="shared" si="21"/>
        <v>0</v>
      </c>
      <c r="AB15" s="1900">
        <f t="shared" si="17"/>
        <v>0</v>
      </c>
      <c r="AC15" s="1901">
        <f t="shared" si="18"/>
        <v>0</v>
      </c>
      <c r="AD15" s="1900">
        <f t="shared" si="19"/>
        <v>0</v>
      </c>
      <c r="AE15" s="1900">
        <f t="shared" si="20"/>
        <v>0</v>
      </c>
      <c r="AG15" s="1898" t="s">
        <v>251</v>
      </c>
      <c r="AH15" s="1902" t="s">
        <v>948</v>
      </c>
      <c r="AI15" s="1390" t="s">
        <v>252</v>
      </c>
      <c r="AJ15" s="1909"/>
      <c r="AK15" s="1909"/>
      <c r="AL15" s="1909"/>
      <c r="AM15" s="1909"/>
      <c r="AN15" s="1909"/>
      <c r="AO15" s="1909"/>
      <c r="AP15" s="1909"/>
      <c r="AQ15" s="1909"/>
      <c r="AR15" s="1909"/>
      <c r="AS15" s="1904"/>
      <c r="AT15" s="1905"/>
      <c r="AU15" s="1904"/>
      <c r="AV15" s="1904"/>
      <c r="AX15" s="1898" t="s">
        <v>251</v>
      </c>
      <c r="AY15" s="1902" t="s">
        <v>948</v>
      </c>
      <c r="AZ15" s="1390" t="s">
        <v>252</v>
      </c>
      <c r="BA15" s="1904">
        <v>0.6</v>
      </c>
      <c r="BB15" s="1904">
        <v>0.4</v>
      </c>
      <c r="BC15" s="1904">
        <v>1</v>
      </c>
      <c r="BD15" s="1904">
        <v>0.6</v>
      </c>
      <c r="BE15" s="1904">
        <v>0.4</v>
      </c>
      <c r="BF15" s="1904">
        <v>1</v>
      </c>
      <c r="BG15" s="1904">
        <v>1</v>
      </c>
      <c r="BH15" s="1906">
        <v>1</v>
      </c>
      <c r="BI15" s="1904">
        <v>0.6</v>
      </c>
      <c r="BJ15" s="1904">
        <v>0.4</v>
      </c>
      <c r="BK15" s="1905">
        <v>0.3</v>
      </c>
      <c r="BL15" s="1904">
        <v>0.3</v>
      </c>
      <c r="BM15" s="1904">
        <v>0.3</v>
      </c>
      <c r="BO15" s="1898" t="s">
        <v>251</v>
      </c>
      <c r="BP15" s="1902" t="s">
        <v>948</v>
      </c>
      <c r="BQ15" s="1390" t="s">
        <v>252</v>
      </c>
      <c r="BR15" s="1904">
        <v>0.6</v>
      </c>
      <c r="BS15" s="1904">
        <v>0.3</v>
      </c>
      <c r="BT15" s="1904">
        <v>1</v>
      </c>
      <c r="BU15" s="1904">
        <v>0.6</v>
      </c>
      <c r="BV15" s="1904">
        <v>0.4</v>
      </c>
      <c r="BW15" s="1904">
        <v>1</v>
      </c>
      <c r="BX15" s="1904">
        <v>1</v>
      </c>
      <c r="BY15" s="1904">
        <v>1</v>
      </c>
      <c r="BZ15" s="1904">
        <v>0.6</v>
      </c>
      <c r="CA15" s="1904">
        <v>0.3</v>
      </c>
      <c r="CB15" s="1904">
        <v>0.3</v>
      </c>
      <c r="CC15" s="1904">
        <v>0.3</v>
      </c>
      <c r="CD15" s="1904">
        <v>0.3</v>
      </c>
      <c r="CE15" s="2278"/>
    </row>
    <row r="16" spans="1:84">
      <c r="B16" s="1872" t="str">
        <f t="shared" si="0"/>
        <v>1.2.2</v>
      </c>
      <c r="C16" s="1387" t="str">
        <f t="shared" si="1"/>
        <v>界壁遮音性能</v>
      </c>
      <c r="D16" s="1896">
        <f t="shared" si="22"/>
        <v>0.7333333333333335</v>
      </c>
      <c r="E16" s="1896">
        <f t="shared" si="22"/>
        <v>0.4</v>
      </c>
      <c r="G16" s="1897">
        <f t="shared" si="2"/>
        <v>0.45517241379310347</v>
      </c>
      <c r="H16" s="1897">
        <f t="shared" si="3"/>
        <v>6.8965517241379323E-2</v>
      </c>
      <c r="I16" s="1897"/>
      <c r="J16" s="1897"/>
      <c r="K16" s="1897">
        <f>IF(スコア!M16=0,0,1)</f>
        <v>1</v>
      </c>
      <c r="L16" s="1897">
        <f>IF(スコア!O16=0,0,1)</f>
        <v>1</v>
      </c>
      <c r="M16" s="1897">
        <f t="shared" si="4"/>
        <v>0.45517241379310347</v>
      </c>
      <c r="N16" s="1897">
        <f t="shared" si="5"/>
        <v>6.8965517241379323E-2</v>
      </c>
      <c r="P16" s="1898" t="str">
        <f t="shared" si="6"/>
        <v>1.2.2</v>
      </c>
      <c r="Q16" s="1898" t="str">
        <f t="shared" si="7"/>
        <v xml:space="preserve"> Q1 1.2</v>
      </c>
      <c r="R16" s="1899" t="str">
        <f t="shared" si="8"/>
        <v>界壁遮音性能</v>
      </c>
      <c r="S16" s="1900">
        <f t="shared" si="9"/>
        <v>1</v>
      </c>
      <c r="T16" s="1900">
        <f t="shared" si="10"/>
        <v>0.4</v>
      </c>
      <c r="U16" s="1900">
        <f t="shared" si="11"/>
        <v>0</v>
      </c>
      <c r="V16" s="1900">
        <f t="shared" si="12"/>
        <v>1</v>
      </c>
      <c r="W16" s="1900">
        <f t="shared" si="13"/>
        <v>0.4</v>
      </c>
      <c r="X16" s="1900">
        <f t="shared" si="14"/>
        <v>0</v>
      </c>
      <c r="Y16" s="1900">
        <f t="shared" si="15"/>
        <v>0</v>
      </c>
      <c r="Z16" s="1908">
        <f t="shared" si="16"/>
        <v>0</v>
      </c>
      <c r="AA16" s="1900">
        <f t="shared" si="21"/>
        <v>1</v>
      </c>
      <c r="AB16" s="1900">
        <f t="shared" si="17"/>
        <v>0.4</v>
      </c>
      <c r="AC16" s="1901">
        <f t="shared" si="18"/>
        <v>1</v>
      </c>
      <c r="AD16" s="1900">
        <f t="shared" si="19"/>
        <v>0.4</v>
      </c>
      <c r="AE16" s="1900">
        <f t="shared" si="20"/>
        <v>0.4</v>
      </c>
      <c r="AG16" s="1898" t="s">
        <v>253</v>
      </c>
      <c r="AH16" s="1902" t="s">
        <v>948</v>
      </c>
      <c r="AI16" s="1390" t="s">
        <v>735</v>
      </c>
      <c r="AJ16" s="1910">
        <v>1</v>
      </c>
      <c r="AK16" s="1904">
        <v>0.4</v>
      </c>
      <c r="AL16" s="1904"/>
      <c r="AM16" s="1904">
        <v>1</v>
      </c>
      <c r="AN16" s="1910">
        <v>0.4</v>
      </c>
      <c r="AO16" s="1904"/>
      <c r="AP16" s="1904"/>
      <c r="AQ16" s="1911"/>
      <c r="AR16" s="1910">
        <v>1</v>
      </c>
      <c r="AS16" s="1904">
        <v>0.4</v>
      </c>
      <c r="AT16" s="1905">
        <v>1</v>
      </c>
      <c r="AU16" s="1904">
        <v>0.4</v>
      </c>
      <c r="AV16" s="1904">
        <v>0.4</v>
      </c>
      <c r="AX16" s="1898" t="s">
        <v>253</v>
      </c>
      <c r="AY16" s="1902" t="s">
        <v>948</v>
      </c>
      <c r="AZ16" s="1390" t="s">
        <v>735</v>
      </c>
      <c r="BA16" s="1904">
        <v>0.4</v>
      </c>
      <c r="BB16" s="1904">
        <v>0.3</v>
      </c>
      <c r="BC16" s="1904"/>
      <c r="BD16" s="1904">
        <v>0.4</v>
      </c>
      <c r="BE16" s="1904">
        <v>0.6</v>
      </c>
      <c r="BF16" s="1904"/>
      <c r="BG16" s="1904"/>
      <c r="BH16" s="1906"/>
      <c r="BI16" s="1904">
        <v>0.4</v>
      </c>
      <c r="BJ16" s="1904">
        <v>0.3</v>
      </c>
      <c r="BK16" s="1905">
        <v>0.3</v>
      </c>
      <c r="BL16" s="1904">
        <v>0.3</v>
      </c>
      <c r="BM16" s="1904">
        <v>0.3</v>
      </c>
      <c r="BO16" s="1898" t="s">
        <v>253</v>
      </c>
      <c r="BP16" s="1902" t="s">
        <v>948</v>
      </c>
      <c r="BQ16" s="1390" t="s">
        <v>735</v>
      </c>
      <c r="BR16" s="1904">
        <v>0.4</v>
      </c>
      <c r="BS16" s="1904">
        <v>0.3</v>
      </c>
      <c r="BT16" s="1904"/>
      <c r="BU16" s="1904">
        <v>0.4</v>
      </c>
      <c r="BV16" s="1904">
        <v>0.6</v>
      </c>
      <c r="BW16" s="1904"/>
      <c r="BX16" s="1904"/>
      <c r="BY16" s="1904"/>
      <c r="BZ16" s="1904">
        <v>0.4</v>
      </c>
      <c r="CA16" s="1904">
        <v>0.3</v>
      </c>
      <c r="CB16" s="1904">
        <v>0.3</v>
      </c>
      <c r="CC16" s="1904">
        <v>0.3</v>
      </c>
      <c r="CD16" s="1904">
        <v>0.3</v>
      </c>
      <c r="CE16" s="2278"/>
    </row>
    <row r="17" spans="1:84">
      <c r="B17" s="1872" t="str">
        <f t="shared" si="0"/>
        <v>1.2.3</v>
      </c>
      <c r="C17" s="1387" t="str">
        <f t="shared" si="1"/>
        <v>界床遮音性能（軽量衝撃源）</v>
      </c>
      <c r="D17" s="1896">
        <f t="shared" si="22"/>
        <v>0.13333333333333336</v>
      </c>
      <c r="E17" s="1896">
        <f t="shared" si="22"/>
        <v>0.3</v>
      </c>
      <c r="G17" s="1897">
        <f t="shared" si="2"/>
        <v>8.2758620689655171E-2</v>
      </c>
      <c r="H17" s="1897">
        <f t="shared" si="3"/>
        <v>5.1724137931034482E-2</v>
      </c>
      <c r="I17" s="1897"/>
      <c r="J17" s="1897"/>
      <c r="K17" s="1897">
        <f>IF(スコア!M17=0,0,1)</f>
        <v>1</v>
      </c>
      <c r="L17" s="1897">
        <f>IF(スコア!O17=0,0,1)</f>
        <v>1</v>
      </c>
      <c r="M17" s="1897">
        <f t="shared" si="4"/>
        <v>8.2758620689655171E-2</v>
      </c>
      <c r="N17" s="1897">
        <f t="shared" si="5"/>
        <v>5.1724137931034482E-2</v>
      </c>
      <c r="P17" s="1898" t="str">
        <f t="shared" si="6"/>
        <v>1.2.3</v>
      </c>
      <c r="Q17" s="1898" t="str">
        <f t="shared" si="7"/>
        <v xml:space="preserve"> Q1 1.2</v>
      </c>
      <c r="R17" s="1899" t="str">
        <f t="shared" si="8"/>
        <v>界床遮音性能（軽量衝撃源）</v>
      </c>
      <c r="S17" s="1900">
        <f t="shared" si="9"/>
        <v>0</v>
      </c>
      <c r="T17" s="1900">
        <f t="shared" si="10"/>
        <v>0.3</v>
      </c>
      <c r="U17" s="1900">
        <f t="shared" si="11"/>
        <v>0</v>
      </c>
      <c r="V17" s="1900">
        <f t="shared" si="12"/>
        <v>0</v>
      </c>
      <c r="W17" s="1900">
        <f t="shared" si="13"/>
        <v>0.6</v>
      </c>
      <c r="X17" s="1900">
        <f t="shared" si="14"/>
        <v>0</v>
      </c>
      <c r="Y17" s="1900">
        <f t="shared" si="15"/>
        <v>0</v>
      </c>
      <c r="Z17" s="1908">
        <f t="shared" si="16"/>
        <v>0</v>
      </c>
      <c r="AA17" s="1900">
        <f t="shared" si="21"/>
        <v>0</v>
      </c>
      <c r="AB17" s="1900">
        <f t="shared" si="17"/>
        <v>0.3</v>
      </c>
      <c r="AC17" s="1901">
        <f t="shared" si="18"/>
        <v>0</v>
      </c>
      <c r="AD17" s="1900">
        <f t="shared" si="19"/>
        <v>0.3</v>
      </c>
      <c r="AE17" s="1900">
        <f t="shared" si="20"/>
        <v>0.3</v>
      </c>
      <c r="AG17" s="1898" t="s">
        <v>254</v>
      </c>
      <c r="AH17" s="1902" t="s">
        <v>948</v>
      </c>
      <c r="AI17" s="1390" t="s">
        <v>736</v>
      </c>
      <c r="AJ17" s="1904"/>
      <c r="AK17" s="1904">
        <v>0.3</v>
      </c>
      <c r="AL17" s="1904"/>
      <c r="AM17" s="1904"/>
      <c r="AN17" s="1910">
        <v>0.6</v>
      </c>
      <c r="AO17" s="1904"/>
      <c r="AP17" s="1904"/>
      <c r="AQ17" s="1911"/>
      <c r="AR17" s="1904"/>
      <c r="AS17" s="1904">
        <v>0.3</v>
      </c>
      <c r="AT17" s="1905"/>
      <c r="AU17" s="1904">
        <v>0.3</v>
      </c>
      <c r="AV17" s="1904">
        <v>0.3</v>
      </c>
      <c r="AX17" s="1898" t="s">
        <v>254</v>
      </c>
      <c r="AY17" s="1902" t="s">
        <v>948</v>
      </c>
      <c r="AZ17" s="1390" t="s">
        <v>736</v>
      </c>
      <c r="BA17" s="1904"/>
      <c r="BB17" s="1904">
        <v>0.15</v>
      </c>
      <c r="BC17" s="1904"/>
      <c r="BD17" s="1904"/>
      <c r="BE17" s="1904"/>
      <c r="BF17" s="1904"/>
      <c r="BG17" s="1904"/>
      <c r="BH17" s="1906"/>
      <c r="BI17" s="1904"/>
      <c r="BJ17" s="1904">
        <v>0.15</v>
      </c>
      <c r="BK17" s="1905">
        <v>0.2</v>
      </c>
      <c r="BL17" s="1904">
        <v>0.2</v>
      </c>
      <c r="BM17" s="1904">
        <v>0.2</v>
      </c>
      <c r="BO17" s="1898" t="s">
        <v>254</v>
      </c>
      <c r="BP17" s="1902" t="s">
        <v>948</v>
      </c>
      <c r="BQ17" s="1390" t="s">
        <v>736</v>
      </c>
      <c r="BR17" s="1904"/>
      <c r="BS17" s="1904">
        <v>0.2</v>
      </c>
      <c r="BT17" s="1904"/>
      <c r="BU17" s="1904"/>
      <c r="BV17" s="1904"/>
      <c r="BW17" s="1904"/>
      <c r="BX17" s="1904"/>
      <c r="BY17" s="1911"/>
      <c r="BZ17" s="1904"/>
      <c r="CA17" s="1904">
        <v>0.2</v>
      </c>
      <c r="CB17" s="1905">
        <v>0.2</v>
      </c>
      <c r="CC17" s="1904">
        <v>0.2</v>
      </c>
      <c r="CD17" s="1904">
        <v>0.2</v>
      </c>
      <c r="CE17" s="2278"/>
    </row>
    <row r="18" spans="1:84">
      <c r="B18" s="1872" t="str">
        <f t="shared" si="0"/>
        <v>1.2.4</v>
      </c>
      <c r="C18" s="1387" t="str">
        <f t="shared" si="1"/>
        <v>界床遮音性能（重量衝撃源）</v>
      </c>
      <c r="D18" s="1896">
        <f t="shared" si="22"/>
        <v>0.13333333333333336</v>
      </c>
      <c r="E18" s="1896">
        <f t="shared" si="22"/>
        <v>0.3</v>
      </c>
      <c r="G18" s="1897">
        <f t="shared" si="2"/>
        <v>8.2758620689655171E-2</v>
      </c>
      <c r="H18" s="1897">
        <f t="shared" si="3"/>
        <v>5.1724137931034482E-2</v>
      </c>
      <c r="I18" s="1897"/>
      <c r="J18" s="1897"/>
      <c r="K18" s="1897">
        <f>IF(スコア!M18=0,0,1)</f>
        <v>1</v>
      </c>
      <c r="L18" s="1897">
        <f>IF(スコア!O18=0,0,1)</f>
        <v>1</v>
      </c>
      <c r="M18" s="1897">
        <f t="shared" si="4"/>
        <v>8.2758620689655171E-2</v>
      </c>
      <c r="N18" s="1897">
        <f t="shared" si="5"/>
        <v>5.1724137931034482E-2</v>
      </c>
      <c r="P18" s="1898" t="str">
        <f t="shared" si="6"/>
        <v>1.2.4</v>
      </c>
      <c r="Q18" s="1898" t="str">
        <f t="shared" si="7"/>
        <v xml:space="preserve"> Q1 1.2</v>
      </c>
      <c r="R18" s="1899" t="str">
        <f t="shared" si="8"/>
        <v>界床遮音性能（重量衝撃源）</v>
      </c>
      <c r="S18" s="1900">
        <f t="shared" si="9"/>
        <v>0</v>
      </c>
      <c r="T18" s="1900">
        <f t="shared" si="10"/>
        <v>0.3</v>
      </c>
      <c r="U18" s="1900">
        <f t="shared" si="11"/>
        <v>0</v>
      </c>
      <c r="V18" s="1900">
        <f t="shared" si="12"/>
        <v>0</v>
      </c>
      <c r="W18" s="1900">
        <f t="shared" si="13"/>
        <v>0</v>
      </c>
      <c r="X18" s="1900">
        <f t="shared" si="14"/>
        <v>0</v>
      </c>
      <c r="Y18" s="1900">
        <f t="shared" si="15"/>
        <v>0</v>
      </c>
      <c r="Z18" s="1908">
        <f t="shared" si="16"/>
        <v>0</v>
      </c>
      <c r="AA18" s="1900">
        <f t="shared" si="21"/>
        <v>0</v>
      </c>
      <c r="AB18" s="1900">
        <f t="shared" si="17"/>
        <v>0.3</v>
      </c>
      <c r="AC18" s="1901">
        <f t="shared" si="18"/>
        <v>0</v>
      </c>
      <c r="AD18" s="1900">
        <f t="shared" si="19"/>
        <v>0.3</v>
      </c>
      <c r="AE18" s="1900">
        <f t="shared" si="20"/>
        <v>0.3</v>
      </c>
      <c r="AG18" s="1898" t="s">
        <v>255</v>
      </c>
      <c r="AH18" s="1902" t="s">
        <v>948</v>
      </c>
      <c r="AI18" s="1390" t="s">
        <v>737</v>
      </c>
      <c r="AJ18" s="1904"/>
      <c r="AK18" s="1904">
        <v>0.3</v>
      </c>
      <c r="AL18" s="1904"/>
      <c r="AM18" s="1904"/>
      <c r="AN18" s="1904"/>
      <c r="AO18" s="1904"/>
      <c r="AP18" s="1904"/>
      <c r="AQ18" s="1911"/>
      <c r="AR18" s="1904"/>
      <c r="AS18" s="1904">
        <v>0.3</v>
      </c>
      <c r="AT18" s="1905"/>
      <c r="AU18" s="1904">
        <v>0.3</v>
      </c>
      <c r="AV18" s="1904">
        <v>0.3</v>
      </c>
      <c r="AX18" s="1898" t="s">
        <v>255</v>
      </c>
      <c r="AY18" s="1902" t="s">
        <v>948</v>
      </c>
      <c r="AZ18" s="1390" t="s">
        <v>737</v>
      </c>
      <c r="BA18" s="1904"/>
      <c r="BB18" s="1904">
        <v>0.15</v>
      </c>
      <c r="BC18" s="1904"/>
      <c r="BD18" s="1904"/>
      <c r="BE18" s="1904"/>
      <c r="BF18" s="1904"/>
      <c r="BG18" s="1904"/>
      <c r="BH18" s="1906"/>
      <c r="BI18" s="1904"/>
      <c r="BJ18" s="1904">
        <v>0.15</v>
      </c>
      <c r="BK18" s="1905">
        <v>0.2</v>
      </c>
      <c r="BL18" s="1904">
        <v>0.2</v>
      </c>
      <c r="BM18" s="1904">
        <v>0.2</v>
      </c>
      <c r="BO18" s="1898" t="s">
        <v>255</v>
      </c>
      <c r="BP18" s="1902" t="s">
        <v>948</v>
      </c>
      <c r="BQ18" s="1390" t="s">
        <v>737</v>
      </c>
      <c r="BR18" s="1904"/>
      <c r="BS18" s="1904">
        <v>0.2</v>
      </c>
      <c r="BT18" s="1904"/>
      <c r="BU18" s="1904"/>
      <c r="BV18" s="1904"/>
      <c r="BW18" s="1904"/>
      <c r="BX18" s="1904"/>
      <c r="BY18" s="1911"/>
      <c r="BZ18" s="1904"/>
      <c r="CA18" s="1904">
        <v>0.2</v>
      </c>
      <c r="CB18" s="1905">
        <v>0.2</v>
      </c>
      <c r="CC18" s="1904">
        <v>0.2</v>
      </c>
      <c r="CD18" s="1904">
        <v>0.2</v>
      </c>
      <c r="CE18" s="2278"/>
    </row>
    <row r="19" spans="1:84">
      <c r="B19" s="1872">
        <f t="shared" si="0"/>
        <v>1.3</v>
      </c>
      <c r="C19" s="1387" t="str">
        <f t="shared" si="1"/>
        <v>吸音</v>
      </c>
      <c r="D19" s="1896">
        <f>IF(I$10=0,0,G19/I$10)</f>
        <v>0.2</v>
      </c>
      <c r="E19" s="1896">
        <f>IF(J$10=0,0,H19/J$10)</f>
        <v>0.19999999999999998</v>
      </c>
      <c r="G19" s="1897">
        <f t="shared" si="2"/>
        <v>0.2</v>
      </c>
      <c r="H19" s="1897">
        <f t="shared" si="3"/>
        <v>3.4482758620689662E-2</v>
      </c>
      <c r="I19" s="1897"/>
      <c r="J19" s="1897"/>
      <c r="K19" s="1897">
        <f>IF(スコア!M19=0,0,1)</f>
        <v>1</v>
      </c>
      <c r="L19" s="1897">
        <f>IF(スコア!O19=0,0,1)</f>
        <v>1</v>
      </c>
      <c r="M19" s="1897">
        <f t="shared" si="4"/>
        <v>0.2</v>
      </c>
      <c r="N19" s="1897">
        <f t="shared" si="5"/>
        <v>3.4482758620689662E-2</v>
      </c>
      <c r="P19" s="1898">
        <f t="shared" si="6"/>
        <v>1.3</v>
      </c>
      <c r="Q19" s="1898" t="str">
        <f t="shared" si="7"/>
        <v xml:space="preserve"> Q1 1</v>
      </c>
      <c r="R19" s="1899" t="str">
        <f t="shared" si="8"/>
        <v>吸音</v>
      </c>
      <c r="S19" s="1900">
        <f t="shared" si="9"/>
        <v>0.2</v>
      </c>
      <c r="T19" s="1900">
        <f t="shared" si="10"/>
        <v>0.2</v>
      </c>
      <c r="U19" s="1900">
        <f t="shared" si="11"/>
        <v>0.2</v>
      </c>
      <c r="V19" s="1900">
        <f t="shared" si="12"/>
        <v>0.2</v>
      </c>
      <c r="W19" s="1900">
        <f t="shared" si="13"/>
        <v>0.2</v>
      </c>
      <c r="X19" s="1900">
        <f t="shared" si="14"/>
        <v>0.2</v>
      </c>
      <c r="Y19" s="1900">
        <f t="shared" si="15"/>
        <v>0.2</v>
      </c>
      <c r="Z19" s="1908">
        <f t="shared" si="16"/>
        <v>0.2</v>
      </c>
      <c r="AA19" s="1900">
        <f t="shared" si="21"/>
        <v>0</v>
      </c>
      <c r="AB19" s="1900">
        <f t="shared" si="17"/>
        <v>0.2</v>
      </c>
      <c r="AC19" s="1901">
        <f t="shared" si="18"/>
        <v>0</v>
      </c>
      <c r="AD19" s="1900">
        <f t="shared" si="19"/>
        <v>0.2</v>
      </c>
      <c r="AE19" s="1900">
        <f t="shared" si="20"/>
        <v>0.2</v>
      </c>
      <c r="AG19" s="1898">
        <v>1.3</v>
      </c>
      <c r="AH19" s="1902" t="s">
        <v>942</v>
      </c>
      <c r="AI19" s="1390" t="s">
        <v>738</v>
      </c>
      <c r="AJ19" s="1910">
        <v>0.2</v>
      </c>
      <c r="AK19" s="1900">
        <v>0.2</v>
      </c>
      <c r="AL19" s="1900">
        <v>0.2</v>
      </c>
      <c r="AM19" s="1900">
        <v>0.2</v>
      </c>
      <c r="AN19" s="1910">
        <v>0.2</v>
      </c>
      <c r="AO19" s="1900">
        <v>0.2</v>
      </c>
      <c r="AP19" s="1900">
        <v>0.2</v>
      </c>
      <c r="AQ19" s="1910">
        <v>0.2</v>
      </c>
      <c r="AR19" s="1900"/>
      <c r="AS19" s="1904">
        <v>0.2</v>
      </c>
      <c r="AT19" s="1905"/>
      <c r="AU19" s="1904">
        <v>0.2</v>
      </c>
      <c r="AV19" s="1910">
        <v>0.2</v>
      </c>
      <c r="AX19" s="1898">
        <v>1.3</v>
      </c>
      <c r="AY19" s="1902" t="s">
        <v>942</v>
      </c>
      <c r="AZ19" s="1390" t="s">
        <v>738</v>
      </c>
      <c r="BA19" s="1904">
        <v>0.3</v>
      </c>
      <c r="BB19" s="1904">
        <v>0.3</v>
      </c>
      <c r="BC19" s="1904">
        <v>0.3</v>
      </c>
      <c r="BD19" s="1904">
        <v>0.3</v>
      </c>
      <c r="BE19" s="1904">
        <v>0.3</v>
      </c>
      <c r="BF19" s="1904">
        <v>0.3</v>
      </c>
      <c r="BG19" s="1904">
        <v>0</v>
      </c>
      <c r="BH19" s="1906">
        <v>0.2</v>
      </c>
      <c r="BI19" s="1904">
        <v>0.3</v>
      </c>
      <c r="BJ19" s="1904">
        <v>0.3</v>
      </c>
      <c r="BK19" s="1905">
        <v>0.3</v>
      </c>
      <c r="BL19" s="1904">
        <v>0.3</v>
      </c>
      <c r="BM19" s="1904">
        <v>0</v>
      </c>
      <c r="BO19" s="1898">
        <v>1.3</v>
      </c>
      <c r="BP19" s="1902" t="s">
        <v>942</v>
      </c>
      <c r="BQ19" s="1390" t="s">
        <v>738</v>
      </c>
      <c r="BR19" s="1904">
        <v>0.2</v>
      </c>
      <c r="BS19" s="1904">
        <v>0.2</v>
      </c>
      <c r="BT19" s="1904">
        <v>0.2</v>
      </c>
      <c r="BU19" s="1904">
        <v>0.2</v>
      </c>
      <c r="BV19" s="1904">
        <v>0.2</v>
      </c>
      <c r="BW19" s="1904">
        <v>0.2</v>
      </c>
      <c r="BX19" s="1904">
        <v>0</v>
      </c>
      <c r="BY19" s="1911">
        <v>0.2</v>
      </c>
      <c r="BZ19" s="1904">
        <v>0.2</v>
      </c>
      <c r="CA19" s="1904">
        <v>0.2</v>
      </c>
      <c r="CB19" s="1905">
        <v>0.2</v>
      </c>
      <c r="CC19" s="1904">
        <v>0.2</v>
      </c>
      <c r="CD19" s="1904">
        <v>0</v>
      </c>
      <c r="CE19" s="2278"/>
    </row>
    <row r="20" spans="1:84" s="1355" customFormat="1">
      <c r="A20"/>
      <c r="B20" s="1872">
        <f t="shared" si="0"/>
        <v>2</v>
      </c>
      <c r="C20" s="1882" t="str">
        <f t="shared" si="1"/>
        <v>温熱環境</v>
      </c>
      <c r="D20" s="1883">
        <f>IF(I$9=0,0,G20/I$9)</f>
        <v>0.35</v>
      </c>
      <c r="E20" s="1884">
        <f>IF(J$9=0,0,H20/J$9)</f>
        <v>0</v>
      </c>
      <c r="F20"/>
      <c r="G20" s="1884">
        <f t="shared" si="2"/>
        <v>0.35</v>
      </c>
      <c r="H20" s="1884">
        <f t="shared" si="3"/>
        <v>0</v>
      </c>
      <c r="I20" s="1884">
        <f>G21+G30+G31</f>
        <v>1</v>
      </c>
      <c r="J20" s="1884">
        <f>H21+H30+H31</f>
        <v>0.17241379310344829</v>
      </c>
      <c r="K20" s="1884">
        <f>IF(L20&gt;0,1,IF(スコア!M20=0,0,1))</f>
        <v>1</v>
      </c>
      <c r="L20" s="1884">
        <f>IF(スコア!O20=0,0,1)</f>
        <v>1</v>
      </c>
      <c r="M20" s="1884">
        <f t="shared" si="4"/>
        <v>0.35</v>
      </c>
      <c r="N20" s="1884">
        <f t="shared" si="5"/>
        <v>0</v>
      </c>
      <c r="O20"/>
      <c r="P20" s="1886">
        <f t="shared" si="6"/>
        <v>2</v>
      </c>
      <c r="Q20" s="1886" t="str">
        <f t="shared" si="7"/>
        <v xml:space="preserve"> Q1</v>
      </c>
      <c r="R20" s="1887" t="str">
        <f t="shared" si="8"/>
        <v>温熱環境</v>
      </c>
      <c r="S20" s="1888">
        <f t="shared" si="9"/>
        <v>0.35</v>
      </c>
      <c r="T20" s="1888">
        <f t="shared" si="10"/>
        <v>0.35</v>
      </c>
      <c r="U20" s="1888">
        <f t="shared" si="11"/>
        <v>0.35</v>
      </c>
      <c r="V20" s="1888">
        <f t="shared" si="12"/>
        <v>0.35</v>
      </c>
      <c r="W20" s="1888">
        <f t="shared" si="13"/>
        <v>0.35</v>
      </c>
      <c r="X20" s="1888">
        <f t="shared" si="14"/>
        <v>0.35</v>
      </c>
      <c r="Y20" s="1888">
        <f t="shared" si="15"/>
        <v>0.35</v>
      </c>
      <c r="Z20" s="1912">
        <f t="shared" si="16"/>
        <v>0.35</v>
      </c>
      <c r="AA20" s="1888">
        <f t="shared" si="21"/>
        <v>0.35</v>
      </c>
      <c r="AB20" s="1888">
        <f t="shared" si="17"/>
        <v>0.35</v>
      </c>
      <c r="AC20" s="1890">
        <f t="shared" si="18"/>
        <v>0</v>
      </c>
      <c r="AD20" s="1888">
        <f t="shared" si="19"/>
        <v>0</v>
      </c>
      <c r="AE20" s="1888">
        <f t="shared" si="20"/>
        <v>0</v>
      </c>
      <c r="AF20"/>
      <c r="AG20" s="1886">
        <v>2</v>
      </c>
      <c r="AH20" s="1891" t="s">
        <v>941</v>
      </c>
      <c r="AI20" s="1887" t="s">
        <v>934</v>
      </c>
      <c r="AJ20" s="1888">
        <v>0.35</v>
      </c>
      <c r="AK20" s="1888">
        <v>0.35</v>
      </c>
      <c r="AL20" s="1888">
        <v>0.35</v>
      </c>
      <c r="AM20" s="1888">
        <v>0.35</v>
      </c>
      <c r="AN20" s="1888">
        <v>0.35</v>
      </c>
      <c r="AO20" s="1888">
        <v>0.35</v>
      </c>
      <c r="AP20" s="1888">
        <v>0.35</v>
      </c>
      <c r="AQ20" s="1888">
        <v>0.35</v>
      </c>
      <c r="AR20" s="1888">
        <v>0.35</v>
      </c>
      <c r="AS20" s="1892">
        <v>0.35</v>
      </c>
      <c r="AT20" s="1893"/>
      <c r="AU20" s="1892"/>
      <c r="AV20" s="1892"/>
      <c r="AW20"/>
      <c r="AX20" s="1886">
        <v>2</v>
      </c>
      <c r="AY20" s="1891" t="s">
        <v>941</v>
      </c>
      <c r="AZ20" s="1887" t="s">
        <v>934</v>
      </c>
      <c r="BA20" s="1892">
        <v>0.35</v>
      </c>
      <c r="BB20" s="1892">
        <v>0.35</v>
      </c>
      <c r="BC20" s="1892">
        <v>0.35</v>
      </c>
      <c r="BD20" s="1892">
        <v>0.35</v>
      </c>
      <c r="BE20" s="1892">
        <v>0.35</v>
      </c>
      <c r="BF20" s="1892">
        <v>0.35</v>
      </c>
      <c r="BG20" s="1892">
        <v>0.35</v>
      </c>
      <c r="BH20" s="1913">
        <v>0.44</v>
      </c>
      <c r="BI20" s="1892">
        <v>0.35</v>
      </c>
      <c r="BJ20" s="1892">
        <v>0.35</v>
      </c>
      <c r="BK20" s="1893"/>
      <c r="BL20" s="1892"/>
      <c r="BM20" s="1892"/>
      <c r="BN20"/>
      <c r="BO20" s="1886">
        <v>2</v>
      </c>
      <c r="BP20" s="1891" t="s">
        <v>941</v>
      </c>
      <c r="BQ20" s="1887" t="s">
        <v>934</v>
      </c>
      <c r="BR20" s="1892">
        <v>0.35</v>
      </c>
      <c r="BS20" s="1892">
        <v>0.35</v>
      </c>
      <c r="BT20" s="1892">
        <v>0.35</v>
      </c>
      <c r="BU20" s="1892">
        <v>0.35</v>
      </c>
      <c r="BV20" s="1892">
        <v>0.35</v>
      </c>
      <c r="BW20" s="1892">
        <v>0.35</v>
      </c>
      <c r="BX20" s="1892">
        <v>0.35</v>
      </c>
      <c r="BY20" s="1913">
        <v>0.44</v>
      </c>
      <c r="BZ20" s="1892">
        <v>0.35</v>
      </c>
      <c r="CA20" s="1892">
        <v>0.35</v>
      </c>
      <c r="CB20" s="1893"/>
      <c r="CC20" s="1892"/>
      <c r="CD20" s="1892"/>
      <c r="CE20" s="2277"/>
      <c r="CF20"/>
    </row>
    <row r="21" spans="1:84">
      <c r="B21" s="1872">
        <f t="shared" si="0"/>
        <v>2.1</v>
      </c>
      <c r="C21" s="1895" t="str">
        <f t="shared" si="1"/>
        <v>室温制御</v>
      </c>
      <c r="D21" s="1896">
        <f>IF(I$20=0,0,G21/I$20)</f>
        <v>0.5</v>
      </c>
      <c r="E21" s="1897">
        <f>IF(J$20=0,0,H21/J$20)</f>
        <v>1</v>
      </c>
      <c r="G21" s="1897">
        <f t="shared" si="2"/>
        <v>0.5</v>
      </c>
      <c r="H21" s="1897">
        <f t="shared" si="3"/>
        <v>0.17241379310344829</v>
      </c>
      <c r="I21" s="1897">
        <f>SUM(G22:G29)</f>
        <v>0.71724137931034482</v>
      </c>
      <c r="J21" s="1897">
        <f>SUM(H22:H29)</f>
        <v>0.10344827586206896</v>
      </c>
      <c r="K21" s="1897">
        <f>IF(スコア!M21=0,0,1)</f>
        <v>1</v>
      </c>
      <c r="L21" s="1897">
        <f>IF(スコア!O21=0,0,1)</f>
        <v>1</v>
      </c>
      <c r="M21" s="1897">
        <f t="shared" si="4"/>
        <v>0.5</v>
      </c>
      <c r="N21" s="1897">
        <f t="shared" si="5"/>
        <v>0.17241379310344829</v>
      </c>
      <c r="P21" s="1898">
        <f t="shared" si="6"/>
        <v>2.1</v>
      </c>
      <c r="Q21" s="1898" t="str">
        <f t="shared" si="7"/>
        <v xml:space="preserve"> Q1 2</v>
      </c>
      <c r="R21" s="1899" t="str">
        <f t="shared" si="8"/>
        <v>室温制御</v>
      </c>
      <c r="S21" s="1900">
        <f t="shared" si="9"/>
        <v>0.5</v>
      </c>
      <c r="T21" s="1900">
        <f t="shared" si="10"/>
        <v>0.5</v>
      </c>
      <c r="U21" s="1900">
        <f t="shared" si="11"/>
        <v>0.5</v>
      </c>
      <c r="V21" s="1900">
        <f t="shared" si="12"/>
        <v>0.5</v>
      </c>
      <c r="W21" s="1900">
        <f t="shared" si="13"/>
        <v>0.5</v>
      </c>
      <c r="X21" s="1900">
        <f t="shared" si="14"/>
        <v>0.5</v>
      </c>
      <c r="Y21" s="1900">
        <f t="shared" si="15"/>
        <v>0.5</v>
      </c>
      <c r="Z21" s="1914">
        <f t="shared" si="16"/>
        <v>0.5</v>
      </c>
      <c r="AA21" s="1900">
        <f t="shared" si="21"/>
        <v>0.5</v>
      </c>
      <c r="AB21" s="1900">
        <f t="shared" si="17"/>
        <v>0.5</v>
      </c>
      <c r="AC21" s="1901">
        <f t="shared" si="18"/>
        <v>1</v>
      </c>
      <c r="AD21" s="1900">
        <f t="shared" si="19"/>
        <v>1</v>
      </c>
      <c r="AE21" s="1900">
        <f t="shared" si="20"/>
        <v>1</v>
      </c>
      <c r="AG21" s="1898">
        <v>2.1</v>
      </c>
      <c r="AH21" s="1902" t="s">
        <v>949</v>
      </c>
      <c r="AI21" s="1899" t="s">
        <v>740</v>
      </c>
      <c r="AJ21" s="1900">
        <v>0.5</v>
      </c>
      <c r="AK21" s="1900">
        <v>0.5</v>
      </c>
      <c r="AL21" s="1900">
        <v>0.5</v>
      </c>
      <c r="AM21" s="1900">
        <v>0.5</v>
      </c>
      <c r="AN21" s="1900">
        <v>0.5</v>
      </c>
      <c r="AO21" s="1900">
        <v>0.5</v>
      </c>
      <c r="AP21" s="1900">
        <v>0.5</v>
      </c>
      <c r="AQ21" s="1900">
        <v>0.5</v>
      </c>
      <c r="AR21" s="1900">
        <v>0.5</v>
      </c>
      <c r="AS21" s="1904">
        <v>0.5</v>
      </c>
      <c r="AT21" s="1905">
        <v>1</v>
      </c>
      <c r="AU21" s="1904">
        <v>1</v>
      </c>
      <c r="AV21" s="1904">
        <v>1</v>
      </c>
      <c r="AX21" s="1898">
        <v>2.1</v>
      </c>
      <c r="AY21" s="1902" t="s">
        <v>949</v>
      </c>
      <c r="AZ21" s="1899" t="s">
        <v>740</v>
      </c>
      <c r="BA21" s="1904">
        <v>0.5</v>
      </c>
      <c r="BB21" s="1904">
        <v>0.5</v>
      </c>
      <c r="BC21" s="1904">
        <v>0.5</v>
      </c>
      <c r="BD21" s="1904">
        <v>0.5</v>
      </c>
      <c r="BE21" s="1904">
        <v>0.5</v>
      </c>
      <c r="BF21" s="1904">
        <v>0.5</v>
      </c>
      <c r="BG21" s="1904">
        <v>0.5</v>
      </c>
      <c r="BH21" s="1906">
        <v>0.5</v>
      </c>
      <c r="BI21" s="1904">
        <v>0.5</v>
      </c>
      <c r="BJ21" s="1904">
        <v>0.5</v>
      </c>
      <c r="BK21" s="1905">
        <v>0.5</v>
      </c>
      <c r="BL21" s="1904">
        <v>0.5</v>
      </c>
      <c r="BM21" s="1904">
        <v>0.5</v>
      </c>
      <c r="BO21" s="1898">
        <v>2.1</v>
      </c>
      <c r="BP21" s="1902" t="s">
        <v>949</v>
      </c>
      <c r="BQ21" s="1899" t="s">
        <v>740</v>
      </c>
      <c r="BR21" s="1904">
        <v>0.5</v>
      </c>
      <c r="BS21" s="1904">
        <v>0.5</v>
      </c>
      <c r="BT21" s="1904">
        <v>0.5</v>
      </c>
      <c r="BU21" s="1904">
        <v>0.5</v>
      </c>
      <c r="BV21" s="1904">
        <v>0.5</v>
      </c>
      <c r="BW21" s="1904">
        <v>0.5</v>
      </c>
      <c r="BX21" s="1904">
        <v>0.5</v>
      </c>
      <c r="BY21" s="1906">
        <v>0.5</v>
      </c>
      <c r="BZ21" s="1904">
        <v>0.5</v>
      </c>
      <c r="CA21" s="1904">
        <v>0.5</v>
      </c>
      <c r="CB21" s="1905">
        <v>0.5</v>
      </c>
      <c r="CC21" s="1904">
        <v>0.5</v>
      </c>
      <c r="CD21" s="1904">
        <v>0.5</v>
      </c>
      <c r="CE21" s="2278"/>
    </row>
    <row r="22" spans="1:84">
      <c r="B22" s="1872" t="str">
        <f t="shared" si="0"/>
        <v>2.1.1</v>
      </c>
      <c r="C22" s="1895" t="str">
        <f t="shared" si="1"/>
        <v>室温設定</v>
      </c>
      <c r="D22" s="1885">
        <f t="shared" ref="D22:E29" si="23">IF(I$21&gt;0,G22/I$21,0)</f>
        <v>0.46634615384615385</v>
      </c>
      <c r="E22" s="1897">
        <f t="shared" si="23"/>
        <v>0</v>
      </c>
      <c r="G22" s="1897">
        <f t="shared" si="2"/>
        <v>0.33448275862068966</v>
      </c>
      <c r="H22" s="1897">
        <f t="shared" si="3"/>
        <v>0</v>
      </c>
      <c r="I22" s="1897"/>
      <c r="J22" s="1897"/>
      <c r="K22" s="1897">
        <f>IF(スコア!M22=0,0,1)</f>
        <v>1</v>
      </c>
      <c r="L22" s="1897">
        <f>IF(スコア!O22=0,0,1)</f>
        <v>0</v>
      </c>
      <c r="M22" s="1897">
        <f t="shared" si="4"/>
        <v>0.33448275862068966</v>
      </c>
      <c r="N22" s="1897">
        <f t="shared" si="5"/>
        <v>0</v>
      </c>
      <c r="P22" s="1898" t="str">
        <f t="shared" si="6"/>
        <v>2.1.1</v>
      </c>
      <c r="Q22" s="1898" t="str">
        <f t="shared" si="7"/>
        <v xml:space="preserve"> Q1 2.1</v>
      </c>
      <c r="R22" s="1899" t="str">
        <f t="shared" si="8"/>
        <v>室温設定</v>
      </c>
      <c r="S22" s="1900">
        <f t="shared" si="9"/>
        <v>0.3</v>
      </c>
      <c r="T22" s="1900">
        <f t="shared" si="10"/>
        <v>0.3</v>
      </c>
      <c r="U22" s="1900">
        <f t="shared" si="11"/>
        <v>0.3</v>
      </c>
      <c r="V22" s="1900">
        <f t="shared" si="12"/>
        <v>0.3</v>
      </c>
      <c r="W22" s="1900">
        <f t="shared" si="13"/>
        <v>0.3</v>
      </c>
      <c r="X22" s="1900">
        <f t="shared" si="14"/>
        <v>0.3</v>
      </c>
      <c r="Y22" s="1900">
        <f t="shared" si="15"/>
        <v>0.5</v>
      </c>
      <c r="Z22" s="1914">
        <f t="shared" si="16"/>
        <v>0.3</v>
      </c>
      <c r="AA22" s="1900">
        <f t="shared" si="21"/>
        <v>0.3</v>
      </c>
      <c r="AB22" s="1900">
        <f t="shared" si="17"/>
        <v>0.3</v>
      </c>
      <c r="AC22" s="1901">
        <f t="shared" si="18"/>
        <v>0</v>
      </c>
      <c r="AD22" s="1900">
        <f t="shared" si="19"/>
        <v>0</v>
      </c>
      <c r="AE22" s="1900">
        <f t="shared" si="20"/>
        <v>0</v>
      </c>
      <c r="AG22" s="1898" t="s">
        <v>256</v>
      </c>
      <c r="AH22" s="1902" t="s">
        <v>509</v>
      </c>
      <c r="AI22" s="1899" t="s">
        <v>510</v>
      </c>
      <c r="AJ22" s="1900">
        <v>0.3</v>
      </c>
      <c r="AK22" s="1900">
        <v>0.3</v>
      </c>
      <c r="AL22" s="1900">
        <v>0.3</v>
      </c>
      <c r="AM22" s="1900">
        <v>0.3</v>
      </c>
      <c r="AN22" s="1900">
        <v>0.3</v>
      </c>
      <c r="AO22" s="1900">
        <v>0.3</v>
      </c>
      <c r="AP22" s="1900">
        <v>0.5</v>
      </c>
      <c r="AQ22" s="1914">
        <v>0.3</v>
      </c>
      <c r="AR22" s="1900">
        <v>0.3</v>
      </c>
      <c r="AS22" s="1904">
        <v>0.3</v>
      </c>
      <c r="AT22" s="1905"/>
      <c r="AU22" s="1904"/>
      <c r="AV22" s="1904"/>
      <c r="AX22" s="1898" t="s">
        <v>256</v>
      </c>
      <c r="AY22" s="1902" t="s">
        <v>509</v>
      </c>
      <c r="AZ22" s="1899" t="s">
        <v>910</v>
      </c>
      <c r="BA22" s="1904">
        <v>0.3</v>
      </c>
      <c r="BB22" s="1904">
        <v>0.6</v>
      </c>
      <c r="BC22" s="1904">
        <v>0.3</v>
      </c>
      <c r="BD22" s="1904">
        <v>0.3</v>
      </c>
      <c r="BE22" s="1904">
        <v>0.3</v>
      </c>
      <c r="BF22" s="1904">
        <v>0.3</v>
      </c>
      <c r="BG22" s="1904">
        <v>0.6</v>
      </c>
      <c r="BH22" s="1906">
        <v>0.3</v>
      </c>
      <c r="BI22" s="1904">
        <v>0.3</v>
      </c>
      <c r="BJ22" s="1904">
        <v>0.6</v>
      </c>
      <c r="BK22" s="1905">
        <v>0.6</v>
      </c>
      <c r="BL22" s="1904">
        <v>0.6</v>
      </c>
      <c r="BM22" s="1904">
        <v>0.6</v>
      </c>
      <c r="BO22" s="1898" t="s">
        <v>256</v>
      </c>
      <c r="BP22" s="1902" t="s">
        <v>509</v>
      </c>
      <c r="BQ22" s="1899" t="s">
        <v>910</v>
      </c>
      <c r="BR22" s="1904">
        <v>0.3</v>
      </c>
      <c r="BS22" s="1904">
        <v>0.3</v>
      </c>
      <c r="BT22" s="1904">
        <v>0.3</v>
      </c>
      <c r="BU22" s="1904">
        <v>0.3</v>
      </c>
      <c r="BV22" s="1904">
        <v>0.3</v>
      </c>
      <c r="BW22" s="1904">
        <v>0.3</v>
      </c>
      <c r="BX22" s="1904">
        <v>0.5</v>
      </c>
      <c r="BY22" s="1906">
        <v>0.3</v>
      </c>
      <c r="BZ22" s="1904">
        <v>0.3</v>
      </c>
      <c r="CA22" s="1904">
        <v>0.3</v>
      </c>
      <c r="CB22" s="1905">
        <v>0.4</v>
      </c>
      <c r="CC22" s="1904">
        <v>0.4</v>
      </c>
      <c r="CD22" s="1904">
        <v>0.5</v>
      </c>
      <c r="CE22" s="2278"/>
    </row>
    <row r="23" spans="1:84" hidden="1">
      <c r="B23" s="1872" t="str">
        <f t="shared" si="0"/>
        <v>2.1.2</v>
      </c>
      <c r="C23" s="1895" t="str">
        <f t="shared" si="1"/>
        <v>負荷変動・追従制御性</v>
      </c>
      <c r="D23" s="1885">
        <f t="shared" si="23"/>
        <v>0</v>
      </c>
      <c r="E23" s="1897">
        <f t="shared" si="23"/>
        <v>0</v>
      </c>
      <c r="G23" s="1897">
        <f t="shared" si="2"/>
        <v>0</v>
      </c>
      <c r="H23" s="1897">
        <f t="shared" si="3"/>
        <v>0</v>
      </c>
      <c r="I23" s="1897"/>
      <c r="J23" s="1897"/>
      <c r="K23" s="1897">
        <f>IF(スコア!M23=0,0,1)</f>
        <v>0</v>
      </c>
      <c r="L23" s="1897">
        <f>IF(スコア!O23=0,0,1)</f>
        <v>0</v>
      </c>
      <c r="M23" s="1897">
        <f t="shared" si="4"/>
        <v>0.11724137931034483</v>
      </c>
      <c r="N23" s="1897">
        <f t="shared" si="5"/>
        <v>0</v>
      </c>
      <c r="P23" s="1898" t="str">
        <f t="shared" si="6"/>
        <v>2.1.2</v>
      </c>
      <c r="Q23" s="1898" t="str">
        <f t="shared" si="7"/>
        <v xml:space="preserve"> Q1 2.1</v>
      </c>
      <c r="R23" s="1899" t="str">
        <f t="shared" si="8"/>
        <v>負荷変動・追従制御性</v>
      </c>
      <c r="S23" s="1915">
        <f t="shared" si="9"/>
        <v>0</v>
      </c>
      <c r="T23" s="1900">
        <f t="shared" si="10"/>
        <v>0.2</v>
      </c>
      <c r="U23" s="1900">
        <f t="shared" si="11"/>
        <v>0.2</v>
      </c>
      <c r="V23" s="1900">
        <f t="shared" si="12"/>
        <v>0.2</v>
      </c>
      <c r="W23" s="1900">
        <f t="shared" si="13"/>
        <v>0</v>
      </c>
      <c r="X23" s="1900">
        <f t="shared" si="14"/>
        <v>0</v>
      </c>
      <c r="Y23" s="1900">
        <f t="shared" si="15"/>
        <v>0</v>
      </c>
      <c r="Z23" s="1914">
        <f t="shared" si="16"/>
        <v>0.3</v>
      </c>
      <c r="AA23" s="1915">
        <f t="shared" si="21"/>
        <v>0</v>
      </c>
      <c r="AB23" s="1900">
        <f t="shared" si="17"/>
        <v>0.2</v>
      </c>
      <c r="AC23" s="1901">
        <f t="shared" si="18"/>
        <v>0</v>
      </c>
      <c r="AD23" s="1900">
        <f t="shared" si="19"/>
        <v>0</v>
      </c>
      <c r="AE23" s="1900">
        <f t="shared" si="20"/>
        <v>0</v>
      </c>
      <c r="AG23" s="1898" t="s">
        <v>511</v>
      </c>
      <c r="AH23" s="1902" t="s">
        <v>509</v>
      </c>
      <c r="AI23" s="1899" t="s">
        <v>512</v>
      </c>
      <c r="AJ23" s="1909"/>
      <c r="AK23" s="1909">
        <v>0.2</v>
      </c>
      <c r="AL23" s="1909">
        <v>0.2</v>
      </c>
      <c r="AM23" s="1909">
        <v>0.2</v>
      </c>
      <c r="AN23" s="1909"/>
      <c r="AO23" s="1909"/>
      <c r="AP23" s="1909"/>
      <c r="AQ23" s="1916">
        <v>0.3</v>
      </c>
      <c r="AR23" s="1909"/>
      <c r="AS23" s="1904">
        <v>0.2</v>
      </c>
      <c r="AT23" s="1905"/>
      <c r="AU23" s="1904"/>
      <c r="AV23" s="1904"/>
      <c r="AX23" s="1898" t="s">
        <v>511</v>
      </c>
      <c r="AY23" s="1902" t="s">
        <v>509</v>
      </c>
      <c r="AZ23" s="1899" t="s">
        <v>512</v>
      </c>
      <c r="BA23" s="1917"/>
      <c r="BB23" s="1904"/>
      <c r="BC23" s="1904"/>
      <c r="BD23" s="1904"/>
      <c r="BE23" s="1904"/>
      <c r="BF23" s="1904"/>
      <c r="BG23" s="1904"/>
      <c r="BH23" s="1906"/>
      <c r="BI23" s="1917"/>
      <c r="BJ23" s="1904"/>
      <c r="BK23" s="1905"/>
      <c r="BL23" s="1904"/>
      <c r="BM23" s="1904"/>
      <c r="BO23" s="1898" t="s">
        <v>511</v>
      </c>
      <c r="BP23" s="1902" t="s">
        <v>509</v>
      </c>
      <c r="BQ23" s="1899" t="s">
        <v>512</v>
      </c>
      <c r="BR23" s="1917"/>
      <c r="BS23" s="1904">
        <v>0.2</v>
      </c>
      <c r="BT23" s="1904">
        <v>0.2</v>
      </c>
      <c r="BU23" s="1904">
        <v>0.2</v>
      </c>
      <c r="BV23" s="1904"/>
      <c r="BW23" s="1904"/>
      <c r="BX23" s="1904"/>
      <c r="BY23" s="1906">
        <v>0.3</v>
      </c>
      <c r="BZ23" s="1917"/>
      <c r="CA23" s="1904">
        <v>0.2</v>
      </c>
      <c r="CB23" s="1905"/>
      <c r="CC23" s="1904"/>
      <c r="CD23" s="1904"/>
      <c r="CE23" s="2278"/>
    </row>
    <row r="24" spans="1:84">
      <c r="B24" s="1872" t="str">
        <f t="shared" si="0"/>
        <v>2.1.3</v>
      </c>
      <c r="C24" s="1895" t="str">
        <f t="shared" si="1"/>
        <v>外皮性能</v>
      </c>
      <c r="D24" s="1885">
        <f t="shared" si="23"/>
        <v>0.30288461538461542</v>
      </c>
      <c r="E24" s="1897">
        <f t="shared" si="23"/>
        <v>1</v>
      </c>
      <c r="G24" s="1897">
        <f t="shared" si="2"/>
        <v>0.21724137931034485</v>
      </c>
      <c r="H24" s="1897">
        <f t="shared" si="3"/>
        <v>0.10344827586206896</v>
      </c>
      <c r="I24" s="1897"/>
      <c r="J24" s="1897"/>
      <c r="K24" s="1897">
        <f>IF(スコア!M24=0,0,1)</f>
        <v>1</v>
      </c>
      <c r="L24" s="1897">
        <f>IF(スコア!O24=0,0,1)</f>
        <v>1</v>
      </c>
      <c r="M24" s="1897">
        <f t="shared" si="4"/>
        <v>0.21724137931034485</v>
      </c>
      <c r="N24" s="1897">
        <f t="shared" si="5"/>
        <v>0.10344827586206896</v>
      </c>
      <c r="P24" s="1898" t="str">
        <f t="shared" si="6"/>
        <v>2.1.3</v>
      </c>
      <c r="Q24" s="1898" t="str">
        <f t="shared" si="7"/>
        <v xml:space="preserve"> Q1 2.1</v>
      </c>
      <c r="R24" s="1899" t="str">
        <f t="shared" si="8"/>
        <v>外皮性能</v>
      </c>
      <c r="S24" s="1900">
        <f t="shared" si="9"/>
        <v>0.2</v>
      </c>
      <c r="T24" s="1900">
        <f t="shared" si="10"/>
        <v>0.2</v>
      </c>
      <c r="U24" s="1900">
        <f t="shared" si="11"/>
        <v>0.1</v>
      </c>
      <c r="V24" s="1900">
        <f t="shared" si="12"/>
        <v>0.1</v>
      </c>
      <c r="W24" s="1900">
        <f t="shared" si="13"/>
        <v>0.2</v>
      </c>
      <c r="X24" s="1900">
        <f t="shared" si="14"/>
        <v>0.2</v>
      </c>
      <c r="Y24" s="1900">
        <f t="shared" si="15"/>
        <v>0.3</v>
      </c>
      <c r="Z24" s="1914">
        <f t="shared" si="16"/>
        <v>0.2</v>
      </c>
      <c r="AA24" s="1900">
        <f t="shared" si="21"/>
        <v>0.2</v>
      </c>
      <c r="AB24" s="1900">
        <f t="shared" si="17"/>
        <v>0.2</v>
      </c>
      <c r="AC24" s="1901">
        <f t="shared" si="18"/>
        <v>0.5</v>
      </c>
      <c r="AD24" s="1900">
        <f t="shared" si="19"/>
        <v>0.5</v>
      </c>
      <c r="AE24" s="1900">
        <f t="shared" si="20"/>
        <v>0.6</v>
      </c>
      <c r="AG24" s="1898" t="s">
        <v>513</v>
      </c>
      <c r="AH24" s="1902" t="s">
        <v>509</v>
      </c>
      <c r="AI24" s="1899" t="s">
        <v>514</v>
      </c>
      <c r="AJ24" s="1900">
        <v>0.2</v>
      </c>
      <c r="AK24" s="1900">
        <v>0.2</v>
      </c>
      <c r="AL24" s="1900">
        <v>0.1</v>
      </c>
      <c r="AM24" s="1900">
        <v>0.1</v>
      </c>
      <c r="AN24" s="1900">
        <v>0.2</v>
      </c>
      <c r="AO24" s="1900">
        <v>0.2</v>
      </c>
      <c r="AP24" s="1900">
        <v>0.3</v>
      </c>
      <c r="AQ24" s="2548">
        <v>0.2</v>
      </c>
      <c r="AR24" s="1900">
        <v>0.2</v>
      </c>
      <c r="AS24" s="1904">
        <v>0.2</v>
      </c>
      <c r="AT24" s="1905">
        <v>0.5</v>
      </c>
      <c r="AU24" s="1904">
        <v>0.5</v>
      </c>
      <c r="AV24" s="1904">
        <v>0.6</v>
      </c>
      <c r="AX24" s="1898" t="s">
        <v>513</v>
      </c>
      <c r="AY24" s="1902" t="s">
        <v>509</v>
      </c>
      <c r="AZ24" s="1899" t="s">
        <v>514</v>
      </c>
      <c r="BA24" s="1904">
        <v>0.2</v>
      </c>
      <c r="BB24" s="1904">
        <v>0.4</v>
      </c>
      <c r="BC24" s="1904">
        <v>0.2</v>
      </c>
      <c r="BD24" s="1904">
        <v>0.2</v>
      </c>
      <c r="BE24" s="1904">
        <v>0.2</v>
      </c>
      <c r="BF24" s="1904">
        <v>0.2</v>
      </c>
      <c r="BG24" s="1904">
        <v>0.4</v>
      </c>
      <c r="BH24" s="1906">
        <v>0.2</v>
      </c>
      <c r="BI24" s="1904">
        <v>0.2</v>
      </c>
      <c r="BJ24" s="1904">
        <v>0.4</v>
      </c>
      <c r="BK24" s="1905">
        <v>0.4</v>
      </c>
      <c r="BL24" s="1904">
        <v>0.4</v>
      </c>
      <c r="BM24" s="1904">
        <v>0.4</v>
      </c>
      <c r="BO24" s="1898" t="s">
        <v>513</v>
      </c>
      <c r="BP24" s="1902" t="s">
        <v>509</v>
      </c>
      <c r="BQ24" s="1899" t="s">
        <v>514</v>
      </c>
      <c r="BR24" s="1904">
        <v>0.2</v>
      </c>
      <c r="BS24" s="1904">
        <v>0.2</v>
      </c>
      <c r="BT24" s="1904">
        <v>0.1</v>
      </c>
      <c r="BU24" s="1904">
        <v>0.1</v>
      </c>
      <c r="BV24" s="1904">
        <v>0.2</v>
      </c>
      <c r="BW24" s="1904">
        <v>0.2</v>
      </c>
      <c r="BX24" s="1904">
        <v>0.3</v>
      </c>
      <c r="BY24" s="1906">
        <v>0.1</v>
      </c>
      <c r="BZ24" s="1904">
        <v>0.2</v>
      </c>
      <c r="CA24" s="1904">
        <v>0.2</v>
      </c>
      <c r="CB24" s="1905">
        <v>0.3</v>
      </c>
      <c r="CC24" s="1904">
        <v>0.3</v>
      </c>
      <c r="CD24" s="1904">
        <v>0.3</v>
      </c>
      <c r="CE24" s="2278"/>
    </row>
    <row r="25" spans="1:84">
      <c r="B25" s="1872" t="str">
        <f t="shared" si="0"/>
        <v>2.1.4</v>
      </c>
      <c r="C25" s="1895" t="str">
        <f t="shared" si="1"/>
        <v>ゾーン別制御性</v>
      </c>
      <c r="D25" s="1885">
        <f t="shared" si="23"/>
        <v>0.23076923076923078</v>
      </c>
      <c r="E25" s="1897">
        <f t="shared" si="23"/>
        <v>0</v>
      </c>
      <c r="G25" s="1897">
        <f t="shared" si="2"/>
        <v>0.16551724137931034</v>
      </c>
      <c r="H25" s="1897">
        <f t="shared" si="3"/>
        <v>0</v>
      </c>
      <c r="I25" s="1897"/>
      <c r="J25" s="1897"/>
      <c r="K25" s="1897">
        <f>IF(スコア!M25=0,0,1)</f>
        <v>1</v>
      </c>
      <c r="L25" s="1897">
        <f>IF(スコア!O25=0,0,1)</f>
        <v>0</v>
      </c>
      <c r="M25" s="1897">
        <f t="shared" si="4"/>
        <v>0.16551724137931034</v>
      </c>
      <c r="N25" s="1897">
        <f t="shared" si="5"/>
        <v>0</v>
      </c>
      <c r="P25" s="1898" t="str">
        <f t="shared" si="6"/>
        <v>2.1.4</v>
      </c>
      <c r="Q25" s="1898" t="str">
        <f t="shared" si="7"/>
        <v xml:space="preserve"> Q1 2.1</v>
      </c>
      <c r="R25" s="1899" t="str">
        <f t="shared" si="8"/>
        <v>ゾーン別制御性</v>
      </c>
      <c r="S25" s="1900">
        <f t="shared" si="9"/>
        <v>0.3</v>
      </c>
      <c r="T25" s="1900">
        <f t="shared" si="10"/>
        <v>0</v>
      </c>
      <c r="U25" s="1900">
        <f t="shared" si="11"/>
        <v>0.2</v>
      </c>
      <c r="V25" s="1900">
        <f t="shared" si="12"/>
        <v>0.2</v>
      </c>
      <c r="W25" s="1900">
        <f t="shared" si="13"/>
        <v>0.3</v>
      </c>
      <c r="X25" s="1900">
        <f t="shared" si="14"/>
        <v>0.3</v>
      </c>
      <c r="Y25" s="1900">
        <f t="shared" si="15"/>
        <v>0</v>
      </c>
      <c r="Z25" s="1914">
        <f t="shared" si="16"/>
        <v>0.3</v>
      </c>
      <c r="AA25" s="1900">
        <f t="shared" si="21"/>
        <v>0.3</v>
      </c>
      <c r="AB25" s="1900">
        <f t="shared" si="17"/>
        <v>0</v>
      </c>
      <c r="AC25" s="1901">
        <f t="shared" si="18"/>
        <v>0</v>
      </c>
      <c r="AD25" s="1900">
        <f t="shared" si="19"/>
        <v>0</v>
      </c>
      <c r="AE25" s="1900">
        <f t="shared" si="20"/>
        <v>0</v>
      </c>
      <c r="AG25" s="1898" t="s">
        <v>2535</v>
      </c>
      <c r="AH25" s="1902" t="s">
        <v>509</v>
      </c>
      <c r="AI25" s="1899" t="s">
        <v>2536</v>
      </c>
      <c r="AJ25" s="1900">
        <v>0.3</v>
      </c>
      <c r="AK25" s="1900"/>
      <c r="AL25" s="1900">
        <v>0.2</v>
      </c>
      <c r="AM25" s="1900">
        <v>0.2</v>
      </c>
      <c r="AN25" s="1900">
        <v>0.3</v>
      </c>
      <c r="AO25" s="1900">
        <v>0.3</v>
      </c>
      <c r="AP25" s="1900"/>
      <c r="AQ25" s="2548">
        <v>0.3</v>
      </c>
      <c r="AR25" s="1900">
        <v>0.3</v>
      </c>
      <c r="AS25" s="1904">
        <v>0</v>
      </c>
      <c r="AT25" s="1905"/>
      <c r="AU25" s="1904"/>
      <c r="AV25" s="1904"/>
      <c r="AX25" s="1898" t="s">
        <v>2535</v>
      </c>
      <c r="AY25" s="1902" t="s">
        <v>509</v>
      </c>
      <c r="AZ25" s="1899" t="s">
        <v>2536</v>
      </c>
      <c r="BA25" s="1904">
        <v>0.5</v>
      </c>
      <c r="BB25" s="1904"/>
      <c r="BC25" s="1904">
        <v>0.5</v>
      </c>
      <c r="BD25" s="1904">
        <v>0.5</v>
      </c>
      <c r="BE25" s="1904">
        <v>0.5</v>
      </c>
      <c r="BF25" s="1904">
        <v>0.5</v>
      </c>
      <c r="BG25" s="1904"/>
      <c r="BH25" s="1906">
        <v>0.5</v>
      </c>
      <c r="BI25" s="1904">
        <v>0.5</v>
      </c>
      <c r="BJ25" s="1904"/>
      <c r="BK25" s="1905"/>
      <c r="BL25" s="1904"/>
      <c r="BM25" s="1904"/>
      <c r="BO25" s="1898" t="s">
        <v>2535</v>
      </c>
      <c r="BP25" s="1902" t="s">
        <v>509</v>
      </c>
      <c r="BQ25" s="1899" t="s">
        <v>2536</v>
      </c>
      <c r="BR25" s="1904">
        <v>0.3</v>
      </c>
      <c r="BS25" s="1904"/>
      <c r="BT25" s="1904">
        <v>0.2</v>
      </c>
      <c r="BU25" s="1904">
        <v>0.2</v>
      </c>
      <c r="BV25" s="1904">
        <v>0.3</v>
      </c>
      <c r="BW25" s="1904">
        <v>0.3</v>
      </c>
      <c r="BX25" s="1904"/>
      <c r="BY25" s="1906">
        <v>0.2</v>
      </c>
      <c r="BZ25" s="1904">
        <v>0.3</v>
      </c>
      <c r="CA25" s="1904"/>
      <c r="CB25" s="1905"/>
      <c r="CC25" s="1904"/>
      <c r="CD25" s="1904"/>
      <c r="CE25" s="2278"/>
    </row>
    <row r="26" spans="1:84" hidden="1">
      <c r="B26" s="1872" t="str">
        <f t="shared" si="0"/>
        <v>2.1.5</v>
      </c>
      <c r="C26" s="1895" t="str">
        <f t="shared" si="1"/>
        <v>温度・湿度制御</v>
      </c>
      <c r="D26" s="1885">
        <f t="shared" si="23"/>
        <v>0</v>
      </c>
      <c r="E26" s="1897">
        <f t="shared" si="23"/>
        <v>0</v>
      </c>
      <c r="G26" s="1897">
        <f t="shared" si="2"/>
        <v>0</v>
      </c>
      <c r="H26" s="1897">
        <f t="shared" si="3"/>
        <v>0</v>
      </c>
      <c r="I26" s="1897"/>
      <c r="J26" s="1897"/>
      <c r="K26" s="1897">
        <f>IF(スコア!M26=0,0,1)</f>
        <v>0</v>
      </c>
      <c r="L26" s="1897">
        <f>IF(スコア!O26=0,0,1)</f>
        <v>0</v>
      </c>
      <c r="M26" s="1897">
        <f t="shared" si="4"/>
        <v>0.11724137931034484</v>
      </c>
      <c r="N26" s="1897">
        <f t="shared" si="5"/>
        <v>0</v>
      </c>
      <c r="P26" s="1898" t="str">
        <f t="shared" si="6"/>
        <v>2.1.5</v>
      </c>
      <c r="Q26" s="1898" t="str">
        <f t="shared" si="7"/>
        <v xml:space="preserve"> Q1 2.1</v>
      </c>
      <c r="R26" s="1899" t="str">
        <f t="shared" si="8"/>
        <v>温度・湿度制御</v>
      </c>
      <c r="S26" s="1900">
        <f t="shared" si="9"/>
        <v>0.1</v>
      </c>
      <c r="T26" s="1900">
        <f t="shared" si="10"/>
        <v>0.1</v>
      </c>
      <c r="U26" s="1900">
        <f t="shared" si="11"/>
        <v>0.1</v>
      </c>
      <c r="V26" s="1900">
        <f t="shared" si="12"/>
        <v>0.1</v>
      </c>
      <c r="W26" s="1900">
        <f t="shared" si="13"/>
        <v>0.1</v>
      </c>
      <c r="X26" s="1900">
        <f t="shared" si="14"/>
        <v>0.1</v>
      </c>
      <c r="Y26" s="1900">
        <f t="shared" si="15"/>
        <v>0.2</v>
      </c>
      <c r="Z26" s="1914">
        <f t="shared" si="16"/>
        <v>0.1</v>
      </c>
      <c r="AA26" s="1900">
        <f t="shared" si="21"/>
        <v>0.1</v>
      </c>
      <c r="AB26" s="1900">
        <f t="shared" si="17"/>
        <v>0.1</v>
      </c>
      <c r="AC26" s="1901">
        <f t="shared" si="18"/>
        <v>0.3</v>
      </c>
      <c r="AD26" s="1900">
        <f t="shared" si="19"/>
        <v>0.3</v>
      </c>
      <c r="AE26" s="1900">
        <f t="shared" si="20"/>
        <v>0</v>
      </c>
      <c r="AG26" s="1898" t="s">
        <v>2537</v>
      </c>
      <c r="AH26" s="1902" t="s">
        <v>509</v>
      </c>
      <c r="AI26" s="1899" t="s">
        <v>2538</v>
      </c>
      <c r="AJ26" s="1909">
        <v>0.1</v>
      </c>
      <c r="AK26" s="1909">
        <v>0.1</v>
      </c>
      <c r="AL26" s="1909">
        <v>0.1</v>
      </c>
      <c r="AM26" s="1909">
        <v>0.1</v>
      </c>
      <c r="AN26" s="1909">
        <v>0.1</v>
      </c>
      <c r="AO26" s="1909">
        <v>0.1</v>
      </c>
      <c r="AP26" s="1909">
        <v>0.2</v>
      </c>
      <c r="AQ26" s="1916">
        <v>0.1</v>
      </c>
      <c r="AR26" s="1909">
        <v>0.1</v>
      </c>
      <c r="AS26" s="1904">
        <v>0.1</v>
      </c>
      <c r="AT26" s="1905">
        <v>0.3</v>
      </c>
      <c r="AU26" s="1904">
        <v>0.3</v>
      </c>
      <c r="AV26" s="1904"/>
      <c r="AX26" s="1898" t="s">
        <v>2537</v>
      </c>
      <c r="AY26" s="1902" t="s">
        <v>509</v>
      </c>
      <c r="AZ26" s="1899" t="s">
        <v>2538</v>
      </c>
      <c r="BA26" s="1904"/>
      <c r="BB26" s="1904"/>
      <c r="BC26" s="1904"/>
      <c r="BD26" s="1904"/>
      <c r="BE26" s="1904"/>
      <c r="BF26" s="1904"/>
      <c r="BG26" s="1904"/>
      <c r="BH26" s="1906"/>
      <c r="BI26" s="1904"/>
      <c r="BJ26" s="1904"/>
      <c r="BK26" s="1905"/>
      <c r="BL26" s="1904"/>
      <c r="BM26" s="1904"/>
      <c r="BO26" s="1898" t="s">
        <v>2537</v>
      </c>
      <c r="BP26" s="1902" t="s">
        <v>509</v>
      </c>
      <c r="BQ26" s="1899" t="s">
        <v>2538</v>
      </c>
      <c r="BR26" s="1904">
        <v>0.1</v>
      </c>
      <c r="BS26" s="1904">
        <v>0.1</v>
      </c>
      <c r="BT26" s="1904">
        <v>0.1</v>
      </c>
      <c r="BU26" s="1904">
        <v>0.1</v>
      </c>
      <c r="BV26" s="1904">
        <v>0.1</v>
      </c>
      <c r="BW26" s="1904">
        <v>0.1</v>
      </c>
      <c r="BX26" s="1904">
        <v>0.2</v>
      </c>
      <c r="BY26" s="1906">
        <v>0.1</v>
      </c>
      <c r="BZ26" s="1904">
        <v>0.1</v>
      </c>
      <c r="CA26" s="1904">
        <v>0.1</v>
      </c>
      <c r="CB26" s="1905">
        <v>0.2</v>
      </c>
      <c r="CC26" s="1904">
        <v>0.2</v>
      </c>
      <c r="CD26" s="1904"/>
      <c r="CE26" s="2278"/>
    </row>
    <row r="27" spans="1:84" hidden="1">
      <c r="B27" s="1872" t="str">
        <f t="shared" si="0"/>
        <v>2.1.6</v>
      </c>
      <c r="C27" s="1895" t="str">
        <f t="shared" si="1"/>
        <v>個別制御</v>
      </c>
      <c r="D27" s="1885">
        <f t="shared" si="23"/>
        <v>0</v>
      </c>
      <c r="E27" s="1897">
        <f t="shared" si="23"/>
        <v>0</v>
      </c>
      <c r="G27" s="1897">
        <f t="shared" si="2"/>
        <v>0</v>
      </c>
      <c r="H27" s="1897">
        <f t="shared" si="3"/>
        <v>0</v>
      </c>
      <c r="I27" s="1897"/>
      <c r="J27" s="1897"/>
      <c r="K27" s="1897">
        <f>IF(スコア!M27=0,0,1)</f>
        <v>0</v>
      </c>
      <c r="L27" s="1897">
        <f>IF(スコア!O27=0,0,1)</f>
        <v>0</v>
      </c>
      <c r="M27" s="1897">
        <f t="shared" si="4"/>
        <v>0</v>
      </c>
      <c r="N27" s="1897">
        <f t="shared" si="5"/>
        <v>6.8965517241379323E-2</v>
      </c>
      <c r="P27" s="1898" t="str">
        <f t="shared" si="6"/>
        <v>2.1.6</v>
      </c>
      <c r="Q27" s="1898" t="str">
        <f t="shared" si="7"/>
        <v xml:space="preserve"> Q1 2.1</v>
      </c>
      <c r="R27" s="1899" t="str">
        <f t="shared" si="8"/>
        <v>個別制御</v>
      </c>
      <c r="S27" s="1900">
        <f t="shared" si="9"/>
        <v>0</v>
      </c>
      <c r="T27" s="1900">
        <f t="shared" si="10"/>
        <v>0</v>
      </c>
      <c r="U27" s="1900">
        <f t="shared" si="11"/>
        <v>0</v>
      </c>
      <c r="V27" s="1900">
        <f t="shared" si="12"/>
        <v>0</v>
      </c>
      <c r="W27" s="1900">
        <f t="shared" si="13"/>
        <v>0</v>
      </c>
      <c r="X27" s="1900">
        <f t="shared" si="14"/>
        <v>0</v>
      </c>
      <c r="Y27" s="1900">
        <f t="shared" si="15"/>
        <v>0</v>
      </c>
      <c r="Z27" s="1914">
        <f t="shared" si="16"/>
        <v>0</v>
      </c>
      <c r="AA27" s="1900">
        <f t="shared" si="21"/>
        <v>0</v>
      </c>
      <c r="AB27" s="1900">
        <f t="shared" si="17"/>
        <v>0</v>
      </c>
      <c r="AC27" s="1901">
        <f t="shared" si="18"/>
        <v>0.2</v>
      </c>
      <c r="AD27" s="1900">
        <f t="shared" si="19"/>
        <v>0.2</v>
      </c>
      <c r="AE27" s="1900">
        <f t="shared" si="20"/>
        <v>0.4</v>
      </c>
      <c r="AG27" s="1898" t="s">
        <v>2539</v>
      </c>
      <c r="AH27" s="1902" t="s">
        <v>509</v>
      </c>
      <c r="AI27" s="1899" t="s">
        <v>2540</v>
      </c>
      <c r="AJ27" s="1909"/>
      <c r="AK27" s="1909"/>
      <c r="AL27" s="1909"/>
      <c r="AM27" s="1909"/>
      <c r="AN27" s="1909"/>
      <c r="AO27" s="1909"/>
      <c r="AP27" s="1909"/>
      <c r="AQ27" s="1916"/>
      <c r="AR27" s="1909"/>
      <c r="AS27" s="1904">
        <v>0</v>
      </c>
      <c r="AT27" s="1905">
        <v>0.2</v>
      </c>
      <c r="AU27" s="1904">
        <v>0.2</v>
      </c>
      <c r="AV27" s="1904">
        <v>0.4</v>
      </c>
      <c r="AX27" s="1898" t="s">
        <v>2539</v>
      </c>
      <c r="AY27" s="1902" t="s">
        <v>509</v>
      </c>
      <c r="AZ27" s="1899" t="s">
        <v>2540</v>
      </c>
      <c r="BA27" s="1904"/>
      <c r="BB27" s="1904"/>
      <c r="BC27" s="1904"/>
      <c r="BD27" s="1904"/>
      <c r="BE27" s="1904"/>
      <c r="BF27" s="1904"/>
      <c r="BG27" s="1904"/>
      <c r="BH27" s="1906"/>
      <c r="BI27" s="1904"/>
      <c r="BJ27" s="1904"/>
      <c r="BK27" s="1905"/>
      <c r="BL27" s="1904"/>
      <c r="BM27" s="1904"/>
      <c r="BO27" s="1898" t="s">
        <v>2539</v>
      </c>
      <c r="BP27" s="1902" t="s">
        <v>509</v>
      </c>
      <c r="BQ27" s="1899" t="s">
        <v>2540</v>
      </c>
      <c r="BR27" s="1904"/>
      <c r="BS27" s="1904"/>
      <c r="BT27" s="1904"/>
      <c r="BU27" s="1904"/>
      <c r="BV27" s="1904"/>
      <c r="BW27" s="1904"/>
      <c r="BX27" s="1904"/>
      <c r="BY27" s="1906"/>
      <c r="BZ27" s="1904"/>
      <c r="CA27" s="1904"/>
      <c r="CB27" s="1905">
        <v>0.1</v>
      </c>
      <c r="CC27" s="1904">
        <v>0.1</v>
      </c>
      <c r="CD27" s="1904">
        <v>0.2</v>
      </c>
      <c r="CE27" s="2278"/>
    </row>
    <row r="28" spans="1:84" hidden="1">
      <c r="B28" s="1872" t="str">
        <f t="shared" si="0"/>
        <v>2.1.7</v>
      </c>
      <c r="C28" s="1895" t="str">
        <f t="shared" si="1"/>
        <v>時間外空調に対する配慮</v>
      </c>
      <c r="D28" s="1885">
        <f t="shared" si="23"/>
        <v>0</v>
      </c>
      <c r="E28" s="1897">
        <f t="shared" si="23"/>
        <v>0</v>
      </c>
      <c r="G28" s="1897">
        <f t="shared" si="2"/>
        <v>0</v>
      </c>
      <c r="H28" s="1897">
        <f t="shared" si="3"/>
        <v>0</v>
      </c>
      <c r="I28" s="1897"/>
      <c r="J28" s="1897"/>
      <c r="K28" s="1897">
        <f>IF(スコア!M28=0,0,1)</f>
        <v>0</v>
      </c>
      <c r="L28" s="1897">
        <f>IF(スコア!O28=0,0,1)</f>
        <v>0</v>
      </c>
      <c r="M28" s="1897">
        <f t="shared" si="4"/>
        <v>8.9655172413793116E-2</v>
      </c>
      <c r="N28" s="1897">
        <f t="shared" si="5"/>
        <v>0</v>
      </c>
      <c r="P28" s="1898" t="str">
        <f t="shared" si="6"/>
        <v>2.1.7</v>
      </c>
      <c r="Q28" s="1898" t="str">
        <f t="shared" si="7"/>
        <v xml:space="preserve"> Q1 2.1</v>
      </c>
      <c r="R28" s="1899" t="str">
        <f t="shared" si="8"/>
        <v>時間外空調に対する配慮</v>
      </c>
      <c r="S28" s="1900">
        <f t="shared" si="9"/>
        <v>0.1</v>
      </c>
      <c r="T28" s="1900">
        <f t="shared" si="10"/>
        <v>0.2</v>
      </c>
      <c r="U28" s="1900">
        <f t="shared" si="11"/>
        <v>0</v>
      </c>
      <c r="V28" s="1900">
        <f t="shared" si="12"/>
        <v>0</v>
      </c>
      <c r="W28" s="1900">
        <f t="shared" si="13"/>
        <v>0.1</v>
      </c>
      <c r="X28" s="1900">
        <f t="shared" si="14"/>
        <v>0.1</v>
      </c>
      <c r="Y28" s="1900">
        <f t="shared" si="15"/>
        <v>0</v>
      </c>
      <c r="Z28" s="1914">
        <f t="shared" si="16"/>
        <v>0</v>
      </c>
      <c r="AA28" s="1900">
        <f t="shared" si="21"/>
        <v>0.1</v>
      </c>
      <c r="AB28" s="1900">
        <f t="shared" si="17"/>
        <v>0.2</v>
      </c>
      <c r="AC28" s="1901">
        <f t="shared" si="18"/>
        <v>0</v>
      </c>
      <c r="AD28" s="1900">
        <f t="shared" si="19"/>
        <v>0</v>
      </c>
      <c r="AE28" s="1900">
        <f t="shared" si="20"/>
        <v>0</v>
      </c>
      <c r="AG28" s="1898" t="s">
        <v>2541</v>
      </c>
      <c r="AH28" s="1902" t="s">
        <v>509</v>
      </c>
      <c r="AI28" s="1899" t="s">
        <v>2542</v>
      </c>
      <c r="AJ28" s="1909">
        <v>0.1</v>
      </c>
      <c r="AK28" s="1909">
        <v>0.2</v>
      </c>
      <c r="AL28" s="1909"/>
      <c r="AM28" s="1909"/>
      <c r="AN28" s="1909">
        <v>0.1</v>
      </c>
      <c r="AO28" s="1909">
        <v>0.1</v>
      </c>
      <c r="AP28" s="1909"/>
      <c r="AQ28" s="1916"/>
      <c r="AR28" s="1909">
        <v>0.1</v>
      </c>
      <c r="AS28" s="1904">
        <v>0.2</v>
      </c>
      <c r="AT28" s="1905"/>
      <c r="AU28" s="1904"/>
      <c r="AV28" s="1904"/>
      <c r="AX28" s="1898" t="s">
        <v>2541</v>
      </c>
      <c r="AY28" s="1902" t="s">
        <v>509</v>
      </c>
      <c r="AZ28" s="1899" t="s">
        <v>2542</v>
      </c>
      <c r="BA28" s="1904"/>
      <c r="BB28" s="1904"/>
      <c r="BC28" s="1904"/>
      <c r="BD28" s="1904"/>
      <c r="BE28" s="1904"/>
      <c r="BF28" s="1904"/>
      <c r="BG28" s="1904"/>
      <c r="BH28" s="1906"/>
      <c r="BI28" s="1904"/>
      <c r="BJ28" s="1904"/>
      <c r="BK28" s="1905"/>
      <c r="BL28" s="1904"/>
      <c r="BM28" s="1904"/>
      <c r="BO28" s="1898" t="s">
        <v>2541</v>
      </c>
      <c r="BP28" s="1902" t="s">
        <v>509</v>
      </c>
      <c r="BQ28" s="1899" t="s">
        <v>2542</v>
      </c>
      <c r="BR28" s="1904">
        <v>0.1</v>
      </c>
      <c r="BS28" s="1904">
        <v>0.2</v>
      </c>
      <c r="BT28" s="1904"/>
      <c r="BU28" s="1904"/>
      <c r="BV28" s="1904">
        <v>0.1</v>
      </c>
      <c r="BW28" s="1904">
        <v>0.1</v>
      </c>
      <c r="BX28" s="1904"/>
      <c r="BY28" s="1906"/>
      <c r="BZ28" s="1904">
        <v>0.1</v>
      </c>
      <c r="CA28" s="1904">
        <v>0.2</v>
      </c>
      <c r="CB28" s="1905"/>
      <c r="CC28" s="1904"/>
      <c r="CD28" s="1904"/>
      <c r="CE28" s="2278"/>
    </row>
    <row r="29" spans="1:84" hidden="1">
      <c r="B29" s="1872" t="str">
        <f t="shared" si="0"/>
        <v>2.1.8</v>
      </c>
      <c r="C29" s="1895" t="str">
        <f t="shared" si="1"/>
        <v>監視システム</v>
      </c>
      <c r="D29" s="1885">
        <f t="shared" si="23"/>
        <v>0</v>
      </c>
      <c r="E29" s="1897">
        <f t="shared" si="23"/>
        <v>0</v>
      </c>
      <c r="G29" s="1897">
        <f t="shared" si="2"/>
        <v>0</v>
      </c>
      <c r="H29" s="1897">
        <f t="shared" si="3"/>
        <v>0</v>
      </c>
      <c r="I29" s="1897"/>
      <c r="J29" s="1897"/>
      <c r="K29" s="1897">
        <f>IF(スコア!M29=0,0,1)</f>
        <v>0</v>
      </c>
      <c r="L29" s="1897">
        <f>IF(スコア!O29=0,0,1)</f>
        <v>0</v>
      </c>
      <c r="M29" s="1897">
        <f t="shared" si="4"/>
        <v>0</v>
      </c>
      <c r="N29" s="1897">
        <f t="shared" si="5"/>
        <v>0</v>
      </c>
      <c r="P29" s="1898" t="str">
        <f t="shared" si="6"/>
        <v>2.1.8</v>
      </c>
      <c r="Q29" s="1898" t="str">
        <f t="shared" si="7"/>
        <v xml:space="preserve"> Q1 2.1</v>
      </c>
      <c r="R29" s="1899" t="str">
        <f t="shared" si="8"/>
        <v>監視システム</v>
      </c>
      <c r="S29" s="1900">
        <f t="shared" si="9"/>
        <v>0</v>
      </c>
      <c r="T29" s="1900">
        <f t="shared" si="10"/>
        <v>0</v>
      </c>
      <c r="U29" s="1900">
        <f t="shared" si="11"/>
        <v>0.1</v>
      </c>
      <c r="V29" s="1900">
        <f t="shared" si="12"/>
        <v>0.1</v>
      </c>
      <c r="W29" s="1900">
        <f t="shared" si="13"/>
        <v>0</v>
      </c>
      <c r="X29" s="1900">
        <f t="shared" si="14"/>
        <v>0</v>
      </c>
      <c r="Y29" s="1900">
        <f t="shared" si="15"/>
        <v>0</v>
      </c>
      <c r="Z29" s="1914">
        <f t="shared" si="16"/>
        <v>0</v>
      </c>
      <c r="AA29" s="1900">
        <f t="shared" si="21"/>
        <v>0</v>
      </c>
      <c r="AB29" s="1900">
        <f t="shared" si="17"/>
        <v>0</v>
      </c>
      <c r="AC29" s="1901">
        <f t="shared" si="18"/>
        <v>0</v>
      </c>
      <c r="AD29" s="1900">
        <f t="shared" si="19"/>
        <v>0</v>
      </c>
      <c r="AE29" s="1900">
        <f t="shared" si="20"/>
        <v>0</v>
      </c>
      <c r="AG29" s="1898" t="s">
        <v>2543</v>
      </c>
      <c r="AH29" s="1902" t="s">
        <v>509</v>
      </c>
      <c r="AI29" s="1899" t="s">
        <v>2544</v>
      </c>
      <c r="AJ29" s="1909"/>
      <c r="AK29" s="1909"/>
      <c r="AL29" s="1909">
        <v>0.1</v>
      </c>
      <c r="AM29" s="1909">
        <v>0.1</v>
      </c>
      <c r="AN29" s="1909"/>
      <c r="AO29" s="1909"/>
      <c r="AP29" s="1909"/>
      <c r="AQ29" s="1916"/>
      <c r="AR29" s="1909"/>
      <c r="AS29" s="1904">
        <v>0</v>
      </c>
      <c r="AT29" s="1905"/>
      <c r="AU29" s="1904"/>
      <c r="AV29" s="1904"/>
      <c r="AX29" s="1898" t="s">
        <v>2543</v>
      </c>
      <c r="AY29" s="1902" t="s">
        <v>509</v>
      </c>
      <c r="AZ29" s="1899" t="s">
        <v>2544</v>
      </c>
      <c r="BA29" s="1904"/>
      <c r="BB29" s="1904"/>
      <c r="BC29" s="1904"/>
      <c r="BD29" s="1904"/>
      <c r="BE29" s="1904"/>
      <c r="BF29" s="1904"/>
      <c r="BG29" s="1904"/>
      <c r="BH29" s="1906"/>
      <c r="BI29" s="1904"/>
      <c r="BJ29" s="1904"/>
      <c r="BK29" s="1905"/>
      <c r="BL29" s="1904"/>
      <c r="BM29" s="1904"/>
      <c r="BO29" s="1898" t="s">
        <v>2543</v>
      </c>
      <c r="BP29" s="1902" t="s">
        <v>509</v>
      </c>
      <c r="BQ29" s="1899" t="s">
        <v>2544</v>
      </c>
      <c r="BR29" s="1904"/>
      <c r="BS29" s="1904"/>
      <c r="BT29" s="1904">
        <v>0.1</v>
      </c>
      <c r="BU29" s="1904">
        <v>0.1</v>
      </c>
      <c r="BV29" s="1904"/>
      <c r="BW29" s="1904"/>
      <c r="BX29" s="1904"/>
      <c r="BY29" s="1906"/>
      <c r="BZ29" s="1904"/>
      <c r="CA29" s="1904"/>
      <c r="CB29" s="1905"/>
      <c r="CC29" s="1904"/>
      <c r="CD29" s="1904"/>
      <c r="CE29" s="2278"/>
    </row>
    <row r="30" spans="1:84">
      <c r="B30" s="1872">
        <f t="shared" si="0"/>
        <v>2.2000000000000002</v>
      </c>
      <c r="C30" s="1895" t="str">
        <f t="shared" si="1"/>
        <v>湿度制御</v>
      </c>
      <c r="D30" s="1896">
        <f>IF(I$20=0,0,G30/I$20)</f>
        <v>0.2</v>
      </c>
      <c r="E30" s="1897">
        <f>IF(J$20=0,0,H30/J$20)</f>
        <v>0</v>
      </c>
      <c r="G30" s="1897">
        <f t="shared" si="2"/>
        <v>0.2</v>
      </c>
      <c r="H30" s="1897">
        <f t="shared" si="3"/>
        <v>0</v>
      </c>
      <c r="I30" s="1897"/>
      <c r="J30" s="1897"/>
      <c r="K30" s="1897">
        <f>IF(スコア!M30=0,0,1)</f>
        <v>1</v>
      </c>
      <c r="L30" s="1897">
        <f>IF(スコア!O30=0,0,1)</f>
        <v>0</v>
      </c>
      <c r="M30" s="1897">
        <f t="shared" si="4"/>
        <v>0.2</v>
      </c>
      <c r="N30" s="1897">
        <f t="shared" si="5"/>
        <v>0</v>
      </c>
      <c r="P30" s="1898">
        <f t="shared" si="6"/>
        <v>2.2000000000000002</v>
      </c>
      <c r="Q30" s="1898" t="str">
        <f t="shared" si="7"/>
        <v xml:space="preserve"> Q1 2</v>
      </c>
      <c r="R30" s="1899" t="str">
        <f t="shared" si="8"/>
        <v>湿度制御</v>
      </c>
      <c r="S30" s="1900">
        <f t="shared" si="9"/>
        <v>0.2</v>
      </c>
      <c r="T30" s="1900">
        <f t="shared" si="10"/>
        <v>0.2</v>
      </c>
      <c r="U30" s="1900">
        <f t="shared" si="11"/>
        <v>0.2</v>
      </c>
      <c r="V30" s="1900">
        <f t="shared" si="12"/>
        <v>0.2</v>
      </c>
      <c r="W30" s="1900">
        <f t="shared" si="13"/>
        <v>0.2</v>
      </c>
      <c r="X30" s="1900">
        <f t="shared" si="14"/>
        <v>0.2</v>
      </c>
      <c r="Y30" s="1900">
        <f t="shared" si="15"/>
        <v>0.2</v>
      </c>
      <c r="Z30" s="1914">
        <f t="shared" si="16"/>
        <v>0.2</v>
      </c>
      <c r="AA30" s="1900">
        <f t="shared" si="21"/>
        <v>0.2</v>
      </c>
      <c r="AB30" s="1900">
        <f t="shared" si="17"/>
        <v>0.2</v>
      </c>
      <c r="AC30" s="1901">
        <f t="shared" si="18"/>
        <v>0</v>
      </c>
      <c r="AD30" s="1900">
        <f t="shared" si="19"/>
        <v>0</v>
      </c>
      <c r="AE30" s="1900">
        <f t="shared" si="20"/>
        <v>0</v>
      </c>
      <c r="AG30" s="1898">
        <v>2.2000000000000002</v>
      </c>
      <c r="AH30" s="1902" t="s">
        <v>949</v>
      </c>
      <c r="AI30" s="1899" t="s">
        <v>265</v>
      </c>
      <c r="AJ30" s="1900">
        <v>0.2</v>
      </c>
      <c r="AK30" s="1900">
        <v>0.2</v>
      </c>
      <c r="AL30" s="1900">
        <v>0.2</v>
      </c>
      <c r="AM30" s="1900">
        <v>0.2</v>
      </c>
      <c r="AN30" s="1900">
        <v>0.2</v>
      </c>
      <c r="AO30" s="1900">
        <v>0.2</v>
      </c>
      <c r="AP30" s="1900">
        <v>0.2</v>
      </c>
      <c r="AQ30" s="1914">
        <v>0.2</v>
      </c>
      <c r="AR30" s="1900">
        <v>0.2</v>
      </c>
      <c r="AS30" s="1904">
        <v>0.2</v>
      </c>
      <c r="AT30" s="1905"/>
      <c r="AU30" s="1904"/>
      <c r="AV30" s="1904"/>
      <c r="AX30" s="1898">
        <v>2.2000000000000002</v>
      </c>
      <c r="AY30" s="1902" t="s">
        <v>949</v>
      </c>
      <c r="AZ30" s="1899" t="s">
        <v>265</v>
      </c>
      <c r="BA30" s="1904">
        <v>0.2</v>
      </c>
      <c r="BB30" s="1904">
        <v>0.2</v>
      </c>
      <c r="BC30" s="1904">
        <v>0.2</v>
      </c>
      <c r="BD30" s="1904">
        <v>0.2</v>
      </c>
      <c r="BE30" s="1904">
        <v>0.2</v>
      </c>
      <c r="BF30" s="1904">
        <v>0.2</v>
      </c>
      <c r="BG30" s="1904">
        <v>0.2</v>
      </c>
      <c r="BH30" s="1906">
        <v>0.2</v>
      </c>
      <c r="BI30" s="1904">
        <v>0.2</v>
      </c>
      <c r="BJ30" s="1904">
        <v>0.2</v>
      </c>
      <c r="BK30" s="1905">
        <v>0.2</v>
      </c>
      <c r="BL30" s="1904">
        <v>0.2</v>
      </c>
      <c r="BM30" s="1904">
        <v>0.2</v>
      </c>
      <c r="BO30" s="1898">
        <v>2.2000000000000002</v>
      </c>
      <c r="BP30" s="1902" t="s">
        <v>949</v>
      </c>
      <c r="BQ30" s="1899" t="s">
        <v>265</v>
      </c>
      <c r="BR30" s="1904">
        <v>0.2</v>
      </c>
      <c r="BS30" s="1904">
        <v>0.2</v>
      </c>
      <c r="BT30" s="1904">
        <v>0.2</v>
      </c>
      <c r="BU30" s="1904">
        <v>0.2</v>
      </c>
      <c r="BV30" s="1904">
        <v>0.2</v>
      </c>
      <c r="BW30" s="1904">
        <v>0.2</v>
      </c>
      <c r="BX30" s="1904">
        <v>0.2</v>
      </c>
      <c r="BY30" s="1906">
        <v>0.2</v>
      </c>
      <c r="BZ30" s="1904">
        <v>0.2</v>
      </c>
      <c r="CA30" s="1904">
        <v>0.2</v>
      </c>
      <c r="CB30" s="1905">
        <v>0.2</v>
      </c>
      <c r="CC30" s="1904">
        <v>0.2</v>
      </c>
      <c r="CD30" s="1904">
        <v>0.2</v>
      </c>
      <c r="CE30" s="2278"/>
    </row>
    <row r="31" spans="1:84">
      <c r="B31" s="1872">
        <f t="shared" si="0"/>
        <v>2.2999999999999998</v>
      </c>
      <c r="C31" s="1895" t="str">
        <f t="shared" si="1"/>
        <v>空調方式</v>
      </c>
      <c r="D31" s="1896">
        <f>IF(I$20=0,0,G31/I$20)</f>
        <v>0.3</v>
      </c>
      <c r="E31" s="1897">
        <f>IF(J$20=0,0,H31/J$20)</f>
        <v>0</v>
      </c>
      <c r="G31" s="1897">
        <f t="shared" si="2"/>
        <v>0.3</v>
      </c>
      <c r="H31" s="1897">
        <f t="shared" si="3"/>
        <v>0</v>
      </c>
      <c r="I31" s="1897">
        <f>SUM(G32:G33)</f>
        <v>1</v>
      </c>
      <c r="J31" s="1897">
        <f>SUM(H32:H33)</f>
        <v>0</v>
      </c>
      <c r="K31" s="1897">
        <f>IF(スコア!M31=0,0,1)</f>
        <v>1</v>
      </c>
      <c r="L31" s="1897">
        <f>IF(スコア!O31=0,0,1)</f>
        <v>0</v>
      </c>
      <c r="M31" s="1897">
        <f t="shared" si="4"/>
        <v>0.3</v>
      </c>
      <c r="N31" s="1897">
        <f t="shared" si="5"/>
        <v>0</v>
      </c>
      <c r="P31" s="1898">
        <f t="shared" si="6"/>
        <v>2.2999999999999998</v>
      </c>
      <c r="Q31" s="1898" t="str">
        <f t="shared" si="7"/>
        <v xml:space="preserve"> Q1 2</v>
      </c>
      <c r="R31" s="1899" t="str">
        <f t="shared" si="8"/>
        <v>空調方式</v>
      </c>
      <c r="S31" s="1900">
        <f t="shared" si="9"/>
        <v>0.3</v>
      </c>
      <c r="T31" s="1900">
        <f t="shared" si="10"/>
        <v>0.3</v>
      </c>
      <c r="U31" s="1900">
        <f t="shared" si="11"/>
        <v>0.3</v>
      </c>
      <c r="V31" s="1900">
        <f t="shared" si="12"/>
        <v>0.3</v>
      </c>
      <c r="W31" s="1900">
        <f t="shared" si="13"/>
        <v>0.3</v>
      </c>
      <c r="X31" s="1900">
        <f t="shared" si="14"/>
        <v>0.3</v>
      </c>
      <c r="Y31" s="1900">
        <f t="shared" si="15"/>
        <v>0.3</v>
      </c>
      <c r="Z31" s="1914">
        <f t="shared" si="16"/>
        <v>0.3</v>
      </c>
      <c r="AA31" s="1900">
        <f t="shared" si="21"/>
        <v>0.3</v>
      </c>
      <c r="AB31" s="1900">
        <f t="shared" si="17"/>
        <v>0.3</v>
      </c>
      <c r="AC31" s="1901">
        <f t="shared" si="18"/>
        <v>0</v>
      </c>
      <c r="AD31" s="1900">
        <f t="shared" si="19"/>
        <v>0</v>
      </c>
      <c r="AE31" s="1900">
        <f t="shared" si="20"/>
        <v>0</v>
      </c>
      <c r="AG31" s="1898">
        <v>2.2999999999999998</v>
      </c>
      <c r="AH31" s="1902" t="s">
        <v>949</v>
      </c>
      <c r="AI31" s="1899" t="s">
        <v>266</v>
      </c>
      <c r="AJ31" s="1900">
        <v>0.3</v>
      </c>
      <c r="AK31" s="1900">
        <v>0.3</v>
      </c>
      <c r="AL31" s="1900">
        <v>0.3</v>
      </c>
      <c r="AM31" s="1900">
        <v>0.3</v>
      </c>
      <c r="AN31" s="1900">
        <v>0.3</v>
      </c>
      <c r="AO31" s="1900">
        <v>0.3</v>
      </c>
      <c r="AP31" s="1900">
        <v>0.3</v>
      </c>
      <c r="AQ31" s="1914">
        <v>0.3</v>
      </c>
      <c r="AR31" s="1900">
        <v>0.3</v>
      </c>
      <c r="AS31" s="1918">
        <v>0.3</v>
      </c>
      <c r="AT31" s="1905"/>
      <c r="AU31" s="1904"/>
      <c r="AV31" s="1904"/>
      <c r="AX31" s="1898">
        <v>2.2999999999999998</v>
      </c>
      <c r="AY31" s="1902" t="s">
        <v>949</v>
      </c>
      <c r="AZ31" s="1899" t="s">
        <v>266</v>
      </c>
      <c r="BA31" s="1904">
        <v>0.3</v>
      </c>
      <c r="BB31" s="1904">
        <v>0.3</v>
      </c>
      <c r="BC31" s="1904">
        <v>0.3</v>
      </c>
      <c r="BD31" s="1904">
        <v>0.3</v>
      </c>
      <c r="BE31" s="1904">
        <v>0.3</v>
      </c>
      <c r="BF31" s="1904">
        <v>0.3</v>
      </c>
      <c r="BG31" s="1904">
        <v>0.3</v>
      </c>
      <c r="BH31" s="1906">
        <v>0.3</v>
      </c>
      <c r="BI31" s="1904">
        <v>0.3</v>
      </c>
      <c r="BJ31" s="1904">
        <v>0.3</v>
      </c>
      <c r="BK31" s="1905">
        <v>0.3</v>
      </c>
      <c r="BL31" s="1904">
        <v>0.3</v>
      </c>
      <c r="BM31" s="1904">
        <v>0.3</v>
      </c>
      <c r="BO31" s="1898">
        <v>2.2999999999999998</v>
      </c>
      <c r="BP31" s="1902" t="s">
        <v>949</v>
      </c>
      <c r="BQ31" s="1899" t="s">
        <v>266</v>
      </c>
      <c r="BR31" s="1904">
        <v>0.3</v>
      </c>
      <c r="BS31" s="1904">
        <v>0.3</v>
      </c>
      <c r="BT31" s="1904">
        <v>0.3</v>
      </c>
      <c r="BU31" s="1904">
        <v>0.3</v>
      </c>
      <c r="BV31" s="1904">
        <v>0.3</v>
      </c>
      <c r="BW31" s="1904">
        <v>0.3</v>
      </c>
      <c r="BX31" s="1904">
        <v>0.3</v>
      </c>
      <c r="BY31" s="1906">
        <v>0.3</v>
      </c>
      <c r="BZ31" s="1904">
        <v>0.3</v>
      </c>
      <c r="CA31" s="1904">
        <v>0.3</v>
      </c>
      <c r="CB31" s="1905">
        <v>0.3</v>
      </c>
      <c r="CC31" s="1904">
        <v>0.3</v>
      </c>
      <c r="CD31" s="1904">
        <v>0.3</v>
      </c>
      <c r="CE31" s="2278"/>
    </row>
    <row r="32" spans="1:84">
      <c r="B32" s="1872" t="str">
        <f t="shared" si="0"/>
        <v>2.3.1</v>
      </c>
      <c r="C32" s="1895" t="str">
        <f t="shared" si="1"/>
        <v>上下温度差</v>
      </c>
      <c r="D32" s="1885">
        <f>IF(I$31&gt;0,G32/I$31,0)</f>
        <v>0.5</v>
      </c>
      <c r="E32" s="1897">
        <f>IF(J$31&gt;0,H32/J$31,0)</f>
        <v>0</v>
      </c>
      <c r="F32" s="2448"/>
      <c r="G32" s="1897">
        <f t="shared" si="2"/>
        <v>0.5</v>
      </c>
      <c r="H32" s="1897">
        <f t="shared" si="3"/>
        <v>0</v>
      </c>
      <c r="I32" s="1897"/>
      <c r="J32" s="1897"/>
      <c r="K32" s="1897">
        <f>IF(スコア!M32=0,0,1)</f>
        <v>1</v>
      </c>
      <c r="L32" s="1897">
        <f>IF(スコア!O32=0,0,1)</f>
        <v>0</v>
      </c>
      <c r="M32" s="1897">
        <f t="shared" si="4"/>
        <v>0.5</v>
      </c>
      <c r="N32" s="1897">
        <f t="shared" si="5"/>
        <v>0</v>
      </c>
      <c r="O32" s="2448"/>
      <c r="P32" s="1898" t="str">
        <f t="shared" si="6"/>
        <v>2.3.1</v>
      </c>
      <c r="Q32" s="1898" t="str">
        <f t="shared" si="7"/>
        <v xml:space="preserve"> Q1 2.3</v>
      </c>
      <c r="R32" s="1899" t="str">
        <f t="shared" si="8"/>
        <v>上下温度差</v>
      </c>
      <c r="S32" s="1900">
        <f t="shared" si="9"/>
        <v>0.5</v>
      </c>
      <c r="T32" s="1900">
        <f t="shared" si="10"/>
        <v>0.5</v>
      </c>
      <c r="U32" s="1900">
        <f t="shared" si="11"/>
        <v>0.5</v>
      </c>
      <c r="V32" s="1900">
        <f t="shared" si="12"/>
        <v>0.5</v>
      </c>
      <c r="W32" s="1900">
        <f t="shared" si="13"/>
        <v>0.5</v>
      </c>
      <c r="X32" s="1900">
        <f t="shared" si="14"/>
        <v>0.5</v>
      </c>
      <c r="Y32" s="1900">
        <f t="shared" si="15"/>
        <v>0.5</v>
      </c>
      <c r="Z32" s="1908">
        <f t="shared" si="16"/>
        <v>0.5</v>
      </c>
      <c r="AA32" s="1900">
        <f t="shared" si="21"/>
        <v>0.5</v>
      </c>
      <c r="AB32" s="1900">
        <f t="shared" si="17"/>
        <v>0.5</v>
      </c>
      <c r="AC32" s="1901">
        <f t="shared" si="18"/>
        <v>0</v>
      </c>
      <c r="AD32" s="1900">
        <f t="shared" si="19"/>
        <v>0</v>
      </c>
      <c r="AE32" s="1900">
        <f t="shared" si="20"/>
        <v>0</v>
      </c>
      <c r="AG32" s="1898" t="s">
        <v>257</v>
      </c>
      <c r="AH32" s="1902" t="s">
        <v>2545</v>
      </c>
      <c r="AI32" s="1899" t="s">
        <v>267</v>
      </c>
      <c r="AJ32" s="1900">
        <v>0.5</v>
      </c>
      <c r="AK32" s="1900">
        <v>0.5</v>
      </c>
      <c r="AL32" s="1900">
        <v>0.5</v>
      </c>
      <c r="AM32" s="1900">
        <v>0.5</v>
      </c>
      <c r="AN32" s="1900">
        <v>0.5</v>
      </c>
      <c r="AO32" s="1900">
        <v>0.5</v>
      </c>
      <c r="AP32" s="1900">
        <v>0.5</v>
      </c>
      <c r="AQ32" s="1914">
        <v>0.5</v>
      </c>
      <c r="AR32" s="1900">
        <v>0.5</v>
      </c>
      <c r="AS32" s="1918">
        <v>0.5</v>
      </c>
      <c r="AT32" s="1905"/>
      <c r="AU32" s="1905"/>
      <c r="AV32" s="1905"/>
      <c r="AX32" s="1922" t="s">
        <v>258</v>
      </c>
      <c r="AY32" s="1926" t="s">
        <v>2545</v>
      </c>
      <c r="AZ32" s="1923" t="s">
        <v>267</v>
      </c>
      <c r="BA32" s="1927"/>
      <c r="BB32" s="1927"/>
      <c r="BC32" s="1927"/>
      <c r="BD32" s="1927"/>
      <c r="BE32" s="1927"/>
      <c r="BF32" s="1927"/>
      <c r="BG32" s="1927"/>
      <c r="BH32" s="1928"/>
      <c r="BI32" s="1927"/>
      <c r="BJ32" s="1927"/>
      <c r="BK32" s="1929"/>
      <c r="BL32" s="1927"/>
      <c r="BM32" s="1927"/>
      <c r="BO32" s="1922" t="s">
        <v>258</v>
      </c>
      <c r="BP32" s="1926" t="s">
        <v>2545</v>
      </c>
      <c r="BQ32" s="1923" t="s">
        <v>267</v>
      </c>
      <c r="BR32" s="1930"/>
      <c r="BS32" s="1930"/>
      <c r="BT32" s="1930"/>
      <c r="BU32" s="1930"/>
      <c r="BV32" s="1930"/>
      <c r="BW32" s="1930"/>
      <c r="BX32" s="1930"/>
      <c r="BY32" s="1931"/>
      <c r="BZ32" s="1930"/>
      <c r="CA32" s="1930"/>
      <c r="CB32" s="1932"/>
      <c r="CC32" s="1930"/>
      <c r="CD32" s="1930"/>
      <c r="CE32" s="2279"/>
    </row>
    <row r="33" spans="1:84">
      <c r="B33" s="1872" t="str">
        <f t="shared" si="0"/>
        <v>2.3.2</v>
      </c>
      <c r="C33" s="1895" t="str">
        <f t="shared" si="1"/>
        <v>平均気流速度</v>
      </c>
      <c r="D33" s="1885">
        <f>IF(I$31&gt;0,G33/I$31,0)</f>
        <v>0.5</v>
      </c>
      <c r="E33" s="1897">
        <f>IF(J$31&gt;0,H33/J$31,0)</f>
        <v>0</v>
      </c>
      <c r="F33" s="2448"/>
      <c r="G33" s="1897">
        <f t="shared" si="2"/>
        <v>0.5</v>
      </c>
      <c r="H33" s="1897">
        <f t="shared" si="3"/>
        <v>0</v>
      </c>
      <c r="I33" s="1897"/>
      <c r="J33" s="1897"/>
      <c r="K33" s="1897">
        <f>IF(スコア!M33=0,0,1)</f>
        <v>1</v>
      </c>
      <c r="L33" s="1897">
        <f>IF(スコア!O33=0,0,1)</f>
        <v>0</v>
      </c>
      <c r="M33" s="1897">
        <f t="shared" si="4"/>
        <v>0.5</v>
      </c>
      <c r="N33" s="1897">
        <f t="shared" si="5"/>
        <v>0</v>
      </c>
      <c r="O33" s="2448"/>
      <c r="P33" s="1898" t="str">
        <f t="shared" si="6"/>
        <v>2.3.2</v>
      </c>
      <c r="Q33" s="1898" t="str">
        <f t="shared" si="7"/>
        <v xml:space="preserve"> Q1 2.3</v>
      </c>
      <c r="R33" s="1899" t="str">
        <f t="shared" si="8"/>
        <v>平均気流速度</v>
      </c>
      <c r="S33" s="1900">
        <f t="shared" si="9"/>
        <v>0.5</v>
      </c>
      <c r="T33" s="1900">
        <f t="shared" si="10"/>
        <v>0.5</v>
      </c>
      <c r="U33" s="1900">
        <f t="shared" si="11"/>
        <v>0.5</v>
      </c>
      <c r="V33" s="1900">
        <f t="shared" si="12"/>
        <v>0.5</v>
      </c>
      <c r="W33" s="1900">
        <f t="shared" si="13"/>
        <v>0.5</v>
      </c>
      <c r="X33" s="1900">
        <f t="shared" si="14"/>
        <v>0.5</v>
      </c>
      <c r="Y33" s="1900">
        <f t="shared" si="15"/>
        <v>0.5</v>
      </c>
      <c r="Z33" s="1908">
        <f t="shared" si="16"/>
        <v>0.5</v>
      </c>
      <c r="AA33" s="1900">
        <f t="shared" si="21"/>
        <v>0.5</v>
      </c>
      <c r="AB33" s="1900">
        <f t="shared" si="17"/>
        <v>0.5</v>
      </c>
      <c r="AC33" s="1901">
        <f t="shared" si="18"/>
        <v>0</v>
      </c>
      <c r="AD33" s="1900">
        <f t="shared" si="19"/>
        <v>0</v>
      </c>
      <c r="AE33" s="1900">
        <f t="shared" si="20"/>
        <v>0</v>
      </c>
      <c r="AG33" s="1898" t="s">
        <v>259</v>
      </c>
      <c r="AH33" s="1902" t="s">
        <v>2545</v>
      </c>
      <c r="AI33" s="1899" t="s">
        <v>1823</v>
      </c>
      <c r="AJ33" s="1900">
        <v>0.5</v>
      </c>
      <c r="AK33" s="1900">
        <v>0.5</v>
      </c>
      <c r="AL33" s="1900">
        <v>0.5</v>
      </c>
      <c r="AM33" s="1900">
        <v>0.5</v>
      </c>
      <c r="AN33" s="1900">
        <v>0.5</v>
      </c>
      <c r="AO33" s="1900">
        <v>0.5</v>
      </c>
      <c r="AP33" s="1900">
        <v>0.5</v>
      </c>
      <c r="AQ33" s="1900">
        <v>0.5</v>
      </c>
      <c r="AR33" s="1900">
        <v>0.5</v>
      </c>
      <c r="AS33" s="1918">
        <v>0.5</v>
      </c>
      <c r="AT33" s="1905"/>
      <c r="AU33" s="1905"/>
      <c r="AV33" s="1905"/>
      <c r="AX33" s="1922" t="s">
        <v>260</v>
      </c>
      <c r="AY33" s="1926" t="s">
        <v>2545</v>
      </c>
      <c r="AZ33" s="1923" t="s">
        <v>1823</v>
      </c>
      <c r="BA33" s="1927"/>
      <c r="BB33" s="1927"/>
      <c r="BC33" s="1927"/>
      <c r="BD33" s="1927"/>
      <c r="BE33" s="1927"/>
      <c r="BF33" s="1927"/>
      <c r="BG33" s="1927"/>
      <c r="BH33" s="1928"/>
      <c r="BI33" s="1927"/>
      <c r="BJ33" s="1927"/>
      <c r="BK33" s="1929"/>
      <c r="BL33" s="1927"/>
      <c r="BM33" s="1927"/>
      <c r="BO33" s="1922" t="s">
        <v>260</v>
      </c>
      <c r="BP33" s="1926" t="s">
        <v>2545</v>
      </c>
      <c r="BQ33" s="1923" t="s">
        <v>1823</v>
      </c>
      <c r="BR33" s="1930"/>
      <c r="BS33" s="1930"/>
      <c r="BT33" s="1930"/>
      <c r="BU33" s="1930"/>
      <c r="BV33" s="1930"/>
      <c r="BW33" s="1930"/>
      <c r="BX33" s="1930"/>
      <c r="BY33" s="1931"/>
      <c r="BZ33" s="1930"/>
      <c r="CA33" s="1930"/>
      <c r="CB33" s="1932"/>
      <c r="CC33" s="1930"/>
      <c r="CD33" s="1930"/>
      <c r="CE33" s="2279"/>
    </row>
    <row r="34" spans="1:84" s="1355" customFormat="1">
      <c r="A34"/>
      <c r="B34" s="1872">
        <f t="shared" si="0"/>
        <v>3</v>
      </c>
      <c r="C34" s="1882" t="str">
        <f t="shared" si="1"/>
        <v>光・視環境</v>
      </c>
      <c r="D34" s="1883">
        <f>IF(I$9=0,0,G34/I$9)</f>
        <v>0.25</v>
      </c>
      <c r="E34" s="1884">
        <f>IF(J$9=0,0,H34/J$9)</f>
        <v>0</v>
      </c>
      <c r="F34"/>
      <c r="G34" s="1884">
        <f t="shared" si="2"/>
        <v>0.25</v>
      </c>
      <c r="H34" s="1884">
        <f t="shared" si="3"/>
        <v>0</v>
      </c>
      <c r="I34" s="1884">
        <f>G35+G39+G43+G46</f>
        <v>1</v>
      </c>
      <c r="J34" s="1884">
        <f>H35+H39+H43+H46</f>
        <v>0.17241379310344829</v>
      </c>
      <c r="K34" s="1884">
        <f>IF(L34&gt;0,1,IF(スコア!M34=0,0,1))</f>
        <v>1</v>
      </c>
      <c r="L34" s="1884">
        <f>IF(スコア!O34=0,0,1)</f>
        <v>1</v>
      </c>
      <c r="M34" s="1884">
        <f t="shared" si="4"/>
        <v>0.25</v>
      </c>
      <c r="N34" s="1884">
        <f t="shared" si="5"/>
        <v>0</v>
      </c>
      <c r="O34"/>
      <c r="P34" s="1886">
        <f t="shared" si="6"/>
        <v>3</v>
      </c>
      <c r="Q34" s="1886" t="str">
        <f t="shared" si="7"/>
        <v xml:space="preserve"> Q1</v>
      </c>
      <c r="R34" s="1887" t="str">
        <f t="shared" si="8"/>
        <v>光・視環境</v>
      </c>
      <c r="S34" s="1888">
        <f t="shared" si="9"/>
        <v>0.25</v>
      </c>
      <c r="T34" s="1888">
        <f t="shared" si="10"/>
        <v>0.25</v>
      </c>
      <c r="U34" s="1888">
        <f t="shared" si="11"/>
        <v>0.25</v>
      </c>
      <c r="V34" s="1888">
        <f t="shared" si="12"/>
        <v>0.25</v>
      </c>
      <c r="W34" s="1888">
        <f t="shared" si="13"/>
        <v>0.25</v>
      </c>
      <c r="X34" s="1888">
        <f t="shared" si="14"/>
        <v>0.25</v>
      </c>
      <c r="Y34" s="1888">
        <f t="shared" si="15"/>
        <v>0.25</v>
      </c>
      <c r="Z34" s="1912">
        <f t="shared" si="16"/>
        <v>0.25</v>
      </c>
      <c r="AA34" s="1888">
        <f t="shared" si="21"/>
        <v>0.25</v>
      </c>
      <c r="AB34" s="1888">
        <f t="shared" si="17"/>
        <v>0.25</v>
      </c>
      <c r="AC34" s="1890">
        <f t="shared" si="18"/>
        <v>0</v>
      </c>
      <c r="AD34" s="1888">
        <f t="shared" si="19"/>
        <v>0</v>
      </c>
      <c r="AE34" s="1888">
        <f t="shared" si="20"/>
        <v>0</v>
      </c>
      <c r="AF34"/>
      <c r="AG34" s="1886">
        <v>3</v>
      </c>
      <c r="AH34" s="1891" t="s">
        <v>941</v>
      </c>
      <c r="AI34" s="1887" t="s">
        <v>936</v>
      </c>
      <c r="AJ34" s="1888">
        <v>0.25</v>
      </c>
      <c r="AK34" s="1888">
        <v>0.25</v>
      </c>
      <c r="AL34" s="1888">
        <v>0.25</v>
      </c>
      <c r="AM34" s="1888">
        <v>0.25</v>
      </c>
      <c r="AN34" s="1888">
        <v>0.25</v>
      </c>
      <c r="AO34" s="1888">
        <v>0.25</v>
      </c>
      <c r="AP34" s="1888">
        <v>0.25</v>
      </c>
      <c r="AQ34" s="1912">
        <v>0.25</v>
      </c>
      <c r="AR34" s="1888">
        <v>0.25</v>
      </c>
      <c r="AS34" s="1892">
        <v>0.25</v>
      </c>
      <c r="AT34" s="1893"/>
      <c r="AU34" s="1892"/>
      <c r="AV34" s="1892"/>
      <c r="AW34"/>
      <c r="AX34" s="1886">
        <v>3</v>
      </c>
      <c r="AY34" s="1891" t="s">
        <v>941</v>
      </c>
      <c r="AZ34" s="1887" t="s">
        <v>936</v>
      </c>
      <c r="BA34" s="1892">
        <v>0.25</v>
      </c>
      <c r="BB34" s="1892">
        <v>0.25</v>
      </c>
      <c r="BC34" s="1892">
        <v>0.25</v>
      </c>
      <c r="BD34" s="1892">
        <v>0.25</v>
      </c>
      <c r="BE34" s="1892">
        <v>0.25</v>
      </c>
      <c r="BF34" s="1892">
        <v>0.25</v>
      </c>
      <c r="BG34" s="1892">
        <v>0.25</v>
      </c>
      <c r="BH34" s="1913"/>
      <c r="BI34" s="1892">
        <v>0.25</v>
      </c>
      <c r="BJ34" s="1892">
        <v>0.25</v>
      </c>
      <c r="BK34" s="1893"/>
      <c r="BL34" s="1892"/>
      <c r="BM34" s="1892"/>
      <c r="BN34"/>
      <c r="BO34" s="1886">
        <v>3</v>
      </c>
      <c r="BP34" s="1891" t="s">
        <v>941</v>
      </c>
      <c r="BQ34" s="1887" t="s">
        <v>936</v>
      </c>
      <c r="BR34" s="1892">
        <v>0.25</v>
      </c>
      <c r="BS34" s="1892">
        <v>0.25</v>
      </c>
      <c r="BT34" s="1892">
        <v>0.25</v>
      </c>
      <c r="BU34" s="1892">
        <v>0.25</v>
      </c>
      <c r="BV34" s="1892">
        <v>0.25</v>
      </c>
      <c r="BW34" s="1892">
        <v>0.25</v>
      </c>
      <c r="BX34" s="1892">
        <v>0.25</v>
      </c>
      <c r="BY34" s="1913">
        <v>0</v>
      </c>
      <c r="BZ34" s="1892">
        <v>0.25</v>
      </c>
      <c r="CA34" s="1892">
        <v>0.25</v>
      </c>
      <c r="CB34" s="1893"/>
      <c r="CC34" s="1892"/>
      <c r="CD34" s="1892"/>
      <c r="CE34" s="2277"/>
      <c r="CF34"/>
    </row>
    <row r="35" spans="1:84">
      <c r="B35" s="1872">
        <f t="shared" si="0"/>
        <v>3.1</v>
      </c>
      <c r="C35" s="1895" t="str">
        <f t="shared" si="1"/>
        <v>昼光利用</v>
      </c>
      <c r="D35" s="1896">
        <f>IF(I$34=0,0,G35/I$34)</f>
        <v>0.3</v>
      </c>
      <c r="E35" s="1897">
        <f>IF(J$34=0,0,H35/J$34)</f>
        <v>0.3</v>
      </c>
      <c r="G35" s="1897">
        <f t="shared" si="2"/>
        <v>0.3</v>
      </c>
      <c r="H35" s="1897">
        <f t="shared" si="3"/>
        <v>5.1724137931034482E-2</v>
      </c>
      <c r="I35" s="1897">
        <f>SUM(G36:G38)</f>
        <v>1</v>
      </c>
      <c r="J35" s="1897">
        <f>SUM(H36:H38)</f>
        <v>0.17241379310344829</v>
      </c>
      <c r="K35" s="1897">
        <f>IF(スコア!M35=0,0,1)</f>
        <v>1</v>
      </c>
      <c r="L35" s="1897">
        <f>IF(スコア!O35=0,0,1)</f>
        <v>1</v>
      </c>
      <c r="M35" s="1897">
        <f t="shared" si="4"/>
        <v>0.3</v>
      </c>
      <c r="N35" s="1897">
        <f t="shared" si="5"/>
        <v>5.1724137931034482E-2</v>
      </c>
      <c r="P35" s="1898">
        <f t="shared" si="6"/>
        <v>3.1</v>
      </c>
      <c r="Q35" s="1898" t="str">
        <f t="shared" si="7"/>
        <v xml:space="preserve"> Q1 3</v>
      </c>
      <c r="R35" s="1899" t="str">
        <f t="shared" si="8"/>
        <v>昼光利用</v>
      </c>
      <c r="S35" s="1900">
        <f t="shared" si="9"/>
        <v>0.3</v>
      </c>
      <c r="T35" s="1900">
        <f t="shared" si="10"/>
        <v>0.3</v>
      </c>
      <c r="U35" s="1900">
        <f t="shared" si="11"/>
        <v>0.5</v>
      </c>
      <c r="V35" s="1900">
        <f t="shared" si="12"/>
        <v>1</v>
      </c>
      <c r="W35" s="1900">
        <f t="shared" si="13"/>
        <v>0.3</v>
      </c>
      <c r="X35" s="1900">
        <f t="shared" si="14"/>
        <v>0.3</v>
      </c>
      <c r="Y35" s="1900">
        <f t="shared" si="15"/>
        <v>0.3</v>
      </c>
      <c r="Z35" s="1914">
        <f t="shared" si="16"/>
        <v>0.3</v>
      </c>
      <c r="AA35" s="1900">
        <f t="shared" si="21"/>
        <v>0.3</v>
      </c>
      <c r="AB35" s="1900">
        <f t="shared" si="17"/>
        <v>0.3</v>
      </c>
      <c r="AC35" s="1901">
        <f t="shared" si="18"/>
        <v>0.3</v>
      </c>
      <c r="AD35" s="1900">
        <f t="shared" si="19"/>
        <v>0.3</v>
      </c>
      <c r="AE35" s="1900">
        <f t="shared" si="20"/>
        <v>0.3</v>
      </c>
      <c r="AG35" s="1898">
        <v>3.1</v>
      </c>
      <c r="AH35" s="1902" t="s">
        <v>2546</v>
      </c>
      <c r="AI35" s="1899" t="s">
        <v>1825</v>
      </c>
      <c r="AJ35" s="1900">
        <v>0.3</v>
      </c>
      <c r="AK35" s="1900">
        <v>0.3</v>
      </c>
      <c r="AL35" s="1900">
        <v>0.5</v>
      </c>
      <c r="AM35" s="1900">
        <v>1</v>
      </c>
      <c r="AN35" s="1900">
        <v>0.3</v>
      </c>
      <c r="AO35" s="1900">
        <v>0.3</v>
      </c>
      <c r="AP35" s="1900">
        <v>0.3</v>
      </c>
      <c r="AQ35" s="2548">
        <v>0.3</v>
      </c>
      <c r="AR35" s="1900">
        <v>0.3</v>
      </c>
      <c r="AS35" s="1904">
        <v>0.3</v>
      </c>
      <c r="AT35" s="1905">
        <v>0.3</v>
      </c>
      <c r="AU35" s="1904">
        <v>0.3</v>
      </c>
      <c r="AV35" s="1904">
        <v>0.3</v>
      </c>
      <c r="AX35" s="1898">
        <v>3.1</v>
      </c>
      <c r="AY35" s="1902" t="s">
        <v>2546</v>
      </c>
      <c r="AZ35" s="1899" t="s">
        <v>1825</v>
      </c>
      <c r="BA35" s="1904">
        <v>0.3</v>
      </c>
      <c r="BB35" s="1904">
        <v>0.3</v>
      </c>
      <c r="BC35" s="1904">
        <v>0.5</v>
      </c>
      <c r="BD35" s="1904">
        <v>1</v>
      </c>
      <c r="BE35" s="1904">
        <v>0.3</v>
      </c>
      <c r="BF35" s="1904">
        <v>0.3</v>
      </c>
      <c r="BG35" s="1904">
        <v>0.3</v>
      </c>
      <c r="BH35" s="1906"/>
      <c r="BI35" s="1904">
        <v>0.3</v>
      </c>
      <c r="BJ35" s="1904">
        <v>0.3</v>
      </c>
      <c r="BK35" s="1905">
        <v>0.3</v>
      </c>
      <c r="BL35" s="1904">
        <v>0.3</v>
      </c>
      <c r="BM35" s="1904">
        <v>0.3</v>
      </c>
      <c r="BO35" s="1898">
        <v>3.1</v>
      </c>
      <c r="BP35" s="1902" t="s">
        <v>2546</v>
      </c>
      <c r="BQ35" s="1899" t="s">
        <v>1825</v>
      </c>
      <c r="BR35" s="1904">
        <v>0.3</v>
      </c>
      <c r="BS35" s="1904">
        <v>0.3</v>
      </c>
      <c r="BT35" s="1904">
        <v>0.5</v>
      </c>
      <c r="BU35" s="1904">
        <v>1</v>
      </c>
      <c r="BV35" s="1904">
        <v>0.3</v>
      </c>
      <c r="BW35" s="1904">
        <v>0.3</v>
      </c>
      <c r="BX35" s="1904">
        <v>0.3</v>
      </c>
      <c r="BY35" s="1906"/>
      <c r="BZ35" s="1904">
        <v>0.3</v>
      </c>
      <c r="CA35" s="1904">
        <v>0.3</v>
      </c>
      <c r="CB35" s="1905">
        <v>0.3</v>
      </c>
      <c r="CC35" s="1904">
        <v>0.3</v>
      </c>
      <c r="CD35" s="1904">
        <v>0.3</v>
      </c>
      <c r="CE35" s="2278"/>
    </row>
    <row r="36" spans="1:84">
      <c r="B36" s="1872" t="str">
        <f t="shared" si="0"/>
        <v>3.1.1</v>
      </c>
      <c r="C36" s="1895" t="str">
        <f t="shared" si="1"/>
        <v>昼光率</v>
      </c>
      <c r="D36" s="1885">
        <f t="shared" ref="D36:E38" si="24">IF(I$35&gt;0,G36/I$35,0)</f>
        <v>0.6</v>
      </c>
      <c r="E36" s="1897">
        <f t="shared" si="24"/>
        <v>0.5</v>
      </c>
      <c r="G36" s="1897">
        <f t="shared" si="2"/>
        <v>0.6</v>
      </c>
      <c r="H36" s="1897">
        <f t="shared" si="3"/>
        <v>8.6206896551724144E-2</v>
      </c>
      <c r="I36" s="1897"/>
      <c r="J36" s="1897"/>
      <c r="K36" s="1897">
        <f>IF(スコア!M36=0,0,1)</f>
        <v>1</v>
      </c>
      <c r="L36" s="1897">
        <f>IF(スコア!O36=0,0,1)</f>
        <v>1</v>
      </c>
      <c r="M36" s="1897">
        <f t="shared" si="4"/>
        <v>0.6</v>
      </c>
      <c r="N36" s="1897">
        <f t="shared" si="5"/>
        <v>8.6206896551724144E-2</v>
      </c>
      <c r="P36" s="1898" t="str">
        <f t="shared" si="6"/>
        <v>3.1.1</v>
      </c>
      <c r="Q36" s="1898" t="str">
        <f t="shared" si="7"/>
        <v xml:space="preserve"> Q1 3.1</v>
      </c>
      <c r="R36" s="1899" t="str">
        <f t="shared" si="8"/>
        <v>昼光率</v>
      </c>
      <c r="S36" s="1900">
        <f t="shared" si="9"/>
        <v>0.6</v>
      </c>
      <c r="T36" s="1900">
        <f t="shared" si="10"/>
        <v>0.6</v>
      </c>
      <c r="U36" s="1900">
        <f t="shared" si="11"/>
        <v>0</v>
      </c>
      <c r="V36" s="1900">
        <f t="shared" si="12"/>
        <v>0</v>
      </c>
      <c r="W36" s="1900">
        <f t="shared" si="13"/>
        <v>0.6</v>
      </c>
      <c r="X36" s="1900">
        <f t="shared" si="14"/>
        <v>0.6</v>
      </c>
      <c r="Y36" s="1900">
        <f t="shared" si="15"/>
        <v>0.6</v>
      </c>
      <c r="Z36" s="1914">
        <f t="shared" si="16"/>
        <v>0.6</v>
      </c>
      <c r="AA36" s="1900">
        <f t="shared" si="21"/>
        <v>0.6</v>
      </c>
      <c r="AB36" s="1900">
        <f t="shared" si="17"/>
        <v>0.6</v>
      </c>
      <c r="AC36" s="1901">
        <f t="shared" si="18"/>
        <v>0.6</v>
      </c>
      <c r="AD36" s="1900">
        <f t="shared" si="19"/>
        <v>0.6</v>
      </c>
      <c r="AE36" s="1900">
        <f t="shared" si="20"/>
        <v>0.5</v>
      </c>
      <c r="AG36" s="1898" t="s">
        <v>1134</v>
      </c>
      <c r="AH36" s="1902" t="s">
        <v>2547</v>
      </c>
      <c r="AI36" s="1899" t="s">
        <v>2548</v>
      </c>
      <c r="AJ36" s="1900">
        <v>0.6</v>
      </c>
      <c r="AK36" s="1900">
        <v>0.6</v>
      </c>
      <c r="AL36" s="1900"/>
      <c r="AM36" s="1900"/>
      <c r="AN36" s="1900">
        <v>0.6</v>
      </c>
      <c r="AO36" s="1900">
        <v>0.6</v>
      </c>
      <c r="AP36" s="1900">
        <v>0.6</v>
      </c>
      <c r="AQ36" s="1914">
        <v>0.6</v>
      </c>
      <c r="AR36" s="1900">
        <v>0.6</v>
      </c>
      <c r="AS36" s="1904">
        <v>0.6</v>
      </c>
      <c r="AT36" s="1905">
        <v>0.6</v>
      </c>
      <c r="AU36" s="1904">
        <v>0.6</v>
      </c>
      <c r="AV36" s="1904">
        <v>0.5</v>
      </c>
      <c r="AX36" s="1898" t="s">
        <v>1134</v>
      </c>
      <c r="AY36" s="1902" t="s">
        <v>2547</v>
      </c>
      <c r="AZ36" s="1899" t="s">
        <v>2548</v>
      </c>
      <c r="BA36" s="1904">
        <v>0.6</v>
      </c>
      <c r="BB36" s="1904">
        <v>0.6</v>
      </c>
      <c r="BC36" s="1904"/>
      <c r="BD36" s="1904"/>
      <c r="BE36" s="1904">
        <v>0.6</v>
      </c>
      <c r="BF36" s="1904">
        <v>0.6</v>
      </c>
      <c r="BG36" s="1904">
        <v>0.6</v>
      </c>
      <c r="BH36" s="1906"/>
      <c r="BI36" s="1904">
        <v>0.6</v>
      </c>
      <c r="BJ36" s="1904">
        <v>0.6</v>
      </c>
      <c r="BK36" s="1905">
        <v>0.6</v>
      </c>
      <c r="BL36" s="1904">
        <v>0.6</v>
      </c>
      <c r="BM36" s="1904">
        <v>0.5</v>
      </c>
      <c r="BO36" s="1898" t="s">
        <v>1134</v>
      </c>
      <c r="BP36" s="1902" t="s">
        <v>2547</v>
      </c>
      <c r="BQ36" s="1899" t="s">
        <v>2548</v>
      </c>
      <c r="BR36" s="1904">
        <v>0.6</v>
      </c>
      <c r="BS36" s="1904">
        <v>0.6</v>
      </c>
      <c r="BT36" s="1904"/>
      <c r="BU36" s="1904"/>
      <c r="BV36" s="1904">
        <v>0.6</v>
      </c>
      <c r="BW36" s="1904">
        <v>0.6</v>
      </c>
      <c r="BX36" s="1904">
        <v>0.6</v>
      </c>
      <c r="BY36" s="1906"/>
      <c r="BZ36" s="1904">
        <v>0.6</v>
      </c>
      <c r="CA36" s="1904">
        <v>0.6</v>
      </c>
      <c r="CB36" s="1905">
        <v>0.6</v>
      </c>
      <c r="CC36" s="1904">
        <v>0.6</v>
      </c>
      <c r="CD36" s="1904">
        <v>0.5</v>
      </c>
      <c r="CE36" s="2278"/>
    </row>
    <row r="37" spans="1:84">
      <c r="B37" s="1872" t="str">
        <f t="shared" si="0"/>
        <v>3.1.2</v>
      </c>
      <c r="C37" s="1895" t="str">
        <f t="shared" si="1"/>
        <v>方位別開口</v>
      </c>
      <c r="D37" s="1885">
        <f t="shared" si="24"/>
        <v>0</v>
      </c>
      <c r="E37" s="1897">
        <f t="shared" si="24"/>
        <v>0.3</v>
      </c>
      <c r="G37" s="1897">
        <f t="shared" si="2"/>
        <v>0</v>
      </c>
      <c r="H37" s="1897">
        <f t="shared" si="3"/>
        <v>5.1724137931034482E-2</v>
      </c>
      <c r="I37" s="1897"/>
      <c r="J37" s="1897"/>
      <c r="K37" s="1897">
        <f>IF(スコア!M37=0,0,1)</f>
        <v>0</v>
      </c>
      <c r="L37" s="1897">
        <f>IF(スコア!O37=0,0,1)</f>
        <v>1</v>
      </c>
      <c r="M37" s="1897">
        <f t="shared" si="4"/>
        <v>0</v>
      </c>
      <c r="N37" s="1897">
        <f t="shared" si="5"/>
        <v>5.1724137931034482E-2</v>
      </c>
      <c r="P37" s="1898" t="str">
        <f t="shared" si="6"/>
        <v>3.1.2</v>
      </c>
      <c r="Q37" s="1898" t="str">
        <f t="shared" si="7"/>
        <v xml:space="preserve"> Q1 3.1</v>
      </c>
      <c r="R37" s="1899" t="str">
        <f t="shared" si="8"/>
        <v>方位別開口</v>
      </c>
      <c r="S37" s="1900">
        <f t="shared" si="9"/>
        <v>0</v>
      </c>
      <c r="T37" s="1900">
        <f t="shared" si="10"/>
        <v>0</v>
      </c>
      <c r="U37" s="1900">
        <f t="shared" si="11"/>
        <v>0</v>
      </c>
      <c r="V37" s="1900">
        <f t="shared" si="12"/>
        <v>0</v>
      </c>
      <c r="W37" s="1900">
        <f t="shared" si="13"/>
        <v>0</v>
      </c>
      <c r="X37" s="1900">
        <f t="shared" si="14"/>
        <v>0</v>
      </c>
      <c r="Y37" s="1900">
        <f t="shared" si="15"/>
        <v>0</v>
      </c>
      <c r="Z37" s="1914">
        <f t="shared" si="16"/>
        <v>0</v>
      </c>
      <c r="AA37" s="1900">
        <f t="shared" si="21"/>
        <v>0</v>
      </c>
      <c r="AB37" s="1900">
        <f t="shared" si="17"/>
        <v>0</v>
      </c>
      <c r="AC37" s="1901">
        <f t="shared" si="18"/>
        <v>0</v>
      </c>
      <c r="AD37" s="1900">
        <f t="shared" si="19"/>
        <v>0</v>
      </c>
      <c r="AE37" s="1900">
        <f t="shared" si="20"/>
        <v>0.3</v>
      </c>
      <c r="AG37" s="1898" t="s">
        <v>1135</v>
      </c>
      <c r="AH37" s="1902" t="s">
        <v>2547</v>
      </c>
      <c r="AI37" s="1899" t="s">
        <v>2549</v>
      </c>
      <c r="AJ37" s="1900"/>
      <c r="AK37" s="1900"/>
      <c r="AL37" s="1900"/>
      <c r="AM37" s="1900"/>
      <c r="AN37" s="1900"/>
      <c r="AO37" s="1900"/>
      <c r="AP37" s="1900"/>
      <c r="AQ37" s="1914"/>
      <c r="AR37" s="1900"/>
      <c r="AS37" s="1904"/>
      <c r="AT37" s="1905"/>
      <c r="AU37" s="1904"/>
      <c r="AV37" s="1904">
        <v>0.3</v>
      </c>
      <c r="AX37" s="1898" t="s">
        <v>1135</v>
      </c>
      <c r="AY37" s="1902" t="s">
        <v>2547</v>
      </c>
      <c r="AZ37" s="1899" t="s">
        <v>2549</v>
      </c>
      <c r="BA37" s="1904"/>
      <c r="BB37" s="1904"/>
      <c r="BC37" s="1904"/>
      <c r="BD37" s="1904"/>
      <c r="BE37" s="1904"/>
      <c r="BF37" s="1904"/>
      <c r="BG37" s="1904"/>
      <c r="BH37" s="1906"/>
      <c r="BI37" s="1904"/>
      <c r="BJ37" s="1904"/>
      <c r="BK37" s="1905"/>
      <c r="BL37" s="1904"/>
      <c r="BM37" s="1904">
        <v>0.3</v>
      </c>
      <c r="BO37" s="1898" t="s">
        <v>1135</v>
      </c>
      <c r="BP37" s="1902" t="s">
        <v>2547</v>
      </c>
      <c r="BQ37" s="1899" t="s">
        <v>2549</v>
      </c>
      <c r="BR37" s="1904"/>
      <c r="BS37" s="1904"/>
      <c r="BT37" s="1904"/>
      <c r="BU37" s="1904"/>
      <c r="BV37" s="1904"/>
      <c r="BW37" s="1904"/>
      <c r="BX37" s="1904"/>
      <c r="BY37" s="1906"/>
      <c r="BZ37" s="1904"/>
      <c r="CA37" s="1904"/>
      <c r="CB37" s="1905"/>
      <c r="CC37" s="1904"/>
      <c r="CD37" s="1904">
        <v>0.3</v>
      </c>
      <c r="CE37" s="2278"/>
    </row>
    <row r="38" spans="1:84">
      <c r="B38" s="1872" t="str">
        <f t="shared" si="0"/>
        <v>3.1.3</v>
      </c>
      <c r="C38" s="1895" t="str">
        <f t="shared" si="1"/>
        <v>昼光利用設備</v>
      </c>
      <c r="D38" s="1885">
        <f t="shared" si="24"/>
        <v>0.4</v>
      </c>
      <c r="E38" s="1897">
        <f t="shared" si="24"/>
        <v>0.2</v>
      </c>
      <c r="G38" s="1897">
        <f t="shared" si="2"/>
        <v>0.4</v>
      </c>
      <c r="H38" s="1897">
        <f t="shared" si="3"/>
        <v>3.4482758620689662E-2</v>
      </c>
      <c r="I38" s="1897"/>
      <c r="J38" s="1897"/>
      <c r="K38" s="1897">
        <f>IF(スコア!M38=0,0,1)</f>
        <v>1</v>
      </c>
      <c r="L38" s="1897">
        <f>IF(スコア!O38=0,0,1)</f>
        <v>1</v>
      </c>
      <c r="M38" s="1897">
        <f t="shared" si="4"/>
        <v>0.4</v>
      </c>
      <c r="N38" s="1897">
        <f t="shared" si="5"/>
        <v>3.4482758620689662E-2</v>
      </c>
      <c r="P38" s="1898" t="str">
        <f t="shared" si="6"/>
        <v>3.1.3</v>
      </c>
      <c r="Q38" s="1898" t="str">
        <f t="shared" si="7"/>
        <v xml:space="preserve"> Q1 3.1</v>
      </c>
      <c r="R38" s="1899" t="str">
        <f t="shared" si="8"/>
        <v>昼光利用設備</v>
      </c>
      <c r="S38" s="1900">
        <f t="shared" si="9"/>
        <v>0.4</v>
      </c>
      <c r="T38" s="1900">
        <f t="shared" si="10"/>
        <v>0.4</v>
      </c>
      <c r="U38" s="1900">
        <f t="shared" si="11"/>
        <v>1</v>
      </c>
      <c r="V38" s="1900">
        <f t="shared" si="12"/>
        <v>1</v>
      </c>
      <c r="W38" s="1900">
        <f t="shared" si="13"/>
        <v>0.4</v>
      </c>
      <c r="X38" s="1900">
        <f t="shared" si="14"/>
        <v>0.4</v>
      </c>
      <c r="Y38" s="1900">
        <f t="shared" si="15"/>
        <v>0.4</v>
      </c>
      <c r="Z38" s="1914">
        <f t="shared" si="16"/>
        <v>0.4</v>
      </c>
      <c r="AA38" s="1900">
        <f t="shared" si="21"/>
        <v>0.4</v>
      </c>
      <c r="AB38" s="1900">
        <f t="shared" si="17"/>
        <v>0.4</v>
      </c>
      <c r="AC38" s="1901">
        <f t="shared" si="18"/>
        <v>0.4</v>
      </c>
      <c r="AD38" s="1900">
        <f t="shared" si="19"/>
        <v>0.4</v>
      </c>
      <c r="AE38" s="1900">
        <f t="shared" si="20"/>
        <v>0.2</v>
      </c>
      <c r="AG38" s="1898" t="s">
        <v>1136</v>
      </c>
      <c r="AH38" s="1902" t="s">
        <v>2547</v>
      </c>
      <c r="AI38" s="1899" t="s">
        <v>2550</v>
      </c>
      <c r="AJ38" s="1900">
        <v>0.4</v>
      </c>
      <c r="AK38" s="1900">
        <v>0.4</v>
      </c>
      <c r="AL38" s="1900">
        <v>1</v>
      </c>
      <c r="AM38" s="1900">
        <v>1</v>
      </c>
      <c r="AN38" s="1900">
        <v>0.4</v>
      </c>
      <c r="AO38" s="1900">
        <v>0.4</v>
      </c>
      <c r="AP38" s="1900">
        <v>0.4</v>
      </c>
      <c r="AQ38" s="1914">
        <v>0.4</v>
      </c>
      <c r="AR38" s="1900">
        <v>0.4</v>
      </c>
      <c r="AS38" s="1904">
        <v>0.4</v>
      </c>
      <c r="AT38" s="1905">
        <v>0.4</v>
      </c>
      <c r="AU38" s="1904">
        <v>0.4</v>
      </c>
      <c r="AV38" s="1904">
        <v>0.2</v>
      </c>
      <c r="AX38" s="1898" t="s">
        <v>1136</v>
      </c>
      <c r="AY38" s="1902" t="s">
        <v>2547</v>
      </c>
      <c r="AZ38" s="1899" t="s">
        <v>2550</v>
      </c>
      <c r="BA38" s="1904">
        <v>0.4</v>
      </c>
      <c r="BB38" s="1904">
        <v>0.4</v>
      </c>
      <c r="BC38" s="1904">
        <v>1</v>
      </c>
      <c r="BD38" s="1904">
        <v>1</v>
      </c>
      <c r="BE38" s="1904">
        <v>0.4</v>
      </c>
      <c r="BF38" s="1904">
        <v>0.4</v>
      </c>
      <c r="BG38" s="1904">
        <v>0.4</v>
      </c>
      <c r="BH38" s="1906"/>
      <c r="BI38" s="1904">
        <v>0.4</v>
      </c>
      <c r="BJ38" s="1904">
        <v>0.4</v>
      </c>
      <c r="BK38" s="1905">
        <v>0.4</v>
      </c>
      <c r="BL38" s="1904">
        <v>0.4</v>
      </c>
      <c r="BM38" s="1904">
        <v>0.2</v>
      </c>
      <c r="BO38" s="1898" t="s">
        <v>1136</v>
      </c>
      <c r="BP38" s="1902" t="s">
        <v>2547</v>
      </c>
      <c r="BQ38" s="1899" t="s">
        <v>2550</v>
      </c>
      <c r="BR38" s="1904">
        <v>0.4</v>
      </c>
      <c r="BS38" s="1904">
        <v>0.4</v>
      </c>
      <c r="BT38" s="1904">
        <v>1</v>
      </c>
      <c r="BU38" s="1904">
        <v>1</v>
      </c>
      <c r="BV38" s="1904">
        <v>0.4</v>
      </c>
      <c r="BW38" s="1904">
        <v>0.4</v>
      </c>
      <c r="BX38" s="1904">
        <v>0.4</v>
      </c>
      <c r="BY38" s="1906"/>
      <c r="BZ38" s="1904">
        <v>0.4</v>
      </c>
      <c r="CA38" s="1904">
        <v>0.4</v>
      </c>
      <c r="CB38" s="1905">
        <v>0.4</v>
      </c>
      <c r="CC38" s="1904">
        <v>0.4</v>
      </c>
      <c r="CD38" s="1904">
        <v>0.2</v>
      </c>
      <c r="CE38" s="2278"/>
    </row>
    <row r="39" spans="1:84">
      <c r="B39" s="1872">
        <f t="shared" si="0"/>
        <v>3.2</v>
      </c>
      <c r="C39" s="1895" t="str">
        <f t="shared" si="1"/>
        <v>グレア対策</v>
      </c>
      <c r="D39" s="1896">
        <f>IF(I$34=0,0,G39/I$34)</f>
        <v>0.23793103448275862</v>
      </c>
      <c r="E39" s="1897">
        <f>IF(J$34=0,0,H39/J$34)</f>
        <v>0.3</v>
      </c>
      <c r="G39" s="1897">
        <f t="shared" si="2"/>
        <v>0.23793103448275862</v>
      </c>
      <c r="H39" s="1897">
        <f t="shared" si="3"/>
        <v>5.1724137931034482E-2</v>
      </c>
      <c r="I39" s="1897">
        <f>SUM(G40:G42)</f>
        <v>0.50344827586206897</v>
      </c>
      <c r="J39" s="1897">
        <f>SUM(H40:H42)</f>
        <v>0.10344827586206896</v>
      </c>
      <c r="K39" s="1897">
        <f>IF(スコア!M39=0,0,1)</f>
        <v>1</v>
      </c>
      <c r="L39" s="1897">
        <f>IF(スコア!O39=0,0,1)</f>
        <v>1</v>
      </c>
      <c r="M39" s="1897">
        <f t="shared" si="4"/>
        <v>0.23793103448275862</v>
      </c>
      <c r="N39" s="1897">
        <f t="shared" si="5"/>
        <v>5.1724137931034482E-2</v>
      </c>
      <c r="P39" s="1898">
        <f t="shared" si="6"/>
        <v>3.2</v>
      </c>
      <c r="Q39" s="1898" t="str">
        <f t="shared" si="7"/>
        <v xml:space="preserve"> Q1 3</v>
      </c>
      <c r="R39" s="1899" t="str">
        <f t="shared" si="8"/>
        <v>グレア対策</v>
      </c>
      <c r="S39" s="1900">
        <f t="shared" si="9"/>
        <v>0.3</v>
      </c>
      <c r="T39" s="1900">
        <f t="shared" si="10"/>
        <v>0.3</v>
      </c>
      <c r="U39" s="1900">
        <f t="shared" si="11"/>
        <v>0</v>
      </c>
      <c r="V39" s="1900">
        <f t="shared" si="12"/>
        <v>0</v>
      </c>
      <c r="W39" s="1900">
        <f t="shared" si="13"/>
        <v>0.3</v>
      </c>
      <c r="X39" s="1900">
        <f t="shared" si="14"/>
        <v>0.3</v>
      </c>
      <c r="Y39" s="1900">
        <f t="shared" si="15"/>
        <v>0.3</v>
      </c>
      <c r="Z39" s="1914">
        <f t="shared" si="16"/>
        <v>0</v>
      </c>
      <c r="AA39" s="1900">
        <f t="shared" si="21"/>
        <v>0.3</v>
      </c>
      <c r="AB39" s="1900">
        <f t="shared" si="17"/>
        <v>0.3</v>
      </c>
      <c r="AC39" s="1901">
        <f t="shared" si="18"/>
        <v>0.3</v>
      </c>
      <c r="AD39" s="1900">
        <f t="shared" si="19"/>
        <v>0.3</v>
      </c>
      <c r="AE39" s="1900">
        <f t="shared" si="20"/>
        <v>0.3</v>
      </c>
      <c r="AG39" s="1898">
        <v>3.2</v>
      </c>
      <c r="AH39" s="1902" t="s">
        <v>2546</v>
      </c>
      <c r="AI39" s="1899" t="s">
        <v>1829</v>
      </c>
      <c r="AJ39" s="1900">
        <v>0.3</v>
      </c>
      <c r="AK39" s="1900">
        <v>0.3</v>
      </c>
      <c r="AL39" s="1900"/>
      <c r="AM39" s="1900"/>
      <c r="AN39" s="1900">
        <v>0.3</v>
      </c>
      <c r="AO39" s="1900">
        <v>0.3</v>
      </c>
      <c r="AP39" s="1900">
        <v>0.3</v>
      </c>
      <c r="AQ39" s="1914"/>
      <c r="AR39" s="1900">
        <v>0.3</v>
      </c>
      <c r="AS39" s="1904">
        <v>0.3</v>
      </c>
      <c r="AT39" s="1905">
        <v>0.3</v>
      </c>
      <c r="AU39" s="1904">
        <v>0.3</v>
      </c>
      <c r="AV39" s="1904">
        <v>0.3</v>
      </c>
      <c r="AX39" s="1898">
        <v>3.2</v>
      </c>
      <c r="AY39" s="1902" t="s">
        <v>2546</v>
      </c>
      <c r="AZ39" s="1899" t="s">
        <v>1829</v>
      </c>
      <c r="BA39" s="1904">
        <v>0.3</v>
      </c>
      <c r="BB39" s="1904">
        <v>0.3</v>
      </c>
      <c r="BC39" s="1904"/>
      <c r="BD39" s="1904"/>
      <c r="BE39" s="1904">
        <v>0.3</v>
      </c>
      <c r="BF39" s="1904">
        <v>0.3</v>
      </c>
      <c r="BG39" s="1904">
        <v>0.3</v>
      </c>
      <c r="BH39" s="1906"/>
      <c r="BI39" s="1904">
        <v>0.3</v>
      </c>
      <c r="BJ39" s="1904">
        <v>0.3</v>
      </c>
      <c r="BK39" s="1905">
        <v>0.3</v>
      </c>
      <c r="BL39" s="1904">
        <v>0.3</v>
      </c>
      <c r="BM39" s="1904">
        <v>0.3</v>
      </c>
      <c r="BO39" s="1898">
        <v>3.2</v>
      </c>
      <c r="BP39" s="1902" t="s">
        <v>2546</v>
      </c>
      <c r="BQ39" s="1899" t="s">
        <v>1829</v>
      </c>
      <c r="BR39" s="1904">
        <v>0.3</v>
      </c>
      <c r="BS39" s="1904">
        <v>0.3</v>
      </c>
      <c r="BT39" s="1904"/>
      <c r="BU39" s="1904"/>
      <c r="BV39" s="1904">
        <v>0.3</v>
      </c>
      <c r="BW39" s="1904">
        <v>0.3</v>
      </c>
      <c r="BX39" s="1904">
        <v>0.3</v>
      </c>
      <c r="BY39" s="1906"/>
      <c r="BZ39" s="1904">
        <v>0.3</v>
      </c>
      <c r="CA39" s="1904">
        <v>0.3</v>
      </c>
      <c r="CB39" s="1905">
        <v>0.3</v>
      </c>
      <c r="CC39" s="1904">
        <v>0.3</v>
      </c>
      <c r="CD39" s="1904">
        <v>0.3</v>
      </c>
      <c r="CE39" s="2278"/>
    </row>
    <row r="40" spans="1:84" hidden="1">
      <c r="B40" s="1872" t="str">
        <f t="shared" si="0"/>
        <v>3.2.1</v>
      </c>
      <c r="C40" s="1895" t="str">
        <f t="shared" si="1"/>
        <v>照明器具のグレア</v>
      </c>
      <c r="D40" s="1885">
        <f t="shared" ref="D40:E42" si="25">IF(I$39&gt;0,G40/I$39,0)</f>
        <v>0</v>
      </c>
      <c r="E40" s="1897">
        <f t="shared" si="25"/>
        <v>0</v>
      </c>
      <c r="G40" s="1897">
        <f t="shared" si="2"/>
        <v>0</v>
      </c>
      <c r="H40" s="1897">
        <f t="shared" si="3"/>
        <v>0</v>
      </c>
      <c r="I40" s="1897"/>
      <c r="J40" s="1897"/>
      <c r="K40" s="1897">
        <f>IF(スコア!M40=0,0,1)</f>
        <v>0</v>
      </c>
      <c r="L40" s="1897">
        <f>IF(スコア!O40=0,0,1)</f>
        <v>0</v>
      </c>
      <c r="M40" s="1897">
        <f t="shared" si="4"/>
        <v>0.28965517241379313</v>
      </c>
      <c r="N40" s="1897">
        <f t="shared" si="5"/>
        <v>6.8965517241379323E-2</v>
      </c>
      <c r="P40" s="1898" t="str">
        <f t="shared" si="6"/>
        <v>3.2.1</v>
      </c>
      <c r="Q40" s="1898" t="str">
        <f t="shared" si="7"/>
        <v xml:space="preserve"> Q1 3.2</v>
      </c>
      <c r="R40" s="1899" t="str">
        <f t="shared" si="8"/>
        <v>照明器具のグレア</v>
      </c>
      <c r="S40" s="1900">
        <f t="shared" si="9"/>
        <v>0.4</v>
      </c>
      <c r="T40" s="1900">
        <f t="shared" si="10"/>
        <v>0.4</v>
      </c>
      <c r="U40" s="1900">
        <f t="shared" si="11"/>
        <v>0</v>
      </c>
      <c r="V40" s="1900">
        <f t="shared" si="12"/>
        <v>0</v>
      </c>
      <c r="W40" s="1900">
        <f t="shared" si="13"/>
        <v>0.4</v>
      </c>
      <c r="X40" s="1900">
        <f t="shared" si="14"/>
        <v>0.4</v>
      </c>
      <c r="Y40" s="1900">
        <f t="shared" si="15"/>
        <v>0.4</v>
      </c>
      <c r="Z40" s="1914">
        <f t="shared" si="16"/>
        <v>0</v>
      </c>
      <c r="AA40" s="1900">
        <f t="shared" si="21"/>
        <v>0.4</v>
      </c>
      <c r="AB40" s="1900">
        <f t="shared" si="17"/>
        <v>0.3</v>
      </c>
      <c r="AC40" s="1901">
        <f t="shared" si="18"/>
        <v>0.4</v>
      </c>
      <c r="AD40" s="1900">
        <f t="shared" si="19"/>
        <v>0.4</v>
      </c>
      <c r="AE40" s="1900">
        <f t="shared" si="20"/>
        <v>0.4</v>
      </c>
      <c r="AG40" s="1898" t="s">
        <v>1137</v>
      </c>
      <c r="AH40" s="1902" t="s">
        <v>2551</v>
      </c>
      <c r="AI40" s="1899" t="s">
        <v>2552</v>
      </c>
      <c r="AJ40" s="1909">
        <v>0.4</v>
      </c>
      <c r="AK40" s="1909">
        <v>0.4</v>
      </c>
      <c r="AL40" s="1909"/>
      <c r="AM40" s="1909"/>
      <c r="AN40" s="1909">
        <v>0.4</v>
      </c>
      <c r="AO40" s="1909">
        <v>0.4</v>
      </c>
      <c r="AP40" s="1909">
        <v>0.4</v>
      </c>
      <c r="AQ40" s="1916"/>
      <c r="AR40" s="1909">
        <v>0.4</v>
      </c>
      <c r="AS40" s="1918">
        <v>0.3</v>
      </c>
      <c r="AT40" s="1905">
        <v>0.4</v>
      </c>
      <c r="AU40" s="1904">
        <v>0.4</v>
      </c>
      <c r="AV40" s="1904">
        <v>0.4</v>
      </c>
      <c r="AX40" s="1898" t="s">
        <v>1137</v>
      </c>
      <c r="AY40" s="1902" t="s">
        <v>2551</v>
      </c>
      <c r="AZ40" s="1899" t="s">
        <v>2552</v>
      </c>
      <c r="BA40" s="1904"/>
      <c r="BB40" s="1904"/>
      <c r="BC40" s="1904"/>
      <c r="BD40" s="1904"/>
      <c r="BE40" s="1904"/>
      <c r="BF40" s="1904"/>
      <c r="BG40" s="1904"/>
      <c r="BH40" s="1906"/>
      <c r="BI40" s="1904"/>
      <c r="BJ40" s="1904"/>
      <c r="BK40" s="1905"/>
      <c r="BL40" s="1904"/>
      <c r="BM40" s="1904"/>
      <c r="BO40" s="1898" t="s">
        <v>1137</v>
      </c>
      <c r="BP40" s="1902" t="s">
        <v>2551</v>
      </c>
      <c r="BQ40" s="1899" t="s">
        <v>2552</v>
      </c>
      <c r="BR40" s="1904">
        <v>0.4</v>
      </c>
      <c r="BS40" s="1904">
        <v>0.4</v>
      </c>
      <c r="BT40" s="1904"/>
      <c r="BU40" s="1904"/>
      <c r="BV40" s="1904">
        <v>0.4</v>
      </c>
      <c r="BW40" s="1904">
        <v>0.4</v>
      </c>
      <c r="BX40" s="1904">
        <v>0.4</v>
      </c>
      <c r="BY40" s="1906"/>
      <c r="BZ40" s="1904">
        <v>0.4</v>
      </c>
      <c r="CA40" s="1904">
        <v>0.4</v>
      </c>
      <c r="CB40" s="1905">
        <v>0.4</v>
      </c>
      <c r="CC40" s="1904">
        <v>0.4</v>
      </c>
      <c r="CD40" s="1904">
        <v>0.4</v>
      </c>
      <c r="CE40" s="2278"/>
    </row>
    <row r="41" spans="1:84">
      <c r="B41" s="1872" t="str">
        <f t="shared" si="0"/>
        <v>3.2.2</v>
      </c>
      <c r="C41" s="1895" t="str">
        <f t="shared" ref="C41:C72" si="26">R41</f>
        <v>昼光制御</v>
      </c>
      <c r="D41" s="1885">
        <f t="shared" si="25"/>
        <v>0.83561643835616439</v>
      </c>
      <c r="E41" s="1897">
        <f t="shared" si="25"/>
        <v>1</v>
      </c>
      <c r="G41" s="1897">
        <f t="shared" ref="G41:G72" si="27">K41*M41</f>
        <v>0.4206896551724138</v>
      </c>
      <c r="H41" s="1897">
        <f t="shared" ref="H41:H72" si="28">L41*N41</f>
        <v>0.10344827586206896</v>
      </c>
      <c r="I41" s="1897"/>
      <c r="J41" s="1897"/>
      <c r="K41" s="1897">
        <f>IF(スコア!M41=0,0,1)</f>
        <v>1</v>
      </c>
      <c r="L41" s="1897">
        <f>IF(スコア!O41=0,0,1)</f>
        <v>1</v>
      </c>
      <c r="M41" s="1897">
        <f t="shared" ref="M41:M72" si="29">SUMPRODUCT($S$7:$AB$7,S41:AB41)</f>
        <v>0.4206896551724138</v>
      </c>
      <c r="N41" s="1897">
        <f t="shared" ref="N41:N72" si="30">(AC$7*AC41)+(AD$7*AD41)+(AE$7*AE41)</f>
        <v>0.10344827586206896</v>
      </c>
      <c r="P41" s="1898" t="str">
        <f t="shared" ref="P41:P72" si="31">IF($P$3=1,AX41,IF($P$3=2,BO41,AG41))</f>
        <v>3.2.2</v>
      </c>
      <c r="Q41" s="1898" t="str">
        <f t="shared" ref="Q41:Q72" si="32">IF($P$3=1,AY41,IF($P$3=2,BP41,AH41))</f>
        <v xml:space="preserve"> Q1 3.2</v>
      </c>
      <c r="R41" s="1899" t="str">
        <f t="shared" ref="R41:R72" si="33">IF($P$3=1,AZ41,IF($P$3=2,BQ41,AI41))</f>
        <v>昼光制御</v>
      </c>
      <c r="S41" s="1900">
        <f t="shared" ref="S41:S72" si="34">IF($P$3=1,BA41,IF($P$3=2,BR41,AJ41))</f>
        <v>0.6</v>
      </c>
      <c r="T41" s="1900">
        <f t="shared" ref="T41:T72" si="35">IF($P$3=1,BB41,IF($P$3=2,BS41,AK41))</f>
        <v>0.6</v>
      </c>
      <c r="U41" s="1900">
        <f t="shared" ref="U41:U72" si="36">IF($P$3=1,BC41,IF($P$3=2,BT41,AL41))</f>
        <v>0</v>
      </c>
      <c r="V41" s="1900">
        <f t="shared" ref="V41:V72" si="37">IF($P$3=1,BD41,IF($P$3=2,BU41,AM41))</f>
        <v>0</v>
      </c>
      <c r="W41" s="1900">
        <f t="shared" ref="W41:W72" si="38">IF($P$3=1,BE41,IF($P$3=2,BV41,AN41))</f>
        <v>0.6</v>
      </c>
      <c r="X41" s="1900">
        <f t="shared" ref="X41:X72" si="39">IF($P$3=1,BF41,IF($P$3=2,BW41,AO41))</f>
        <v>0.6</v>
      </c>
      <c r="Y41" s="1900">
        <f t="shared" ref="Y41:Y72" si="40">IF($P$3=1,BG41,IF($P$3=2,BX41,AP41))</f>
        <v>0.6</v>
      </c>
      <c r="Z41" s="1914">
        <f t="shared" ref="Z41:Z72" si="41">IF($P$3=1,BH41,IF($P$3=2,BY41,AQ41))</f>
        <v>0</v>
      </c>
      <c r="AA41" s="1900">
        <f t="shared" ref="AA41:AA72" si="42">IF($P$3=1,BI41,IF($P$3=2,BZ41,AR41))</f>
        <v>0.6</v>
      </c>
      <c r="AB41" s="1900">
        <f t="shared" ref="AB41:AB72" si="43">IF($P$3=1,BJ41,IF($P$3=2,CA41,AS41))</f>
        <v>0.4</v>
      </c>
      <c r="AC41" s="1901">
        <f t="shared" ref="AC41:AC72" si="44">IF($P$3=1,BK41,IF($P$3=2,CB41,AT41))</f>
        <v>0.6</v>
      </c>
      <c r="AD41" s="1900">
        <f t="shared" ref="AD41:AD72" si="45">IF($P$3=1,BL41,IF($P$3=2,CC41,AU41))</f>
        <v>0.6</v>
      </c>
      <c r="AE41" s="1900">
        <f t="shared" ref="AE41:AE72" si="46">IF($P$3=1,BM41,IF($P$3=2,CD41,AV41))</f>
        <v>0.6</v>
      </c>
      <c r="AG41" s="1898" t="s">
        <v>1138</v>
      </c>
      <c r="AH41" s="1902" t="s">
        <v>2551</v>
      </c>
      <c r="AI41" s="1899" t="s">
        <v>2553</v>
      </c>
      <c r="AJ41" s="1900">
        <v>0.6</v>
      </c>
      <c r="AK41" s="1900">
        <v>0.6</v>
      </c>
      <c r="AL41" s="1900"/>
      <c r="AM41" s="1900"/>
      <c r="AN41" s="1900">
        <v>0.6</v>
      </c>
      <c r="AO41" s="1900">
        <v>0.6</v>
      </c>
      <c r="AP41" s="1900">
        <v>0.6</v>
      </c>
      <c r="AQ41" s="1914"/>
      <c r="AR41" s="1900">
        <v>0.6</v>
      </c>
      <c r="AS41" s="1918">
        <v>0.4</v>
      </c>
      <c r="AT41" s="1905">
        <v>0.6</v>
      </c>
      <c r="AU41" s="1904">
        <v>0.6</v>
      </c>
      <c r="AV41" s="1904">
        <v>0.6</v>
      </c>
      <c r="AX41" s="1898" t="s">
        <v>1138</v>
      </c>
      <c r="AY41" s="1902" t="s">
        <v>2551</v>
      </c>
      <c r="AZ41" s="1899" t="s">
        <v>2553</v>
      </c>
      <c r="BA41" s="1904">
        <v>1</v>
      </c>
      <c r="BB41" s="1904">
        <v>1</v>
      </c>
      <c r="BC41" s="1904"/>
      <c r="BD41" s="1904"/>
      <c r="BE41" s="1904">
        <v>1</v>
      </c>
      <c r="BF41" s="1904">
        <v>1</v>
      </c>
      <c r="BG41" s="1904">
        <v>1</v>
      </c>
      <c r="BH41" s="1906"/>
      <c r="BI41" s="1904">
        <v>1</v>
      </c>
      <c r="BJ41" s="1904">
        <v>1</v>
      </c>
      <c r="BK41" s="1905">
        <v>1</v>
      </c>
      <c r="BL41" s="1904">
        <v>1</v>
      </c>
      <c r="BM41" s="1904">
        <v>1</v>
      </c>
      <c r="BO41" s="1898" t="s">
        <v>1138</v>
      </c>
      <c r="BP41" s="1902" t="s">
        <v>2551</v>
      </c>
      <c r="BQ41" s="1899" t="s">
        <v>2553</v>
      </c>
      <c r="BR41" s="1904">
        <v>0.6</v>
      </c>
      <c r="BS41" s="1904">
        <v>0.6</v>
      </c>
      <c r="BT41" s="1904"/>
      <c r="BU41" s="1904"/>
      <c r="BV41" s="1904">
        <v>0.6</v>
      </c>
      <c r="BW41" s="1904">
        <v>0.6</v>
      </c>
      <c r="BX41" s="1904">
        <v>0.6</v>
      </c>
      <c r="BY41" s="1906"/>
      <c r="BZ41" s="1904">
        <v>0.6</v>
      </c>
      <c r="CA41" s="1904">
        <v>0.6</v>
      </c>
      <c r="CB41" s="1905">
        <v>0.6</v>
      </c>
      <c r="CC41" s="1904">
        <v>0.6</v>
      </c>
      <c r="CD41" s="1904">
        <v>0.6</v>
      </c>
      <c r="CE41" s="2278"/>
    </row>
    <row r="42" spans="1:84">
      <c r="B42" s="1872" t="s">
        <v>1139</v>
      </c>
      <c r="C42" s="1895" t="str">
        <f t="shared" si="26"/>
        <v>映り込み対策</v>
      </c>
      <c r="D42" s="1885">
        <f>IF(I$39&gt;0,G42/I$39,0)</f>
        <v>0.16438356164383561</v>
      </c>
      <c r="E42" s="1897">
        <f t="shared" si="25"/>
        <v>0</v>
      </c>
      <c r="F42" s="9"/>
      <c r="G42" s="1897">
        <f t="shared" si="27"/>
        <v>8.2758620689655171E-2</v>
      </c>
      <c r="H42" s="1897">
        <f t="shared" si="28"/>
        <v>0</v>
      </c>
      <c r="I42" s="1897"/>
      <c r="J42" s="1897"/>
      <c r="K42" s="1897">
        <f>IF(スコア!M42=0,0,1)</f>
        <v>1</v>
      </c>
      <c r="L42" s="1897">
        <f>IF(スコア!O42=0,0,1)</f>
        <v>0</v>
      </c>
      <c r="M42" s="1897">
        <f t="shared" si="29"/>
        <v>8.2758620689655171E-2</v>
      </c>
      <c r="N42" s="1897">
        <f t="shared" si="30"/>
        <v>0</v>
      </c>
      <c r="O42" s="9"/>
      <c r="P42" s="1898" t="str">
        <f t="shared" si="31"/>
        <v>3.2.3</v>
      </c>
      <c r="Q42" s="1898" t="str">
        <f t="shared" si="32"/>
        <v xml:space="preserve"> Q1 3.3</v>
      </c>
      <c r="R42" s="1899" t="str">
        <f t="shared" si="33"/>
        <v>映り込み対策</v>
      </c>
      <c r="S42" s="1900">
        <f t="shared" si="34"/>
        <v>0</v>
      </c>
      <c r="T42" s="1900">
        <f t="shared" si="35"/>
        <v>0</v>
      </c>
      <c r="U42" s="1900">
        <f t="shared" si="36"/>
        <v>0</v>
      </c>
      <c r="V42" s="1900">
        <f t="shared" si="37"/>
        <v>0</v>
      </c>
      <c r="W42" s="1900">
        <f t="shared" si="38"/>
        <v>0</v>
      </c>
      <c r="X42" s="1900">
        <f t="shared" si="39"/>
        <v>0</v>
      </c>
      <c r="Y42" s="1900">
        <f t="shared" si="40"/>
        <v>0</v>
      </c>
      <c r="Z42" s="1908">
        <f t="shared" si="41"/>
        <v>0</v>
      </c>
      <c r="AA42" s="1900">
        <f t="shared" si="42"/>
        <v>0</v>
      </c>
      <c r="AB42" s="1900">
        <f t="shared" si="43"/>
        <v>0.3</v>
      </c>
      <c r="AC42" s="1901">
        <f t="shared" si="44"/>
        <v>0</v>
      </c>
      <c r="AD42" s="1900">
        <f t="shared" si="45"/>
        <v>0</v>
      </c>
      <c r="AE42" s="1900">
        <f t="shared" si="46"/>
        <v>0</v>
      </c>
      <c r="AG42" s="1898" t="s">
        <v>2554</v>
      </c>
      <c r="AH42" s="1902" t="s">
        <v>2555</v>
      </c>
      <c r="AI42" s="1899" t="s">
        <v>978</v>
      </c>
      <c r="AJ42" s="1900"/>
      <c r="AK42" s="1900"/>
      <c r="AL42" s="1900"/>
      <c r="AM42" s="1900"/>
      <c r="AN42" s="1900"/>
      <c r="AO42" s="1900"/>
      <c r="AP42" s="1900"/>
      <c r="AQ42" s="1914"/>
      <c r="AR42" s="1900"/>
      <c r="AS42" s="1918">
        <v>0.3</v>
      </c>
      <c r="AT42" s="1905"/>
      <c r="AU42" s="1904"/>
      <c r="AV42" s="1904"/>
      <c r="AX42" s="1922" t="s">
        <v>1140</v>
      </c>
      <c r="AY42" s="1926" t="s">
        <v>2555</v>
      </c>
      <c r="AZ42" s="1923" t="s">
        <v>978</v>
      </c>
      <c r="BA42" s="1927"/>
      <c r="BB42" s="1927"/>
      <c r="BC42" s="1927"/>
      <c r="BD42" s="1927"/>
      <c r="BE42" s="1927"/>
      <c r="BF42" s="1927"/>
      <c r="BG42" s="1927"/>
      <c r="BH42" s="1928"/>
      <c r="BI42" s="1927"/>
      <c r="BJ42" s="1927"/>
      <c r="BK42" s="1929"/>
      <c r="BL42" s="1927"/>
      <c r="BM42" s="1927"/>
      <c r="BO42" s="1922" t="s">
        <v>1140</v>
      </c>
      <c r="BP42" s="1926" t="s">
        <v>2555</v>
      </c>
      <c r="BQ42" s="1923" t="s">
        <v>978</v>
      </c>
      <c r="BR42" s="1930"/>
      <c r="BS42" s="1930"/>
      <c r="BT42" s="1930"/>
      <c r="BU42" s="1930"/>
      <c r="BV42" s="1930"/>
      <c r="BW42" s="1930"/>
      <c r="BX42" s="1930"/>
      <c r="BY42" s="1931"/>
      <c r="BZ42" s="1930"/>
      <c r="CA42" s="1930"/>
      <c r="CB42" s="1932"/>
      <c r="CC42" s="1930"/>
      <c r="CD42" s="1930"/>
      <c r="CE42" s="2279"/>
    </row>
    <row r="43" spans="1:84">
      <c r="B43" s="1872">
        <f t="shared" ref="B43:B74" si="47">P43</f>
        <v>3.3</v>
      </c>
      <c r="C43" s="1895" t="str">
        <f t="shared" si="26"/>
        <v>照度</v>
      </c>
      <c r="D43" s="1896">
        <f>IF(I$34=0,0,G43/I$34)</f>
        <v>0.16034482758620688</v>
      </c>
      <c r="E43" s="1897">
        <f>IF(J$34=0,0,H43/J$34)</f>
        <v>0.15</v>
      </c>
      <c r="G43" s="1897">
        <f t="shared" si="27"/>
        <v>0.16034482758620688</v>
      </c>
      <c r="H43" s="1897">
        <f t="shared" si="28"/>
        <v>2.5862068965517241E-2</v>
      </c>
      <c r="I43" s="1897">
        <f>SUM(G44:G45)</f>
        <v>0</v>
      </c>
      <c r="J43" s="1897">
        <f>SUM(H44:H45)</f>
        <v>0</v>
      </c>
      <c r="K43" s="1897">
        <f>IF(スコア!M43=0,0,1)</f>
        <v>1</v>
      </c>
      <c r="L43" s="1897">
        <f>IF(スコア!O43=0,0,1)</f>
        <v>1</v>
      </c>
      <c r="M43" s="1897">
        <f t="shared" si="29"/>
        <v>0.16034482758620688</v>
      </c>
      <c r="N43" s="1897">
        <f t="shared" si="30"/>
        <v>2.5862068965517241E-2</v>
      </c>
      <c r="P43" s="1898">
        <f t="shared" si="31"/>
        <v>3.3</v>
      </c>
      <c r="Q43" s="1898" t="str">
        <f t="shared" si="32"/>
        <v xml:space="preserve"> Q1 3</v>
      </c>
      <c r="R43" s="1899" t="str">
        <f t="shared" si="33"/>
        <v>照度</v>
      </c>
      <c r="S43" s="1900">
        <f t="shared" si="34"/>
        <v>0.15</v>
      </c>
      <c r="T43" s="1900">
        <f t="shared" si="35"/>
        <v>0.15</v>
      </c>
      <c r="U43" s="1900">
        <f t="shared" si="36"/>
        <v>0</v>
      </c>
      <c r="V43" s="1900">
        <f t="shared" si="37"/>
        <v>0</v>
      </c>
      <c r="W43" s="1900">
        <f t="shared" si="38"/>
        <v>0.15</v>
      </c>
      <c r="X43" s="1900">
        <f t="shared" si="39"/>
        <v>0.15</v>
      </c>
      <c r="Y43" s="1900">
        <f t="shared" si="40"/>
        <v>0.15</v>
      </c>
      <c r="Z43" s="1914">
        <f t="shared" si="41"/>
        <v>0.2</v>
      </c>
      <c r="AA43" s="1900">
        <f t="shared" si="42"/>
        <v>0.15</v>
      </c>
      <c r="AB43" s="1900">
        <f t="shared" si="43"/>
        <v>0.15</v>
      </c>
      <c r="AC43" s="1901">
        <f t="shared" si="44"/>
        <v>0.15</v>
      </c>
      <c r="AD43" s="1900">
        <f t="shared" si="45"/>
        <v>0.15</v>
      </c>
      <c r="AE43" s="1900">
        <f t="shared" si="46"/>
        <v>0.15</v>
      </c>
      <c r="AG43" s="1898">
        <v>3.3</v>
      </c>
      <c r="AH43" s="1902" t="s">
        <v>2546</v>
      </c>
      <c r="AI43" s="1899" t="s">
        <v>979</v>
      </c>
      <c r="AJ43" s="1900">
        <v>0.15</v>
      </c>
      <c r="AK43" s="1900">
        <v>0.15</v>
      </c>
      <c r="AL43" s="1900"/>
      <c r="AM43" s="1900"/>
      <c r="AN43" s="1900">
        <v>0.15</v>
      </c>
      <c r="AO43" s="1900">
        <v>0.15</v>
      </c>
      <c r="AP43" s="1900">
        <v>0.15</v>
      </c>
      <c r="AQ43" s="2548">
        <v>0.2</v>
      </c>
      <c r="AR43" s="1900">
        <v>0.15</v>
      </c>
      <c r="AS43" s="1904">
        <v>0.15</v>
      </c>
      <c r="AT43" s="1905">
        <v>0.15</v>
      </c>
      <c r="AU43" s="1904">
        <v>0.15</v>
      </c>
      <c r="AV43" s="1904">
        <v>0.15</v>
      </c>
      <c r="AX43" s="1898">
        <v>3.3</v>
      </c>
      <c r="AY43" s="1902" t="s">
        <v>2546</v>
      </c>
      <c r="AZ43" s="1899" t="s">
        <v>979</v>
      </c>
      <c r="BA43" s="1904">
        <v>0.15</v>
      </c>
      <c r="BB43" s="1904">
        <v>0.15</v>
      </c>
      <c r="BC43" s="1904"/>
      <c r="BD43" s="1904"/>
      <c r="BE43" s="1904">
        <v>0.15</v>
      </c>
      <c r="BF43" s="1904">
        <v>0.15</v>
      </c>
      <c r="BG43" s="1904">
        <v>0.15</v>
      </c>
      <c r="BH43" s="1906"/>
      <c r="BI43" s="1904">
        <v>0.15</v>
      </c>
      <c r="BJ43" s="1904">
        <v>0.15</v>
      </c>
      <c r="BK43" s="1905">
        <v>0.15</v>
      </c>
      <c r="BL43" s="1904">
        <v>0.15</v>
      </c>
      <c r="BM43" s="1904">
        <v>0.15</v>
      </c>
      <c r="BO43" s="1898">
        <v>3.3</v>
      </c>
      <c r="BP43" s="1902" t="s">
        <v>2546</v>
      </c>
      <c r="BQ43" s="1899" t="s">
        <v>979</v>
      </c>
      <c r="BR43" s="1904">
        <v>0.15</v>
      </c>
      <c r="BS43" s="1904">
        <v>0.15</v>
      </c>
      <c r="BT43" s="1904"/>
      <c r="BU43" s="1904"/>
      <c r="BV43" s="1904">
        <v>0.15</v>
      </c>
      <c r="BW43" s="1904">
        <v>0.15</v>
      </c>
      <c r="BX43" s="1904">
        <v>0.15</v>
      </c>
      <c r="BY43" s="1906"/>
      <c r="BZ43" s="1904">
        <v>0.15</v>
      </c>
      <c r="CA43" s="1904">
        <v>0.15</v>
      </c>
      <c r="CB43" s="1905">
        <v>0.15</v>
      </c>
      <c r="CC43" s="1904">
        <v>0.15</v>
      </c>
      <c r="CD43" s="1904">
        <v>0.15</v>
      </c>
      <c r="CE43" s="2278"/>
    </row>
    <row r="44" spans="1:84" hidden="1">
      <c r="B44" s="1872" t="str">
        <f t="shared" si="47"/>
        <v>3.3.1</v>
      </c>
      <c r="C44" s="1919" t="str">
        <f t="shared" si="26"/>
        <v>照度</v>
      </c>
      <c r="D44" s="1920">
        <f>IF(I$43&gt;0,G44/I$43,0)</f>
        <v>0</v>
      </c>
      <c r="E44" s="1921">
        <f>IF(J$43&gt;0,H44/J$43,0)</f>
        <v>0</v>
      </c>
      <c r="G44" s="1921">
        <f t="shared" si="27"/>
        <v>0</v>
      </c>
      <c r="H44" s="1921">
        <f t="shared" si="28"/>
        <v>0</v>
      </c>
      <c r="I44" s="1921"/>
      <c r="J44" s="1921"/>
      <c r="K44" s="1921">
        <f>IF(スコア!M44=0,0,1)</f>
        <v>0</v>
      </c>
      <c r="L44" s="1921">
        <f>IF(スコア!O44=0,0,1)</f>
        <v>0</v>
      </c>
      <c r="M44" s="1921">
        <f t="shared" si="29"/>
        <v>0</v>
      </c>
      <c r="N44" s="1921">
        <f t="shared" si="30"/>
        <v>0</v>
      </c>
      <c r="P44" s="1922" t="str">
        <f t="shared" si="31"/>
        <v>3.3.1</v>
      </c>
      <c r="Q44" s="1922" t="str">
        <f t="shared" si="32"/>
        <v xml:space="preserve"> Q1 3.3</v>
      </c>
      <c r="R44" s="1923" t="str">
        <f t="shared" si="33"/>
        <v>照度</v>
      </c>
      <c r="S44" s="1909">
        <f t="shared" si="34"/>
        <v>0</v>
      </c>
      <c r="T44" s="1909">
        <f t="shared" si="35"/>
        <v>0</v>
      </c>
      <c r="U44" s="1909">
        <f t="shared" si="36"/>
        <v>0</v>
      </c>
      <c r="V44" s="1909">
        <f t="shared" si="37"/>
        <v>0</v>
      </c>
      <c r="W44" s="1909">
        <f t="shared" si="38"/>
        <v>0</v>
      </c>
      <c r="X44" s="1909">
        <f t="shared" si="39"/>
        <v>0</v>
      </c>
      <c r="Y44" s="1909">
        <f t="shared" si="40"/>
        <v>0</v>
      </c>
      <c r="Z44" s="1924">
        <f t="shared" si="41"/>
        <v>0</v>
      </c>
      <c r="AA44" s="1909">
        <f t="shared" si="42"/>
        <v>0</v>
      </c>
      <c r="AB44" s="1909">
        <f t="shared" si="43"/>
        <v>0</v>
      </c>
      <c r="AC44" s="1925">
        <f t="shared" si="44"/>
        <v>0</v>
      </c>
      <c r="AD44" s="1909">
        <f t="shared" si="45"/>
        <v>0</v>
      </c>
      <c r="AE44" s="1909">
        <f t="shared" si="46"/>
        <v>0</v>
      </c>
      <c r="AG44" s="1922" t="s">
        <v>2099</v>
      </c>
      <c r="AH44" s="1926" t="s">
        <v>2555</v>
      </c>
      <c r="AI44" s="1923" t="s">
        <v>2100</v>
      </c>
      <c r="AJ44" s="1900"/>
      <c r="AK44" s="1900"/>
      <c r="AL44" s="1900"/>
      <c r="AM44" s="1900"/>
      <c r="AN44" s="1900"/>
      <c r="AO44" s="1900"/>
      <c r="AP44" s="1900"/>
      <c r="AQ44" s="2548"/>
      <c r="AR44" s="1900"/>
      <c r="AS44" s="1927"/>
      <c r="AT44" s="1929"/>
      <c r="AU44" s="1927"/>
      <c r="AV44" s="1927"/>
      <c r="AX44" s="1922" t="s">
        <v>2099</v>
      </c>
      <c r="AY44" s="1926" t="s">
        <v>2555</v>
      </c>
      <c r="AZ44" s="1923" t="s">
        <v>2100</v>
      </c>
      <c r="BA44" s="1927"/>
      <c r="BB44" s="1927"/>
      <c r="BC44" s="1927"/>
      <c r="BD44" s="1927"/>
      <c r="BE44" s="1927"/>
      <c r="BF44" s="1927"/>
      <c r="BG44" s="1927"/>
      <c r="BH44" s="1928"/>
      <c r="BI44" s="1927"/>
      <c r="BJ44" s="1927"/>
      <c r="BK44" s="1929"/>
      <c r="BL44" s="1927"/>
      <c r="BM44" s="1927"/>
      <c r="BO44" s="1922" t="s">
        <v>2099</v>
      </c>
      <c r="BP44" s="1926" t="s">
        <v>2555</v>
      </c>
      <c r="BQ44" s="1923" t="s">
        <v>2100</v>
      </c>
      <c r="BR44" s="1930"/>
      <c r="BS44" s="1930"/>
      <c r="BT44" s="1930"/>
      <c r="BU44" s="1930"/>
      <c r="BV44" s="1930"/>
      <c r="BW44" s="1930"/>
      <c r="BX44" s="1930"/>
      <c r="BY44" s="1931"/>
      <c r="BZ44" s="1930"/>
      <c r="CA44" s="1930"/>
      <c r="CB44" s="1932"/>
      <c r="CC44" s="1930"/>
      <c r="CD44" s="1930"/>
      <c r="CE44" s="2279"/>
    </row>
    <row r="45" spans="1:84" hidden="1">
      <c r="B45" s="1872" t="str">
        <f t="shared" si="47"/>
        <v>3.3.2</v>
      </c>
      <c r="C45" s="1919" t="str">
        <f t="shared" si="26"/>
        <v>照度均斉度</v>
      </c>
      <c r="D45" s="1920">
        <f>IF(I$43&gt;0,G45/I$43,0)</f>
        <v>0</v>
      </c>
      <c r="E45" s="1921">
        <f>IF(J$43&gt;0,H45/J$43,0)</f>
        <v>0</v>
      </c>
      <c r="G45" s="1921">
        <f t="shared" si="27"/>
        <v>0</v>
      </c>
      <c r="H45" s="1921">
        <f t="shared" si="28"/>
        <v>0</v>
      </c>
      <c r="I45" s="1921"/>
      <c r="J45" s="1921"/>
      <c r="K45" s="1921">
        <f>IF(スコア!M45=0,0,1)</f>
        <v>0</v>
      </c>
      <c r="L45" s="1921">
        <f>IF(スコア!O45=0,0,1)</f>
        <v>0</v>
      </c>
      <c r="M45" s="1921">
        <f t="shared" si="29"/>
        <v>0</v>
      </c>
      <c r="N45" s="1921">
        <f t="shared" si="30"/>
        <v>0</v>
      </c>
      <c r="P45" s="1922" t="str">
        <f t="shared" si="31"/>
        <v>3.3.2</v>
      </c>
      <c r="Q45" s="1922" t="str">
        <f t="shared" si="32"/>
        <v xml:space="preserve"> Q1 3.3</v>
      </c>
      <c r="R45" s="1923" t="str">
        <f t="shared" si="33"/>
        <v>照度均斉度</v>
      </c>
      <c r="S45" s="1909">
        <f t="shared" si="34"/>
        <v>0</v>
      </c>
      <c r="T45" s="1909">
        <f t="shared" si="35"/>
        <v>0</v>
      </c>
      <c r="U45" s="1909">
        <f t="shared" si="36"/>
        <v>0</v>
      </c>
      <c r="V45" s="1909">
        <f t="shared" si="37"/>
        <v>0</v>
      </c>
      <c r="W45" s="1909">
        <f t="shared" si="38"/>
        <v>0</v>
      </c>
      <c r="X45" s="1909">
        <f t="shared" si="39"/>
        <v>0</v>
      </c>
      <c r="Y45" s="1909">
        <f t="shared" si="40"/>
        <v>0</v>
      </c>
      <c r="Z45" s="1924">
        <f t="shared" si="41"/>
        <v>0</v>
      </c>
      <c r="AA45" s="1909">
        <f t="shared" si="42"/>
        <v>0</v>
      </c>
      <c r="AB45" s="1909">
        <f t="shared" si="43"/>
        <v>0</v>
      </c>
      <c r="AC45" s="1925">
        <f t="shared" si="44"/>
        <v>0</v>
      </c>
      <c r="AD45" s="1909">
        <f t="shared" si="45"/>
        <v>0</v>
      </c>
      <c r="AE45" s="1909">
        <f t="shared" si="46"/>
        <v>0</v>
      </c>
      <c r="AG45" s="1922" t="s">
        <v>2101</v>
      </c>
      <c r="AH45" s="1926" t="s">
        <v>2555</v>
      </c>
      <c r="AI45" s="1923" t="s">
        <v>2708</v>
      </c>
      <c r="AJ45" s="1909"/>
      <c r="AK45" s="1909"/>
      <c r="AL45" s="1909"/>
      <c r="AM45" s="1909"/>
      <c r="AN45" s="1909"/>
      <c r="AO45" s="1909"/>
      <c r="AP45" s="1909"/>
      <c r="AQ45" s="2549"/>
      <c r="AR45" s="1909"/>
      <c r="AS45" s="1927"/>
      <c r="AT45" s="1929"/>
      <c r="AU45" s="1927"/>
      <c r="AV45" s="1927"/>
      <c r="AX45" s="1922" t="s">
        <v>2101</v>
      </c>
      <c r="AY45" s="1926" t="s">
        <v>2555</v>
      </c>
      <c r="AZ45" s="1923" t="s">
        <v>2708</v>
      </c>
      <c r="BA45" s="1927"/>
      <c r="BB45" s="1927"/>
      <c r="BC45" s="1927"/>
      <c r="BD45" s="1927"/>
      <c r="BE45" s="1927"/>
      <c r="BF45" s="1927"/>
      <c r="BG45" s="1927"/>
      <c r="BH45" s="1928"/>
      <c r="BI45" s="1927"/>
      <c r="BJ45" s="1927"/>
      <c r="BK45" s="1929"/>
      <c r="BL45" s="1927"/>
      <c r="BM45" s="1927"/>
      <c r="BO45" s="1922" t="s">
        <v>2101</v>
      </c>
      <c r="BP45" s="1926" t="s">
        <v>2555</v>
      </c>
      <c r="BQ45" s="1923" t="s">
        <v>2708</v>
      </c>
      <c r="BR45" s="1930"/>
      <c r="BS45" s="1930"/>
      <c r="BT45" s="1930"/>
      <c r="BU45" s="1930"/>
      <c r="BV45" s="1930"/>
      <c r="BW45" s="1930"/>
      <c r="BX45" s="1930"/>
      <c r="BY45" s="1931"/>
      <c r="BZ45" s="1930"/>
      <c r="CA45" s="1930"/>
      <c r="CB45" s="1932"/>
      <c r="CC45" s="1930"/>
      <c r="CD45" s="1930"/>
      <c r="CE45" s="2279"/>
    </row>
    <row r="46" spans="1:84">
      <c r="B46" s="1872">
        <f t="shared" si="47"/>
        <v>3.4</v>
      </c>
      <c r="C46" s="1895" t="str">
        <f t="shared" si="26"/>
        <v>照明制御</v>
      </c>
      <c r="D46" s="1896">
        <f>IF(I$34=0,0,G46/I$34)</f>
        <v>0.30172413793103448</v>
      </c>
      <c r="E46" s="1897">
        <f>IF(J$34=0,0,H46/J$34)</f>
        <v>0.25</v>
      </c>
      <c r="G46" s="1897">
        <f t="shared" si="27"/>
        <v>0.30172413793103448</v>
      </c>
      <c r="H46" s="1897">
        <f t="shared" si="28"/>
        <v>4.3103448275862072E-2</v>
      </c>
      <c r="I46" s="1897"/>
      <c r="J46" s="1897"/>
      <c r="K46" s="1897">
        <f>IF(スコア!M46=0,0,1)</f>
        <v>1</v>
      </c>
      <c r="L46" s="1897">
        <f>IF(スコア!O46=0,0,1)</f>
        <v>1</v>
      </c>
      <c r="M46" s="1897">
        <f t="shared" si="29"/>
        <v>0.30172413793103448</v>
      </c>
      <c r="N46" s="1897">
        <f t="shared" si="30"/>
        <v>4.3103448275862072E-2</v>
      </c>
      <c r="P46" s="1898">
        <f t="shared" si="31"/>
        <v>3.4</v>
      </c>
      <c r="Q46" s="1898" t="str">
        <f t="shared" si="32"/>
        <v xml:space="preserve"> Q1 3</v>
      </c>
      <c r="R46" s="1899" t="str">
        <f t="shared" si="33"/>
        <v>照明制御</v>
      </c>
      <c r="S46" s="1900">
        <f t="shared" si="34"/>
        <v>0.25</v>
      </c>
      <c r="T46" s="1900">
        <f t="shared" si="35"/>
        <v>0.25</v>
      </c>
      <c r="U46" s="1900">
        <f t="shared" si="36"/>
        <v>0.5</v>
      </c>
      <c r="V46" s="1900">
        <f t="shared" si="37"/>
        <v>0</v>
      </c>
      <c r="W46" s="1900">
        <f t="shared" si="38"/>
        <v>0.25</v>
      </c>
      <c r="X46" s="1900">
        <f t="shared" si="39"/>
        <v>0.25</v>
      </c>
      <c r="Y46" s="1900">
        <f t="shared" si="40"/>
        <v>0.25</v>
      </c>
      <c r="Z46" s="1914">
        <f t="shared" si="41"/>
        <v>0.5</v>
      </c>
      <c r="AA46" s="1900">
        <f t="shared" si="42"/>
        <v>0.25</v>
      </c>
      <c r="AB46" s="1900">
        <f t="shared" si="43"/>
        <v>0.25</v>
      </c>
      <c r="AC46" s="1901">
        <f t="shared" si="44"/>
        <v>0.25</v>
      </c>
      <c r="AD46" s="1900">
        <f t="shared" si="45"/>
        <v>0.25</v>
      </c>
      <c r="AE46" s="1900">
        <f t="shared" si="46"/>
        <v>0.25</v>
      </c>
      <c r="AG46" s="1898">
        <v>3.4</v>
      </c>
      <c r="AH46" s="1902" t="s">
        <v>2546</v>
      </c>
      <c r="AI46" s="1899" t="s">
        <v>982</v>
      </c>
      <c r="AJ46" s="1900">
        <v>0.25</v>
      </c>
      <c r="AK46" s="1900">
        <v>0.25</v>
      </c>
      <c r="AL46" s="1900">
        <v>0.5</v>
      </c>
      <c r="AM46" s="1900"/>
      <c r="AN46" s="1900">
        <v>0.25</v>
      </c>
      <c r="AO46" s="1900">
        <v>0.25</v>
      </c>
      <c r="AP46" s="1900">
        <v>0.25</v>
      </c>
      <c r="AQ46" s="2548">
        <v>0.5</v>
      </c>
      <c r="AR46" s="1900">
        <v>0.25</v>
      </c>
      <c r="AS46" s="1904">
        <v>0.25</v>
      </c>
      <c r="AT46" s="1905">
        <v>0.25</v>
      </c>
      <c r="AU46" s="1904">
        <v>0.25</v>
      </c>
      <c r="AV46" s="1904">
        <v>0.25</v>
      </c>
      <c r="AX46" s="1898">
        <v>3.4</v>
      </c>
      <c r="AY46" s="1902" t="s">
        <v>2546</v>
      </c>
      <c r="AZ46" s="1899" t="s">
        <v>982</v>
      </c>
      <c r="BA46" s="1904">
        <v>0.25</v>
      </c>
      <c r="BB46" s="1904">
        <v>0.25</v>
      </c>
      <c r="BC46" s="1904">
        <v>0.5</v>
      </c>
      <c r="BD46" s="1904">
        <v>0</v>
      </c>
      <c r="BE46" s="1904">
        <v>0.25</v>
      </c>
      <c r="BF46" s="1904">
        <v>0.25</v>
      </c>
      <c r="BG46" s="1904">
        <v>0.25</v>
      </c>
      <c r="BH46" s="1906"/>
      <c r="BI46" s="1904">
        <v>0.25</v>
      </c>
      <c r="BJ46" s="1904">
        <v>0.25</v>
      </c>
      <c r="BK46" s="1905">
        <v>0.25</v>
      </c>
      <c r="BL46" s="1904">
        <v>0.25</v>
      </c>
      <c r="BM46" s="1904">
        <v>0.25</v>
      </c>
      <c r="BO46" s="1898">
        <v>3.4</v>
      </c>
      <c r="BP46" s="1902" t="s">
        <v>2546</v>
      </c>
      <c r="BQ46" s="1899" t="s">
        <v>982</v>
      </c>
      <c r="BR46" s="1904">
        <v>0.25</v>
      </c>
      <c r="BS46" s="1904">
        <v>0.25</v>
      </c>
      <c r="BT46" s="1904">
        <v>0.5</v>
      </c>
      <c r="BU46" s="1904"/>
      <c r="BV46" s="1904">
        <v>0.25</v>
      </c>
      <c r="BW46" s="1904">
        <v>0.25</v>
      </c>
      <c r="BX46" s="1904">
        <v>0.25</v>
      </c>
      <c r="BY46" s="1906"/>
      <c r="BZ46" s="1904">
        <v>0.25</v>
      </c>
      <c r="CA46" s="1904">
        <v>0.25</v>
      </c>
      <c r="CB46" s="1905">
        <v>0.25</v>
      </c>
      <c r="CC46" s="1904">
        <v>0.25</v>
      </c>
      <c r="CD46" s="1904">
        <v>0.25</v>
      </c>
      <c r="CE46" s="2278"/>
    </row>
    <row r="47" spans="1:84" s="1355" customFormat="1">
      <c r="A47"/>
      <c r="B47" s="1872">
        <f t="shared" si="47"/>
        <v>4</v>
      </c>
      <c r="C47" s="1882" t="str">
        <f t="shared" si="26"/>
        <v>空気質環境</v>
      </c>
      <c r="D47" s="1883">
        <f>IF(I$9=0,0,G47/I$9)</f>
        <v>0.25</v>
      </c>
      <c r="E47" s="1884">
        <f>IF(J$9=0,0,H47/J$9)</f>
        <v>0</v>
      </c>
      <c r="F47"/>
      <c r="G47" s="1884">
        <f t="shared" si="27"/>
        <v>0.25</v>
      </c>
      <c r="H47" s="1884">
        <f t="shared" si="28"/>
        <v>0</v>
      </c>
      <c r="I47" s="1884">
        <f>G48+G53+G58</f>
        <v>0.99999999999999989</v>
      </c>
      <c r="J47" s="1884">
        <f>H48+H53+H58</f>
        <v>0.17241379310344829</v>
      </c>
      <c r="K47" s="1884">
        <f>IF(L47&gt;0,1,IF(スコア!M47=0,0,1))</f>
        <v>1</v>
      </c>
      <c r="L47" s="1884">
        <f>IF(スコア!O47=0,0,1)</f>
        <v>1</v>
      </c>
      <c r="M47" s="1884">
        <f t="shared" si="29"/>
        <v>0.25</v>
      </c>
      <c r="N47" s="1884">
        <f t="shared" si="30"/>
        <v>0</v>
      </c>
      <c r="O47"/>
      <c r="P47" s="1886">
        <f t="shared" si="31"/>
        <v>4</v>
      </c>
      <c r="Q47" s="1886" t="str">
        <f t="shared" si="32"/>
        <v xml:space="preserve"> Q1</v>
      </c>
      <c r="R47" s="1887" t="str">
        <f t="shared" si="33"/>
        <v>空気質環境</v>
      </c>
      <c r="S47" s="1888">
        <f t="shared" si="34"/>
        <v>0.25</v>
      </c>
      <c r="T47" s="1888">
        <f t="shared" si="35"/>
        <v>0.25</v>
      </c>
      <c r="U47" s="1888">
        <f t="shared" si="36"/>
        <v>0.25</v>
      </c>
      <c r="V47" s="1888">
        <f t="shared" si="37"/>
        <v>0.25</v>
      </c>
      <c r="W47" s="1888">
        <f t="shared" si="38"/>
        <v>0.25</v>
      </c>
      <c r="X47" s="1888">
        <f t="shared" si="39"/>
        <v>0.25</v>
      </c>
      <c r="Y47" s="1888">
        <f t="shared" si="40"/>
        <v>0.25</v>
      </c>
      <c r="Z47" s="1912">
        <f t="shared" si="41"/>
        <v>0.25</v>
      </c>
      <c r="AA47" s="1888">
        <f t="shared" si="42"/>
        <v>0.25</v>
      </c>
      <c r="AB47" s="1888">
        <f t="shared" si="43"/>
        <v>0.25</v>
      </c>
      <c r="AC47" s="1890">
        <f t="shared" si="44"/>
        <v>0</v>
      </c>
      <c r="AD47" s="1888">
        <f t="shared" si="45"/>
        <v>0</v>
      </c>
      <c r="AE47" s="1888">
        <f t="shared" si="46"/>
        <v>0</v>
      </c>
      <c r="AF47"/>
      <c r="AG47" s="1886">
        <v>4</v>
      </c>
      <c r="AH47" s="1891" t="s">
        <v>941</v>
      </c>
      <c r="AI47" s="1887" t="s">
        <v>84</v>
      </c>
      <c r="AJ47" s="1933">
        <v>0.25</v>
      </c>
      <c r="AK47" s="1933">
        <v>0.25</v>
      </c>
      <c r="AL47" s="1933">
        <v>0.25</v>
      </c>
      <c r="AM47" s="1933">
        <v>0.25</v>
      </c>
      <c r="AN47" s="1933">
        <v>0.25</v>
      </c>
      <c r="AO47" s="1933">
        <v>0.25</v>
      </c>
      <c r="AP47" s="1933">
        <v>0.25</v>
      </c>
      <c r="AQ47" s="1913">
        <v>0.25</v>
      </c>
      <c r="AR47" s="1933">
        <v>0.25</v>
      </c>
      <c r="AS47" s="1892">
        <v>0.25</v>
      </c>
      <c r="AT47" s="1893"/>
      <c r="AU47" s="1892"/>
      <c r="AV47" s="1892"/>
      <c r="AW47"/>
      <c r="AX47" s="1886">
        <v>4</v>
      </c>
      <c r="AY47" s="1891" t="s">
        <v>941</v>
      </c>
      <c r="AZ47" s="1887" t="s">
        <v>84</v>
      </c>
      <c r="BA47" s="1892">
        <v>0.25</v>
      </c>
      <c r="BB47" s="1892">
        <v>0.25</v>
      </c>
      <c r="BC47" s="1892">
        <v>0.25</v>
      </c>
      <c r="BD47" s="1892">
        <v>0.25</v>
      </c>
      <c r="BE47" s="1892">
        <v>0.25</v>
      </c>
      <c r="BF47" s="1892">
        <v>0.25</v>
      </c>
      <c r="BG47" s="1892">
        <v>0.25</v>
      </c>
      <c r="BH47" s="1913">
        <v>0.33</v>
      </c>
      <c r="BI47" s="1892">
        <v>0.25</v>
      </c>
      <c r="BJ47" s="1892">
        <v>0.25</v>
      </c>
      <c r="BK47" s="1893"/>
      <c r="BL47" s="1892"/>
      <c r="BM47" s="1892"/>
      <c r="BN47"/>
      <c r="BO47" s="1886">
        <v>4</v>
      </c>
      <c r="BP47" s="1891" t="s">
        <v>941</v>
      </c>
      <c r="BQ47" s="1887" t="s">
        <v>84</v>
      </c>
      <c r="BR47" s="1933">
        <v>0.25</v>
      </c>
      <c r="BS47" s="1933">
        <v>0.25</v>
      </c>
      <c r="BT47" s="1933">
        <v>0.25</v>
      </c>
      <c r="BU47" s="1933">
        <v>0.25</v>
      </c>
      <c r="BV47" s="1933">
        <v>0.25</v>
      </c>
      <c r="BW47" s="1933">
        <v>0.25</v>
      </c>
      <c r="BX47" s="1933">
        <v>0.25</v>
      </c>
      <c r="BY47" s="1913">
        <v>0.33</v>
      </c>
      <c r="BZ47" s="1933">
        <v>0.25</v>
      </c>
      <c r="CA47" s="1933">
        <v>0.25</v>
      </c>
      <c r="CB47" s="1934"/>
      <c r="CC47" s="1933"/>
      <c r="CD47" s="1933"/>
      <c r="CE47" s="2280"/>
      <c r="CF47"/>
    </row>
    <row r="48" spans="1:84">
      <c r="B48" s="1872">
        <f t="shared" si="47"/>
        <v>4.0999999999999996</v>
      </c>
      <c r="C48" s="1895" t="str">
        <f t="shared" si="26"/>
        <v>発生源対策</v>
      </c>
      <c r="D48" s="1896">
        <f>IF(I$47=0,0,G48/I$47)</f>
        <v>0.51724137931034486</v>
      </c>
      <c r="E48" s="1897">
        <f>IF(J$47=0,0,H48/J$47)</f>
        <v>0.625</v>
      </c>
      <c r="G48" s="1897">
        <f t="shared" si="27"/>
        <v>0.51724137931034475</v>
      </c>
      <c r="H48" s="1897">
        <f t="shared" si="28"/>
        <v>0.10775862068965518</v>
      </c>
      <c r="I48" s="1897">
        <f>SUM(G49:G52)</f>
        <v>0.52758620689655178</v>
      </c>
      <c r="J48" s="1897">
        <f>SUM(H49:H52)</f>
        <v>8.6206896551724144E-2</v>
      </c>
      <c r="K48" s="1897">
        <f>IF(スコア!M48=0,0,1)</f>
        <v>1</v>
      </c>
      <c r="L48" s="1897">
        <f>IF(スコア!O48=0,0,1)</f>
        <v>1</v>
      </c>
      <c r="M48" s="1897">
        <f t="shared" si="29"/>
        <v>0.51724137931034475</v>
      </c>
      <c r="N48" s="1897">
        <f t="shared" si="30"/>
        <v>0.10775862068965518</v>
      </c>
      <c r="P48" s="1898">
        <f t="shared" si="31"/>
        <v>4.0999999999999996</v>
      </c>
      <c r="Q48" s="1898" t="str">
        <f t="shared" si="32"/>
        <v xml:space="preserve"> Q1 4</v>
      </c>
      <c r="R48" s="1899" t="str">
        <f t="shared" si="33"/>
        <v>発生源対策</v>
      </c>
      <c r="S48" s="1900">
        <f t="shared" si="34"/>
        <v>0.5</v>
      </c>
      <c r="T48" s="1900">
        <f t="shared" si="35"/>
        <v>0.5</v>
      </c>
      <c r="U48" s="1900">
        <f t="shared" si="36"/>
        <v>0.5</v>
      </c>
      <c r="V48" s="1900">
        <f t="shared" si="37"/>
        <v>0.5</v>
      </c>
      <c r="W48" s="1900">
        <f t="shared" si="38"/>
        <v>0.5</v>
      </c>
      <c r="X48" s="1900">
        <f t="shared" si="39"/>
        <v>0.5</v>
      </c>
      <c r="Y48" s="1900">
        <f t="shared" si="40"/>
        <v>0.6</v>
      </c>
      <c r="Z48" s="1908">
        <f t="shared" si="41"/>
        <v>0.5</v>
      </c>
      <c r="AA48" s="1900">
        <f t="shared" si="42"/>
        <v>0.5</v>
      </c>
      <c r="AB48" s="1900">
        <f t="shared" si="43"/>
        <v>0.5</v>
      </c>
      <c r="AC48" s="1901">
        <f t="shared" si="44"/>
        <v>0.625</v>
      </c>
      <c r="AD48" s="1900">
        <f t="shared" si="45"/>
        <v>0.625</v>
      </c>
      <c r="AE48" s="1900">
        <f t="shared" si="46"/>
        <v>0.625</v>
      </c>
      <c r="AG48" s="1898">
        <v>4.0999999999999996</v>
      </c>
      <c r="AH48" s="1902" t="s">
        <v>2556</v>
      </c>
      <c r="AI48" s="1899" t="s">
        <v>984</v>
      </c>
      <c r="AJ48" s="1935">
        <v>0.5</v>
      </c>
      <c r="AK48" s="1935">
        <v>0.5</v>
      </c>
      <c r="AL48" s="1935">
        <v>0.5</v>
      </c>
      <c r="AM48" s="1935">
        <v>0.5</v>
      </c>
      <c r="AN48" s="1935">
        <v>0.5</v>
      </c>
      <c r="AO48" s="1935">
        <v>0.5</v>
      </c>
      <c r="AP48" s="1935">
        <v>0.6</v>
      </c>
      <c r="AQ48" s="1936">
        <v>0.5</v>
      </c>
      <c r="AR48" s="1935">
        <v>0.5</v>
      </c>
      <c r="AS48" s="1904">
        <v>0.5</v>
      </c>
      <c r="AT48" s="1905">
        <v>0.625</v>
      </c>
      <c r="AU48" s="1904">
        <v>0.625</v>
      </c>
      <c r="AV48" s="1904">
        <v>0.625</v>
      </c>
      <c r="AX48" s="1898">
        <v>4.0999999999999996</v>
      </c>
      <c r="AY48" s="1902" t="s">
        <v>2556</v>
      </c>
      <c r="AZ48" s="1899" t="s">
        <v>984</v>
      </c>
      <c r="BA48" s="1904">
        <v>0.5</v>
      </c>
      <c r="BB48" s="1904">
        <v>0.5</v>
      </c>
      <c r="BC48" s="1904">
        <v>0.5</v>
      </c>
      <c r="BD48" s="1904">
        <v>0.5</v>
      </c>
      <c r="BE48" s="1904">
        <v>0.5</v>
      </c>
      <c r="BF48" s="1904">
        <v>0.5</v>
      </c>
      <c r="BG48" s="1904">
        <v>0.6</v>
      </c>
      <c r="BH48" s="1911">
        <v>0.5</v>
      </c>
      <c r="BI48" s="1904">
        <v>0.5</v>
      </c>
      <c r="BJ48" s="1904">
        <v>0.5</v>
      </c>
      <c r="BK48" s="1905">
        <v>0.625</v>
      </c>
      <c r="BL48" s="1904">
        <v>0.625</v>
      </c>
      <c r="BM48" s="1904">
        <v>0.625</v>
      </c>
      <c r="BO48" s="1898">
        <v>4.0999999999999996</v>
      </c>
      <c r="BP48" s="1902" t="s">
        <v>2556</v>
      </c>
      <c r="BQ48" s="1899" t="s">
        <v>984</v>
      </c>
      <c r="BR48" s="1935">
        <v>0.5</v>
      </c>
      <c r="BS48" s="1935">
        <v>0.5</v>
      </c>
      <c r="BT48" s="1935">
        <v>0.5</v>
      </c>
      <c r="BU48" s="1935">
        <v>0.5</v>
      </c>
      <c r="BV48" s="1935">
        <v>0.5</v>
      </c>
      <c r="BW48" s="1935">
        <v>0.5</v>
      </c>
      <c r="BX48" s="1935">
        <v>0.6</v>
      </c>
      <c r="BY48" s="1936">
        <v>0.5</v>
      </c>
      <c r="BZ48" s="1935">
        <v>0.5</v>
      </c>
      <c r="CA48" s="1935">
        <v>0.5</v>
      </c>
      <c r="CB48" s="1937">
        <v>0.625</v>
      </c>
      <c r="CC48" s="1935">
        <v>0.625</v>
      </c>
      <c r="CD48" s="1935">
        <v>0.625</v>
      </c>
      <c r="CE48" s="2279"/>
    </row>
    <row r="49" spans="1:84">
      <c r="B49" s="1872" t="str">
        <f t="shared" si="47"/>
        <v>4.1.1</v>
      </c>
      <c r="C49" s="1895" t="str">
        <f t="shared" si="26"/>
        <v xml:space="preserve"> 化学汚染物質</v>
      </c>
      <c r="D49" s="1885">
        <f t="shared" ref="D49:E52" si="48">IF(I$48&gt;0,G49/I$48,0)</f>
        <v>0.5</v>
      </c>
      <c r="E49" s="1897">
        <f t="shared" si="48"/>
        <v>0.5</v>
      </c>
      <c r="G49" s="1897">
        <f t="shared" si="27"/>
        <v>0.26379310344827589</v>
      </c>
      <c r="H49" s="1897">
        <f t="shared" si="28"/>
        <v>4.3103448275862072E-2</v>
      </c>
      <c r="I49" s="1897"/>
      <c r="J49" s="1897"/>
      <c r="K49" s="1897">
        <f>IF(スコア!M49=0,0,1)</f>
        <v>1</v>
      </c>
      <c r="L49" s="1897">
        <f>IF(スコア!O49=0,0,1)</f>
        <v>1</v>
      </c>
      <c r="M49" s="1897">
        <f t="shared" si="29"/>
        <v>0.26379310344827589</v>
      </c>
      <c r="N49" s="1897">
        <f t="shared" si="30"/>
        <v>4.3103448275862072E-2</v>
      </c>
      <c r="P49" s="1898" t="str">
        <f t="shared" si="31"/>
        <v>4.1.1</v>
      </c>
      <c r="Q49" s="1898" t="str">
        <f t="shared" si="32"/>
        <v xml:space="preserve"> Q1 4.1</v>
      </c>
      <c r="R49" s="1899" t="str">
        <f t="shared" si="33"/>
        <v xml:space="preserve"> 化学汚染物質</v>
      </c>
      <c r="S49" s="1900">
        <f t="shared" si="34"/>
        <v>0.25</v>
      </c>
      <c r="T49" s="1900">
        <f t="shared" si="35"/>
        <v>0.25</v>
      </c>
      <c r="U49" s="1900">
        <f t="shared" si="36"/>
        <v>0.25</v>
      </c>
      <c r="V49" s="1900">
        <f t="shared" si="37"/>
        <v>0.25</v>
      </c>
      <c r="W49" s="1900">
        <f t="shared" si="38"/>
        <v>0.25</v>
      </c>
      <c r="X49" s="1900">
        <f t="shared" si="39"/>
        <v>0.33</v>
      </c>
      <c r="Y49" s="1900">
        <f t="shared" si="40"/>
        <v>0.33</v>
      </c>
      <c r="Z49" s="1908">
        <f t="shared" si="41"/>
        <v>0.25</v>
      </c>
      <c r="AA49" s="1900">
        <f t="shared" si="42"/>
        <v>0.25</v>
      </c>
      <c r="AB49" s="1900">
        <f t="shared" si="43"/>
        <v>0.25</v>
      </c>
      <c r="AC49" s="1901">
        <f t="shared" si="44"/>
        <v>0.25</v>
      </c>
      <c r="AD49" s="1900">
        <f t="shared" si="45"/>
        <v>0.25</v>
      </c>
      <c r="AE49" s="1900">
        <f t="shared" si="46"/>
        <v>0.25</v>
      </c>
      <c r="AG49" s="1898" t="s">
        <v>2709</v>
      </c>
      <c r="AH49" s="1902" t="s">
        <v>2557</v>
      </c>
      <c r="AI49" s="1899" t="s">
        <v>2558</v>
      </c>
      <c r="AJ49" s="1935">
        <v>0.25</v>
      </c>
      <c r="AK49" s="1935">
        <v>0.25</v>
      </c>
      <c r="AL49" s="1935">
        <v>0.25</v>
      </c>
      <c r="AM49" s="1935">
        <v>0.25</v>
      </c>
      <c r="AN49" s="1938">
        <v>0.25</v>
      </c>
      <c r="AO49" s="1938">
        <v>0.33</v>
      </c>
      <c r="AP49" s="1938">
        <v>0.33</v>
      </c>
      <c r="AQ49" s="1936">
        <v>0.25</v>
      </c>
      <c r="AR49" s="1935">
        <v>0.25</v>
      </c>
      <c r="AS49" s="1904">
        <v>0.25</v>
      </c>
      <c r="AT49" s="1905">
        <v>0.25</v>
      </c>
      <c r="AU49" s="1904">
        <v>0.25</v>
      </c>
      <c r="AV49" s="1904">
        <v>0.25</v>
      </c>
      <c r="AX49" s="1898" t="s">
        <v>2709</v>
      </c>
      <c r="AY49" s="1902" t="s">
        <v>2557</v>
      </c>
      <c r="AZ49" s="1899" t="s">
        <v>2558</v>
      </c>
      <c r="BA49" s="1904">
        <v>1</v>
      </c>
      <c r="BB49" s="1904">
        <v>1</v>
      </c>
      <c r="BC49" s="1904">
        <v>1</v>
      </c>
      <c r="BD49" s="1904">
        <v>1</v>
      </c>
      <c r="BE49" s="1904">
        <v>1</v>
      </c>
      <c r="BF49" s="1904">
        <v>1</v>
      </c>
      <c r="BG49" s="1904">
        <v>1</v>
      </c>
      <c r="BH49" s="1911">
        <v>1</v>
      </c>
      <c r="BI49" s="1904">
        <v>1</v>
      </c>
      <c r="BJ49" s="1904">
        <v>1</v>
      </c>
      <c r="BK49" s="1905">
        <v>1</v>
      </c>
      <c r="BL49" s="1904">
        <v>1</v>
      </c>
      <c r="BM49" s="1904">
        <v>1</v>
      </c>
      <c r="BO49" s="1898" t="s">
        <v>2709</v>
      </c>
      <c r="BP49" s="1902" t="s">
        <v>2557</v>
      </c>
      <c r="BQ49" s="1899" t="s">
        <v>2558</v>
      </c>
      <c r="BR49" s="1935">
        <v>0.33333333333333331</v>
      </c>
      <c r="BS49" s="1935">
        <v>0.33333333333333331</v>
      </c>
      <c r="BT49" s="1935">
        <v>0.33333333333333331</v>
      </c>
      <c r="BU49" s="1935">
        <v>0.33333333333333331</v>
      </c>
      <c r="BV49" s="1935">
        <v>0.33333333333333331</v>
      </c>
      <c r="BW49" s="1935">
        <v>0.5</v>
      </c>
      <c r="BX49" s="1935">
        <v>0.5</v>
      </c>
      <c r="BY49" s="1935">
        <v>0.33333333333333331</v>
      </c>
      <c r="BZ49" s="1935">
        <v>0.33333333333333331</v>
      </c>
      <c r="CA49" s="1935">
        <v>0.33333333333333331</v>
      </c>
      <c r="CB49" s="1935">
        <v>0.33333333333333331</v>
      </c>
      <c r="CC49" s="1935">
        <v>0.33333333333333331</v>
      </c>
      <c r="CD49" s="1935">
        <v>0.33333333333333331</v>
      </c>
      <c r="CE49" s="2279"/>
    </row>
    <row r="50" spans="1:84">
      <c r="B50" s="1872" t="str">
        <f t="shared" si="47"/>
        <v>4.1.2</v>
      </c>
      <c r="C50" s="1895" t="str">
        <f t="shared" si="26"/>
        <v xml:space="preserve"> アスベスト対策</v>
      </c>
      <c r="D50" s="1885">
        <f t="shared" si="48"/>
        <v>0.5</v>
      </c>
      <c r="E50" s="1897">
        <f t="shared" si="48"/>
        <v>0.5</v>
      </c>
      <c r="F50" s="9"/>
      <c r="G50" s="1897">
        <f t="shared" si="27"/>
        <v>0.26379310344827589</v>
      </c>
      <c r="H50" s="1897">
        <f t="shared" si="28"/>
        <v>4.3103448275862072E-2</v>
      </c>
      <c r="I50" s="1897"/>
      <c r="J50" s="1897"/>
      <c r="K50" s="1897">
        <f>IF(スコア!M50=0,0,1)</f>
        <v>1</v>
      </c>
      <c r="L50" s="1897">
        <f>IF(スコア!O50=0,0,1)</f>
        <v>1</v>
      </c>
      <c r="M50" s="1897">
        <f t="shared" si="29"/>
        <v>0.26379310344827589</v>
      </c>
      <c r="N50" s="1897">
        <f t="shared" si="30"/>
        <v>4.3103448275862072E-2</v>
      </c>
      <c r="O50" s="9"/>
      <c r="P50" s="1898" t="str">
        <f t="shared" si="31"/>
        <v>4.1.2</v>
      </c>
      <c r="Q50" s="1898" t="str">
        <f t="shared" si="32"/>
        <v xml:space="preserve"> Q1 4.1</v>
      </c>
      <c r="R50" s="1899" t="str">
        <f t="shared" si="33"/>
        <v xml:space="preserve"> アスベスト対策</v>
      </c>
      <c r="S50" s="1900">
        <f t="shared" si="34"/>
        <v>0.25</v>
      </c>
      <c r="T50" s="1900">
        <f t="shared" si="35"/>
        <v>0.25</v>
      </c>
      <c r="U50" s="1900">
        <f t="shared" si="36"/>
        <v>0.25</v>
      </c>
      <c r="V50" s="1900">
        <f t="shared" si="37"/>
        <v>0.25</v>
      </c>
      <c r="W50" s="1900">
        <f t="shared" si="38"/>
        <v>0.25</v>
      </c>
      <c r="X50" s="1900">
        <f t="shared" si="39"/>
        <v>0.33</v>
      </c>
      <c r="Y50" s="1900">
        <f t="shared" si="40"/>
        <v>0.33</v>
      </c>
      <c r="Z50" s="1908">
        <f t="shared" si="41"/>
        <v>0.25</v>
      </c>
      <c r="AA50" s="1900">
        <f t="shared" si="42"/>
        <v>0.25</v>
      </c>
      <c r="AB50" s="1900">
        <f t="shared" si="43"/>
        <v>0.25</v>
      </c>
      <c r="AC50" s="1901">
        <f t="shared" si="44"/>
        <v>0.25</v>
      </c>
      <c r="AD50" s="1900">
        <f t="shared" si="45"/>
        <v>0.25</v>
      </c>
      <c r="AE50" s="1900">
        <f t="shared" si="46"/>
        <v>0.25</v>
      </c>
      <c r="AG50" s="1898" t="s">
        <v>2710</v>
      </c>
      <c r="AH50" s="1902" t="s">
        <v>2557</v>
      </c>
      <c r="AI50" s="1899" t="s">
        <v>2711</v>
      </c>
      <c r="AJ50" s="1935">
        <v>0.25</v>
      </c>
      <c r="AK50" s="1935">
        <v>0.25</v>
      </c>
      <c r="AL50" s="1935">
        <v>0.25</v>
      </c>
      <c r="AM50" s="1935">
        <v>0.25</v>
      </c>
      <c r="AN50" s="1938">
        <v>0.25</v>
      </c>
      <c r="AO50" s="1938">
        <v>0.33</v>
      </c>
      <c r="AP50" s="1938">
        <v>0.33</v>
      </c>
      <c r="AQ50" s="1936">
        <v>0.25</v>
      </c>
      <c r="AR50" s="1935">
        <v>0.25</v>
      </c>
      <c r="AS50" s="1904">
        <v>0.25</v>
      </c>
      <c r="AT50" s="1905">
        <v>0.25</v>
      </c>
      <c r="AU50" s="1904">
        <v>0.25</v>
      </c>
      <c r="AV50" s="1904">
        <v>0.25</v>
      </c>
      <c r="AX50" s="1922" t="s">
        <v>2710</v>
      </c>
      <c r="AY50" s="1926" t="s">
        <v>2557</v>
      </c>
      <c r="AZ50" s="1923" t="s">
        <v>2711</v>
      </c>
      <c r="BA50" s="1927"/>
      <c r="BB50" s="1927"/>
      <c r="BC50" s="1927"/>
      <c r="BD50" s="1927"/>
      <c r="BE50" s="1927"/>
      <c r="BF50" s="1927"/>
      <c r="BG50" s="1927"/>
      <c r="BH50" s="1928"/>
      <c r="BI50" s="1927"/>
      <c r="BJ50" s="1927"/>
      <c r="BK50" s="1929"/>
      <c r="BL50" s="1927"/>
      <c r="BM50" s="1927"/>
      <c r="BO50" s="1922" t="s">
        <v>2710</v>
      </c>
      <c r="BP50" s="1926" t="s">
        <v>2557</v>
      </c>
      <c r="BQ50" s="1923" t="s">
        <v>2711</v>
      </c>
      <c r="BR50" s="1930"/>
      <c r="BS50" s="1930"/>
      <c r="BT50" s="1930"/>
      <c r="BU50" s="1930"/>
      <c r="BV50" s="1930"/>
      <c r="BW50" s="1930"/>
      <c r="BX50" s="1930"/>
      <c r="BY50" s="1931"/>
      <c r="BZ50" s="1930"/>
      <c r="CA50" s="1930"/>
      <c r="CB50" s="1932"/>
      <c r="CC50" s="1930"/>
      <c r="CD50" s="1930"/>
      <c r="CE50" s="2279"/>
    </row>
    <row r="51" spans="1:84" hidden="1">
      <c r="B51" s="1872" t="str">
        <f t="shared" si="47"/>
        <v>4.1.3</v>
      </c>
      <c r="C51" s="1895" t="str">
        <f t="shared" si="26"/>
        <v xml:space="preserve"> ダニ・カビ等</v>
      </c>
      <c r="D51" s="1885">
        <f t="shared" si="48"/>
        <v>0</v>
      </c>
      <c r="E51" s="1897">
        <f t="shared" si="48"/>
        <v>0</v>
      </c>
      <c r="G51" s="1897">
        <f t="shared" si="27"/>
        <v>0</v>
      </c>
      <c r="H51" s="1897">
        <f t="shared" si="28"/>
        <v>0</v>
      </c>
      <c r="I51" s="1897"/>
      <c r="J51" s="1897"/>
      <c r="K51" s="1897">
        <f>IF(スコア!M51=0,0,1)</f>
        <v>0</v>
      </c>
      <c r="L51" s="1897">
        <f>IF(スコア!O51=0,0,1)</f>
        <v>0</v>
      </c>
      <c r="M51" s="1897">
        <f t="shared" si="29"/>
        <v>0.26379310344827589</v>
      </c>
      <c r="N51" s="1897">
        <f t="shared" si="30"/>
        <v>4.3103448275862072E-2</v>
      </c>
      <c r="P51" s="1898" t="str">
        <f t="shared" si="31"/>
        <v>4.1.3</v>
      </c>
      <c r="Q51" s="1898" t="str">
        <f t="shared" si="32"/>
        <v xml:space="preserve"> Q1 4.1</v>
      </c>
      <c r="R51" s="1899" t="str">
        <f t="shared" si="33"/>
        <v xml:space="preserve"> ダニ・カビ等</v>
      </c>
      <c r="S51" s="1900">
        <f t="shared" si="34"/>
        <v>0.25</v>
      </c>
      <c r="T51" s="1900">
        <f t="shared" si="35"/>
        <v>0.25</v>
      </c>
      <c r="U51" s="1900">
        <f t="shared" si="36"/>
        <v>0.25</v>
      </c>
      <c r="V51" s="1900">
        <f t="shared" si="37"/>
        <v>0.25</v>
      </c>
      <c r="W51" s="1900">
        <f t="shared" si="38"/>
        <v>0.25</v>
      </c>
      <c r="X51" s="1900">
        <f t="shared" si="39"/>
        <v>0.33</v>
      </c>
      <c r="Y51" s="1900">
        <f t="shared" si="40"/>
        <v>0.33</v>
      </c>
      <c r="Z51" s="1908">
        <f t="shared" si="41"/>
        <v>0.25</v>
      </c>
      <c r="AA51" s="1900">
        <f t="shared" si="42"/>
        <v>0.25</v>
      </c>
      <c r="AB51" s="1900">
        <f t="shared" si="43"/>
        <v>0.25</v>
      </c>
      <c r="AC51" s="1901">
        <f t="shared" si="44"/>
        <v>0.25</v>
      </c>
      <c r="AD51" s="1900">
        <f t="shared" si="45"/>
        <v>0.25</v>
      </c>
      <c r="AE51" s="1900">
        <f t="shared" si="46"/>
        <v>0.25</v>
      </c>
      <c r="AG51" s="1898" t="s">
        <v>2712</v>
      </c>
      <c r="AH51" s="1902" t="s">
        <v>2557</v>
      </c>
      <c r="AI51" s="1899" t="s">
        <v>2559</v>
      </c>
      <c r="AJ51" s="1930">
        <v>0.25</v>
      </c>
      <c r="AK51" s="1930">
        <v>0.25</v>
      </c>
      <c r="AL51" s="1930">
        <v>0.25</v>
      </c>
      <c r="AM51" s="1930">
        <v>0.25</v>
      </c>
      <c r="AN51" s="1939">
        <v>0.25</v>
      </c>
      <c r="AO51" s="1939">
        <v>0.33</v>
      </c>
      <c r="AP51" s="1939">
        <v>0.33</v>
      </c>
      <c r="AQ51" s="1931">
        <v>0.25</v>
      </c>
      <c r="AR51" s="1930">
        <v>0.25</v>
      </c>
      <c r="AS51" s="1904">
        <v>0.25</v>
      </c>
      <c r="AT51" s="1905">
        <v>0.25</v>
      </c>
      <c r="AU51" s="1904">
        <v>0.25</v>
      </c>
      <c r="AV51" s="1904">
        <v>0.25</v>
      </c>
      <c r="AX51" s="1898" t="s">
        <v>2712</v>
      </c>
      <c r="AY51" s="1902" t="s">
        <v>2557</v>
      </c>
      <c r="AZ51" s="1899" t="s">
        <v>2559</v>
      </c>
      <c r="BA51" s="1904"/>
      <c r="BB51" s="1904"/>
      <c r="BC51" s="1904"/>
      <c r="BD51" s="1904"/>
      <c r="BE51" s="1904"/>
      <c r="BF51" s="1904"/>
      <c r="BG51" s="1904"/>
      <c r="BH51" s="1911"/>
      <c r="BI51" s="1904"/>
      <c r="BJ51" s="1904"/>
      <c r="BK51" s="1905"/>
      <c r="BL51" s="1904"/>
      <c r="BM51" s="1904"/>
      <c r="BO51" s="1898" t="s">
        <v>2712</v>
      </c>
      <c r="BP51" s="1902" t="s">
        <v>2557</v>
      </c>
      <c r="BQ51" s="1899" t="s">
        <v>2559</v>
      </c>
      <c r="BR51" s="1935">
        <v>0.33333333333333331</v>
      </c>
      <c r="BS51" s="1935">
        <v>0.33333333333333331</v>
      </c>
      <c r="BT51" s="1935">
        <v>0.33333333333333331</v>
      </c>
      <c r="BU51" s="1935">
        <v>0.33333333333333331</v>
      </c>
      <c r="BV51" s="1935">
        <v>0.33333333333333331</v>
      </c>
      <c r="BW51" s="1935">
        <v>0.5</v>
      </c>
      <c r="BX51" s="1935">
        <v>0.5</v>
      </c>
      <c r="BY51" s="1935">
        <v>0.33333333333333331</v>
      </c>
      <c r="BZ51" s="1935">
        <v>0.33333333333333331</v>
      </c>
      <c r="CA51" s="1935">
        <v>0.33333333333333331</v>
      </c>
      <c r="CB51" s="1935">
        <v>0.33333333333333331</v>
      </c>
      <c r="CC51" s="1935">
        <v>0.33333333333333331</v>
      </c>
      <c r="CD51" s="1935">
        <v>0.33333333333333331</v>
      </c>
      <c r="CE51" s="2279"/>
    </row>
    <row r="52" spans="1:84" hidden="1">
      <c r="B52" s="1872" t="str">
        <f t="shared" si="47"/>
        <v>4.1.4</v>
      </c>
      <c r="C52" s="1895" t="str">
        <f t="shared" si="26"/>
        <v xml:space="preserve"> レジオネラ対策</v>
      </c>
      <c r="D52" s="1885">
        <f t="shared" si="48"/>
        <v>0</v>
      </c>
      <c r="E52" s="1897">
        <f t="shared" si="48"/>
        <v>0</v>
      </c>
      <c r="G52" s="1897">
        <f t="shared" si="27"/>
        <v>0</v>
      </c>
      <c r="H52" s="1897">
        <f t="shared" si="28"/>
        <v>0</v>
      </c>
      <c r="I52" s="1897"/>
      <c r="J52" s="1897"/>
      <c r="K52" s="1897">
        <f>IF(スコア!M52=0,0,1)</f>
        <v>0</v>
      </c>
      <c r="L52" s="1897">
        <f>IF(スコア!O52=0,0,1)</f>
        <v>0</v>
      </c>
      <c r="M52" s="1897">
        <f t="shared" si="29"/>
        <v>0.20689655172413793</v>
      </c>
      <c r="N52" s="1897">
        <f t="shared" si="30"/>
        <v>4.3103448275862072E-2</v>
      </c>
      <c r="P52" s="1898" t="str">
        <f t="shared" si="31"/>
        <v>4.1.4</v>
      </c>
      <c r="Q52" s="1898" t="str">
        <f t="shared" si="32"/>
        <v xml:space="preserve"> Q1 4.1</v>
      </c>
      <c r="R52" s="1899" t="str">
        <f t="shared" si="33"/>
        <v xml:space="preserve"> レジオネラ対策</v>
      </c>
      <c r="S52" s="1900">
        <f t="shared" si="34"/>
        <v>0.25</v>
      </c>
      <c r="T52" s="1900">
        <f t="shared" si="35"/>
        <v>0.25</v>
      </c>
      <c r="U52" s="1900">
        <f t="shared" si="36"/>
        <v>0.25</v>
      </c>
      <c r="V52" s="1900">
        <f t="shared" si="37"/>
        <v>0.25</v>
      </c>
      <c r="W52" s="1900">
        <f t="shared" si="38"/>
        <v>0.25</v>
      </c>
      <c r="X52" s="1900">
        <f t="shared" si="39"/>
        <v>0</v>
      </c>
      <c r="Y52" s="1900">
        <f t="shared" si="40"/>
        <v>0</v>
      </c>
      <c r="Z52" s="1908">
        <f t="shared" si="41"/>
        <v>0.25</v>
      </c>
      <c r="AA52" s="1900">
        <f t="shared" si="42"/>
        <v>0.25</v>
      </c>
      <c r="AB52" s="1900">
        <f t="shared" si="43"/>
        <v>0.25</v>
      </c>
      <c r="AC52" s="1901">
        <f t="shared" si="44"/>
        <v>0.25</v>
      </c>
      <c r="AD52" s="1900">
        <f t="shared" si="45"/>
        <v>0.25</v>
      </c>
      <c r="AE52" s="1900">
        <f t="shared" si="46"/>
        <v>0.25</v>
      </c>
      <c r="AG52" s="1898" t="s">
        <v>2713</v>
      </c>
      <c r="AH52" s="1902" t="s">
        <v>2557</v>
      </c>
      <c r="AI52" s="1899" t="s">
        <v>2560</v>
      </c>
      <c r="AJ52" s="1935">
        <v>0.25</v>
      </c>
      <c r="AK52" s="1935">
        <v>0.25</v>
      </c>
      <c r="AL52" s="1935">
        <v>0.25</v>
      </c>
      <c r="AM52" s="1935">
        <v>0.25</v>
      </c>
      <c r="AN52" s="1935">
        <v>0.25</v>
      </c>
      <c r="AO52" s="1935"/>
      <c r="AP52" s="1935"/>
      <c r="AQ52" s="1936">
        <v>0.25</v>
      </c>
      <c r="AR52" s="1935">
        <v>0.25</v>
      </c>
      <c r="AS52" s="1904">
        <v>0.25</v>
      </c>
      <c r="AT52" s="1905">
        <v>0.25</v>
      </c>
      <c r="AU52" s="1904">
        <v>0.25</v>
      </c>
      <c r="AV52" s="1904">
        <v>0.25</v>
      </c>
      <c r="AX52" s="1898" t="s">
        <v>2713</v>
      </c>
      <c r="AY52" s="1902" t="s">
        <v>2557</v>
      </c>
      <c r="AZ52" s="1899" t="s">
        <v>2560</v>
      </c>
      <c r="BA52" s="1904"/>
      <c r="BB52" s="1904"/>
      <c r="BC52" s="1904"/>
      <c r="BD52" s="1904"/>
      <c r="BE52" s="1904"/>
      <c r="BF52" s="1904"/>
      <c r="BG52" s="1904"/>
      <c r="BH52" s="1911"/>
      <c r="BI52" s="1904"/>
      <c r="BJ52" s="1904"/>
      <c r="BK52" s="1905"/>
      <c r="BL52" s="1904"/>
      <c r="BM52" s="1904"/>
      <c r="BO52" s="1898" t="s">
        <v>2713</v>
      </c>
      <c r="BP52" s="1902" t="s">
        <v>2557</v>
      </c>
      <c r="BQ52" s="1899" t="s">
        <v>2560</v>
      </c>
      <c r="BR52" s="1935">
        <v>0.33333333333333331</v>
      </c>
      <c r="BS52" s="1935">
        <v>0.33333333333333331</v>
      </c>
      <c r="BT52" s="1935">
        <v>0.33333333333333331</v>
      </c>
      <c r="BU52" s="1935">
        <v>0.33333333333333331</v>
      </c>
      <c r="BV52" s="1935">
        <v>0.33333333333333331</v>
      </c>
      <c r="BW52" s="1935"/>
      <c r="BX52" s="1935"/>
      <c r="BY52" s="1935">
        <v>0.33333333333333331</v>
      </c>
      <c r="BZ52" s="1935">
        <v>0.33333333333333331</v>
      </c>
      <c r="CA52" s="1935">
        <v>0.33333333333333331</v>
      </c>
      <c r="CB52" s="1935">
        <v>0.33333333333333331</v>
      </c>
      <c r="CC52" s="1935">
        <v>0.33333333333333331</v>
      </c>
      <c r="CD52" s="1935">
        <v>0.33333333333333331</v>
      </c>
      <c r="CE52" s="2279"/>
    </row>
    <row r="53" spans="1:84">
      <c r="B53" s="1872">
        <f t="shared" si="47"/>
        <v>4.2</v>
      </c>
      <c r="C53" s="1895" t="str">
        <f t="shared" si="26"/>
        <v>換気</v>
      </c>
      <c r="D53" s="1896">
        <f>IF(I$47=0,0,G53/I$47)</f>
        <v>0.31724137931034491</v>
      </c>
      <c r="E53" s="1897">
        <f>IF(J$47=0,0,H53/J$47)</f>
        <v>0.375</v>
      </c>
      <c r="G53" s="1897">
        <f t="shared" si="27"/>
        <v>0.31724137931034485</v>
      </c>
      <c r="H53" s="1897">
        <f t="shared" si="28"/>
        <v>6.4655172413793108E-2</v>
      </c>
      <c r="I53" s="1897">
        <f>SUM(G54:G57)</f>
        <v>0.7931034482758621</v>
      </c>
      <c r="J53" s="1897">
        <f>SUM(H54:H57)</f>
        <v>0.11379310344827588</v>
      </c>
      <c r="K53" s="1897">
        <f>IF(スコア!M53=0,0,1)</f>
        <v>1</v>
      </c>
      <c r="L53" s="1897">
        <f>IF(スコア!O53=0,0,1)</f>
        <v>1</v>
      </c>
      <c r="M53" s="1897">
        <f t="shared" si="29"/>
        <v>0.31724137931034485</v>
      </c>
      <c r="N53" s="1897">
        <f t="shared" si="30"/>
        <v>6.4655172413793108E-2</v>
      </c>
      <c r="P53" s="1898">
        <f t="shared" si="31"/>
        <v>4.2</v>
      </c>
      <c r="Q53" s="1898" t="str">
        <f t="shared" si="32"/>
        <v xml:space="preserve"> Q1 4</v>
      </c>
      <c r="R53" s="1899" t="str">
        <f t="shared" si="33"/>
        <v>換気</v>
      </c>
      <c r="S53" s="1900">
        <f t="shared" si="34"/>
        <v>0.3</v>
      </c>
      <c r="T53" s="1900">
        <f t="shared" si="35"/>
        <v>0.3</v>
      </c>
      <c r="U53" s="1900">
        <f t="shared" si="36"/>
        <v>0.3</v>
      </c>
      <c r="V53" s="1900">
        <f t="shared" si="37"/>
        <v>0.3</v>
      </c>
      <c r="W53" s="1900">
        <f t="shared" si="38"/>
        <v>0.3</v>
      </c>
      <c r="X53" s="1900">
        <f t="shared" si="39"/>
        <v>0.3</v>
      </c>
      <c r="Y53" s="1900">
        <f t="shared" si="40"/>
        <v>0.4</v>
      </c>
      <c r="Z53" s="1908">
        <f t="shared" si="41"/>
        <v>0.3</v>
      </c>
      <c r="AA53" s="1900">
        <f t="shared" si="42"/>
        <v>0.3</v>
      </c>
      <c r="AB53" s="1900">
        <f t="shared" si="43"/>
        <v>0.3</v>
      </c>
      <c r="AC53" s="1901">
        <f t="shared" si="44"/>
        <v>0.375</v>
      </c>
      <c r="AD53" s="1900">
        <f t="shared" si="45"/>
        <v>0.375</v>
      </c>
      <c r="AE53" s="1900">
        <f t="shared" si="46"/>
        <v>0.375</v>
      </c>
      <c r="AG53" s="1898">
        <v>4.2</v>
      </c>
      <c r="AH53" s="1902" t="s">
        <v>2556</v>
      </c>
      <c r="AI53" s="1899" t="s">
        <v>989</v>
      </c>
      <c r="AJ53" s="1935">
        <v>0.3</v>
      </c>
      <c r="AK53" s="1935">
        <v>0.3</v>
      </c>
      <c r="AL53" s="1935">
        <v>0.3</v>
      </c>
      <c r="AM53" s="1935">
        <v>0.3</v>
      </c>
      <c r="AN53" s="1935">
        <v>0.3</v>
      </c>
      <c r="AO53" s="1935">
        <v>0.3</v>
      </c>
      <c r="AP53" s="1935">
        <v>0.4</v>
      </c>
      <c r="AQ53" s="1936">
        <v>0.3</v>
      </c>
      <c r="AR53" s="1935">
        <v>0.3</v>
      </c>
      <c r="AS53" s="1904">
        <v>0.3</v>
      </c>
      <c r="AT53" s="1905">
        <v>0.375</v>
      </c>
      <c r="AU53" s="1904">
        <v>0.375</v>
      </c>
      <c r="AV53" s="1904">
        <v>0.375</v>
      </c>
      <c r="AX53" s="1898">
        <v>4.2</v>
      </c>
      <c r="AY53" s="1902" t="s">
        <v>2556</v>
      </c>
      <c r="AZ53" s="1899" t="s">
        <v>989</v>
      </c>
      <c r="BA53" s="1904">
        <v>0.3</v>
      </c>
      <c r="BB53" s="1904">
        <v>0.3</v>
      </c>
      <c r="BC53" s="1904">
        <v>0.3</v>
      </c>
      <c r="BD53" s="1904">
        <v>0.3</v>
      </c>
      <c r="BE53" s="1904">
        <v>0.3</v>
      </c>
      <c r="BF53" s="1904">
        <v>0.3</v>
      </c>
      <c r="BG53" s="1904">
        <v>0.4</v>
      </c>
      <c r="BH53" s="1911">
        <v>0.3</v>
      </c>
      <c r="BI53" s="1904">
        <v>0.3</v>
      </c>
      <c r="BJ53" s="1904">
        <v>0.3</v>
      </c>
      <c r="BK53" s="1905">
        <v>0.375</v>
      </c>
      <c r="BL53" s="1904">
        <v>0.375</v>
      </c>
      <c r="BM53" s="1904">
        <v>0.375</v>
      </c>
      <c r="BO53" s="1898">
        <v>4.2</v>
      </c>
      <c r="BP53" s="1902" t="s">
        <v>2556</v>
      </c>
      <c r="BQ53" s="1899" t="s">
        <v>989</v>
      </c>
      <c r="BR53" s="1935">
        <v>0.3</v>
      </c>
      <c r="BS53" s="1935">
        <v>0.3</v>
      </c>
      <c r="BT53" s="1935">
        <v>0.3</v>
      </c>
      <c r="BU53" s="1935">
        <v>0.3</v>
      </c>
      <c r="BV53" s="1935">
        <v>0.3</v>
      </c>
      <c r="BW53" s="1935">
        <v>0.3</v>
      </c>
      <c r="BX53" s="1935">
        <v>0.4</v>
      </c>
      <c r="BY53" s="1936">
        <v>0.3</v>
      </c>
      <c r="BZ53" s="1935">
        <v>0.3</v>
      </c>
      <c r="CA53" s="1935">
        <v>0.3</v>
      </c>
      <c r="CB53" s="1937">
        <v>0.375</v>
      </c>
      <c r="CC53" s="1935">
        <v>0.375</v>
      </c>
      <c r="CD53" s="1935">
        <v>0.375</v>
      </c>
      <c r="CE53" s="2279"/>
    </row>
    <row r="54" spans="1:84">
      <c r="B54" s="1872" t="str">
        <f t="shared" si="47"/>
        <v>4.2.1</v>
      </c>
      <c r="C54" s="1895" t="str">
        <f t="shared" si="26"/>
        <v>換気量</v>
      </c>
      <c r="D54" s="1885">
        <f t="shared" ref="D54:E57" si="49">IF(I$53&gt;0,G54/I$53,0)</f>
        <v>0.2608695652173913</v>
      </c>
      <c r="E54" s="1897">
        <f t="shared" si="49"/>
        <v>0</v>
      </c>
      <c r="G54" s="1897">
        <f t="shared" si="27"/>
        <v>0.20689655172413793</v>
      </c>
      <c r="H54" s="1897">
        <f t="shared" si="28"/>
        <v>0</v>
      </c>
      <c r="I54" s="1897"/>
      <c r="J54" s="1897"/>
      <c r="K54" s="1897">
        <f>IF(スコア!M54=0,0,1)</f>
        <v>1</v>
      </c>
      <c r="L54" s="1897">
        <f>IF(スコア!O54=0,0,1)</f>
        <v>1</v>
      </c>
      <c r="M54" s="1897">
        <f t="shared" si="29"/>
        <v>0.20689655172413793</v>
      </c>
      <c r="N54" s="1897">
        <f t="shared" si="30"/>
        <v>0</v>
      </c>
      <c r="P54" s="1898" t="str">
        <f t="shared" si="31"/>
        <v>4.2.1</v>
      </c>
      <c r="Q54" s="1898" t="str">
        <f t="shared" si="32"/>
        <v xml:space="preserve"> Q1 4.2</v>
      </c>
      <c r="R54" s="1899" t="str">
        <f t="shared" si="33"/>
        <v>換気量</v>
      </c>
      <c r="S54" s="1900">
        <f t="shared" si="34"/>
        <v>0.25</v>
      </c>
      <c r="T54" s="1900">
        <f t="shared" si="35"/>
        <v>0.25</v>
      </c>
      <c r="U54" s="1900">
        <f t="shared" si="36"/>
        <v>0.33333333333333331</v>
      </c>
      <c r="V54" s="1900">
        <f t="shared" si="37"/>
        <v>0.33333333333333331</v>
      </c>
      <c r="W54" s="1900">
        <f t="shared" si="38"/>
        <v>0.33333333333333331</v>
      </c>
      <c r="X54" s="1900">
        <f t="shared" si="39"/>
        <v>0.33333333333333331</v>
      </c>
      <c r="Y54" s="1900">
        <f t="shared" si="40"/>
        <v>0</v>
      </c>
      <c r="Z54" s="1908">
        <f t="shared" si="41"/>
        <v>0.25</v>
      </c>
      <c r="AA54" s="1900">
        <f t="shared" si="42"/>
        <v>0.25</v>
      </c>
      <c r="AB54" s="1900">
        <f t="shared" si="43"/>
        <v>0.25</v>
      </c>
      <c r="AC54" s="1901">
        <f t="shared" si="44"/>
        <v>0.25</v>
      </c>
      <c r="AD54" s="1900">
        <f t="shared" si="45"/>
        <v>0.25</v>
      </c>
      <c r="AE54" s="1900">
        <f t="shared" si="46"/>
        <v>0</v>
      </c>
      <c r="AG54" s="1898" t="s">
        <v>2714</v>
      </c>
      <c r="AH54" s="1902" t="s">
        <v>2561</v>
      </c>
      <c r="AI54" s="1899" t="s">
        <v>2562</v>
      </c>
      <c r="AJ54" s="1935">
        <v>0.25</v>
      </c>
      <c r="AK54" s="1935">
        <v>0.25</v>
      </c>
      <c r="AL54" s="1938">
        <v>0.33333333333333331</v>
      </c>
      <c r="AM54" s="1938">
        <v>0.33333333333333331</v>
      </c>
      <c r="AN54" s="1938">
        <v>0.33333333333333331</v>
      </c>
      <c r="AO54" s="1938">
        <v>0.33333333333333331</v>
      </c>
      <c r="AP54" s="1935"/>
      <c r="AQ54" s="1938">
        <v>0.25</v>
      </c>
      <c r="AR54" s="1935">
        <v>0.25</v>
      </c>
      <c r="AS54" s="1904">
        <v>0.25</v>
      </c>
      <c r="AT54" s="1905">
        <v>0.25</v>
      </c>
      <c r="AU54" s="1904">
        <v>0.25</v>
      </c>
      <c r="AV54" s="1904"/>
      <c r="AX54" s="1898" t="s">
        <v>2714</v>
      </c>
      <c r="AY54" s="1902" t="s">
        <v>2561</v>
      </c>
      <c r="AZ54" s="1899" t="s">
        <v>2562</v>
      </c>
      <c r="BA54" s="1904">
        <v>0.33333333333333331</v>
      </c>
      <c r="BB54" s="1904">
        <v>0.33333333333333331</v>
      </c>
      <c r="BC54" s="1904">
        <v>0.5</v>
      </c>
      <c r="BD54" s="1904">
        <v>0.5</v>
      </c>
      <c r="BE54" s="1904">
        <v>0.5</v>
      </c>
      <c r="BF54" s="1904">
        <v>0.5</v>
      </c>
      <c r="BG54" s="1904">
        <v>0.5</v>
      </c>
      <c r="BH54" s="1911">
        <v>0.5</v>
      </c>
      <c r="BI54" s="1904">
        <v>0.33333333333333331</v>
      </c>
      <c r="BJ54" s="1904">
        <v>0.33333333333333331</v>
      </c>
      <c r="BK54" s="1905">
        <v>0.33333333333333331</v>
      </c>
      <c r="BL54" s="1904">
        <v>0.33333333333333331</v>
      </c>
      <c r="BM54" s="1904">
        <v>0.33333333333333331</v>
      </c>
      <c r="BO54" s="1898" t="s">
        <v>2714</v>
      </c>
      <c r="BP54" s="1902" t="s">
        <v>2561</v>
      </c>
      <c r="BQ54" s="1899" t="s">
        <v>2562</v>
      </c>
      <c r="BR54" s="1935">
        <v>0.25</v>
      </c>
      <c r="BS54" s="1935">
        <v>0.25</v>
      </c>
      <c r="BT54" s="1935">
        <v>0.33333333333333331</v>
      </c>
      <c r="BU54" s="1935">
        <v>0.33333333333333331</v>
      </c>
      <c r="BV54" s="1935">
        <v>0.33333333333333331</v>
      </c>
      <c r="BW54" s="1935">
        <v>0.33333333333333331</v>
      </c>
      <c r="BX54" s="1935">
        <v>0.5</v>
      </c>
      <c r="BY54" s="1935">
        <v>0.33333333333333331</v>
      </c>
      <c r="BZ54" s="1935">
        <v>0.25</v>
      </c>
      <c r="CA54" s="1935">
        <v>0.25</v>
      </c>
      <c r="CB54" s="1937">
        <v>0.25</v>
      </c>
      <c r="CC54" s="1935">
        <v>0.25</v>
      </c>
      <c r="CD54" s="1935">
        <v>0.25</v>
      </c>
      <c r="CE54" s="2279"/>
    </row>
    <row r="55" spans="1:84">
      <c r="B55" s="1872" t="str">
        <f t="shared" si="47"/>
        <v>4.2.2</v>
      </c>
      <c r="C55" s="1895" t="str">
        <f t="shared" si="26"/>
        <v>自然換気性能</v>
      </c>
      <c r="D55" s="1885">
        <f t="shared" si="49"/>
        <v>0.2608695652173913</v>
      </c>
      <c r="E55" s="1897">
        <f t="shared" si="49"/>
        <v>0.5</v>
      </c>
      <c r="G55" s="1897">
        <f t="shared" si="27"/>
        <v>0.20689655172413793</v>
      </c>
      <c r="H55" s="1897">
        <f t="shared" si="28"/>
        <v>5.6896551724137941E-2</v>
      </c>
      <c r="I55" s="1897"/>
      <c r="J55" s="1897"/>
      <c r="K55" s="1897">
        <f>IF(スコア!M55=0,0,1)</f>
        <v>1</v>
      </c>
      <c r="L55" s="1897">
        <f>IF(スコア!O55=0,0,1)</f>
        <v>1</v>
      </c>
      <c r="M55" s="1897">
        <f t="shared" si="29"/>
        <v>0.20689655172413793</v>
      </c>
      <c r="N55" s="1897">
        <f t="shared" si="30"/>
        <v>5.6896551724137941E-2</v>
      </c>
      <c r="P55" s="1898" t="str">
        <f t="shared" si="31"/>
        <v>4.2.2</v>
      </c>
      <c r="Q55" s="1898" t="str">
        <f t="shared" si="32"/>
        <v xml:space="preserve"> Q1 4.2</v>
      </c>
      <c r="R55" s="1899" t="str">
        <f t="shared" si="33"/>
        <v>自然換気性能</v>
      </c>
      <c r="S55" s="1900">
        <f t="shared" si="34"/>
        <v>0.25</v>
      </c>
      <c r="T55" s="1900">
        <f t="shared" si="35"/>
        <v>0.25</v>
      </c>
      <c r="U55" s="1900">
        <f t="shared" si="36"/>
        <v>0</v>
      </c>
      <c r="V55" s="1900">
        <f t="shared" si="37"/>
        <v>0</v>
      </c>
      <c r="W55" s="1900">
        <f t="shared" si="38"/>
        <v>0</v>
      </c>
      <c r="X55" s="1900">
        <f t="shared" si="39"/>
        <v>0</v>
      </c>
      <c r="Y55" s="1900">
        <f t="shared" si="40"/>
        <v>0</v>
      </c>
      <c r="Z55" s="1908">
        <f t="shared" si="41"/>
        <v>0.25</v>
      </c>
      <c r="AA55" s="1900">
        <f t="shared" si="42"/>
        <v>0.25</v>
      </c>
      <c r="AB55" s="1900">
        <f t="shared" si="43"/>
        <v>0.25</v>
      </c>
      <c r="AC55" s="1901">
        <f t="shared" si="44"/>
        <v>0.25</v>
      </c>
      <c r="AD55" s="1900">
        <f t="shared" si="45"/>
        <v>0.25</v>
      </c>
      <c r="AE55" s="1900">
        <f t="shared" si="46"/>
        <v>0.33</v>
      </c>
      <c r="AG55" s="1898" t="s">
        <v>2715</v>
      </c>
      <c r="AH55" s="1902" t="s">
        <v>2561</v>
      </c>
      <c r="AI55" s="1899" t="s">
        <v>2563</v>
      </c>
      <c r="AJ55" s="1935">
        <v>0.25</v>
      </c>
      <c r="AK55" s="1935">
        <v>0.25</v>
      </c>
      <c r="AL55" s="1935"/>
      <c r="AM55" s="1935"/>
      <c r="AN55" s="1935"/>
      <c r="AO55" s="1935"/>
      <c r="AP55" s="1935"/>
      <c r="AQ55" s="1936">
        <v>0.25</v>
      </c>
      <c r="AR55" s="1935">
        <v>0.25</v>
      </c>
      <c r="AS55" s="1904">
        <v>0.25</v>
      </c>
      <c r="AT55" s="1905">
        <v>0.25</v>
      </c>
      <c r="AU55" s="1904">
        <v>0.25</v>
      </c>
      <c r="AV55" s="1904">
        <v>0.33</v>
      </c>
      <c r="AX55" s="1898" t="s">
        <v>2715</v>
      </c>
      <c r="AY55" s="1902" t="s">
        <v>2561</v>
      </c>
      <c r="AZ55" s="1899" t="s">
        <v>2563</v>
      </c>
      <c r="BA55" s="1904">
        <v>0.33333333333333331</v>
      </c>
      <c r="BB55" s="1904">
        <v>0.33333333333333331</v>
      </c>
      <c r="BC55" s="1904"/>
      <c r="BD55" s="1904"/>
      <c r="BE55" s="1904"/>
      <c r="BF55" s="1904"/>
      <c r="BG55" s="1904"/>
      <c r="BH55" s="1911"/>
      <c r="BI55" s="1904">
        <v>0.33333333333333331</v>
      </c>
      <c r="BJ55" s="1904">
        <v>0.33333333333333331</v>
      </c>
      <c r="BK55" s="1905">
        <v>0.33333333333333331</v>
      </c>
      <c r="BL55" s="1904">
        <v>0.33333333333333331</v>
      </c>
      <c r="BM55" s="1904">
        <v>0.33333333333333331</v>
      </c>
      <c r="BO55" s="1898" t="s">
        <v>2715</v>
      </c>
      <c r="BP55" s="1902" t="s">
        <v>2561</v>
      </c>
      <c r="BQ55" s="1899" t="s">
        <v>2563</v>
      </c>
      <c r="BR55" s="1935">
        <v>0.25</v>
      </c>
      <c r="BS55" s="1935">
        <v>0.25</v>
      </c>
      <c r="BT55" s="1935"/>
      <c r="BU55" s="1935"/>
      <c r="BV55" s="1935"/>
      <c r="BW55" s="1935"/>
      <c r="BX55" s="1935"/>
      <c r="BY55" s="1936"/>
      <c r="BZ55" s="1935">
        <v>0.25</v>
      </c>
      <c r="CA55" s="1935">
        <v>0.25</v>
      </c>
      <c r="CB55" s="1937">
        <v>0.25</v>
      </c>
      <c r="CC55" s="1935">
        <v>0.25</v>
      </c>
      <c r="CD55" s="1935">
        <v>0.25</v>
      </c>
      <c r="CE55" s="2279"/>
    </row>
    <row r="56" spans="1:84">
      <c r="B56" s="1872" t="str">
        <f t="shared" si="47"/>
        <v>4.2.3</v>
      </c>
      <c r="C56" s="1895" t="str">
        <f t="shared" si="26"/>
        <v>取り入れ外気への配慮</v>
      </c>
      <c r="D56" s="1885">
        <f t="shared" si="49"/>
        <v>0.47826086956521735</v>
      </c>
      <c r="E56" s="1897">
        <f t="shared" si="49"/>
        <v>0.5</v>
      </c>
      <c r="G56" s="1897">
        <f t="shared" si="27"/>
        <v>0.37931034482758619</v>
      </c>
      <c r="H56" s="1897">
        <f t="shared" si="28"/>
        <v>5.6896551724137941E-2</v>
      </c>
      <c r="I56" s="1897"/>
      <c r="J56" s="1897"/>
      <c r="K56" s="1897">
        <f>IF(スコア!M56=0,0,1)</f>
        <v>1</v>
      </c>
      <c r="L56" s="1897">
        <f>IF(スコア!O56=0,0,1)</f>
        <v>1</v>
      </c>
      <c r="M56" s="1897">
        <f t="shared" si="29"/>
        <v>0.37931034482758619</v>
      </c>
      <c r="N56" s="1897">
        <f t="shared" si="30"/>
        <v>5.6896551724137941E-2</v>
      </c>
      <c r="P56" s="1898" t="str">
        <f t="shared" si="31"/>
        <v>4.2.3</v>
      </c>
      <c r="Q56" s="1898" t="str">
        <f t="shared" si="32"/>
        <v xml:space="preserve"> Q1 4.2</v>
      </c>
      <c r="R56" s="1899" t="str">
        <f t="shared" si="33"/>
        <v>取り入れ外気への配慮</v>
      </c>
      <c r="S56" s="1900">
        <f t="shared" si="34"/>
        <v>0.25</v>
      </c>
      <c r="T56" s="1900">
        <f t="shared" si="35"/>
        <v>0.25</v>
      </c>
      <c r="U56" s="1900">
        <f t="shared" si="36"/>
        <v>0.33333333333333331</v>
      </c>
      <c r="V56" s="1900">
        <f t="shared" si="37"/>
        <v>0.33333333333333331</v>
      </c>
      <c r="W56" s="1900">
        <f t="shared" si="38"/>
        <v>0.33333333333333331</v>
      </c>
      <c r="X56" s="1900">
        <f t="shared" si="39"/>
        <v>0.33333333333333331</v>
      </c>
      <c r="Y56" s="1900">
        <f t="shared" si="40"/>
        <v>1</v>
      </c>
      <c r="Z56" s="1908">
        <f t="shared" si="41"/>
        <v>0.25</v>
      </c>
      <c r="AA56" s="1900">
        <f t="shared" si="42"/>
        <v>0.25</v>
      </c>
      <c r="AB56" s="1900">
        <f t="shared" si="43"/>
        <v>0.25</v>
      </c>
      <c r="AC56" s="1901">
        <f t="shared" si="44"/>
        <v>0.25</v>
      </c>
      <c r="AD56" s="1900">
        <f t="shared" si="45"/>
        <v>0.25</v>
      </c>
      <c r="AE56" s="1900">
        <f t="shared" si="46"/>
        <v>0.33</v>
      </c>
      <c r="AG56" s="1898" t="s">
        <v>2716</v>
      </c>
      <c r="AH56" s="1902" t="s">
        <v>2561</v>
      </c>
      <c r="AI56" s="1899" t="s">
        <v>2564</v>
      </c>
      <c r="AJ56" s="1935">
        <v>0.25</v>
      </c>
      <c r="AK56" s="1935">
        <v>0.25</v>
      </c>
      <c r="AL56" s="1938">
        <v>0.33333333333333331</v>
      </c>
      <c r="AM56" s="1938">
        <v>0.33333333333333331</v>
      </c>
      <c r="AN56" s="1938">
        <v>0.33333333333333331</v>
      </c>
      <c r="AO56" s="1938">
        <v>0.33333333333333331</v>
      </c>
      <c r="AP56" s="1935">
        <v>1</v>
      </c>
      <c r="AQ56" s="1938">
        <v>0.25</v>
      </c>
      <c r="AR56" s="1935">
        <v>0.25</v>
      </c>
      <c r="AS56" s="1904">
        <v>0.25</v>
      </c>
      <c r="AT56" s="1905">
        <v>0.25</v>
      </c>
      <c r="AU56" s="1904">
        <v>0.25</v>
      </c>
      <c r="AV56" s="1904">
        <v>0.33</v>
      </c>
      <c r="AX56" s="1898" t="s">
        <v>2716</v>
      </c>
      <c r="AY56" s="1902" t="s">
        <v>2561</v>
      </c>
      <c r="AZ56" s="1899" t="s">
        <v>2564</v>
      </c>
      <c r="BA56" s="1904">
        <v>0.33333333333333331</v>
      </c>
      <c r="BB56" s="1904">
        <v>0.33333333333333331</v>
      </c>
      <c r="BC56" s="1904">
        <v>0.5</v>
      </c>
      <c r="BD56" s="1904">
        <v>0.5</v>
      </c>
      <c r="BE56" s="1904">
        <v>0.5</v>
      </c>
      <c r="BF56" s="1904">
        <v>0.5</v>
      </c>
      <c r="BG56" s="1904">
        <v>0.5</v>
      </c>
      <c r="BH56" s="1911">
        <v>0.5</v>
      </c>
      <c r="BI56" s="1904">
        <v>0.33333333333333331</v>
      </c>
      <c r="BJ56" s="1904">
        <v>0.33333333333333331</v>
      </c>
      <c r="BK56" s="1905">
        <v>0.33333333333333331</v>
      </c>
      <c r="BL56" s="1904">
        <v>0.33333333333333331</v>
      </c>
      <c r="BM56" s="1904">
        <v>0.33333333333333331</v>
      </c>
      <c r="BO56" s="1898" t="s">
        <v>2716</v>
      </c>
      <c r="BP56" s="1902" t="s">
        <v>2561</v>
      </c>
      <c r="BQ56" s="1899" t="s">
        <v>2564</v>
      </c>
      <c r="BR56" s="1935">
        <v>0.25</v>
      </c>
      <c r="BS56" s="1935">
        <v>0.25</v>
      </c>
      <c r="BT56" s="1935">
        <v>0.33333333333333331</v>
      </c>
      <c r="BU56" s="1935">
        <v>0.33333333333333331</v>
      </c>
      <c r="BV56" s="1935">
        <v>0.33333333333333331</v>
      </c>
      <c r="BW56" s="1935">
        <v>0.33333333333333331</v>
      </c>
      <c r="BX56" s="1935">
        <v>0.5</v>
      </c>
      <c r="BY56" s="1935">
        <v>0.33333333333333331</v>
      </c>
      <c r="BZ56" s="1935">
        <v>0.25</v>
      </c>
      <c r="CA56" s="1935">
        <v>0.25</v>
      </c>
      <c r="CB56" s="1937">
        <v>0.25</v>
      </c>
      <c r="CC56" s="1935">
        <v>0.25</v>
      </c>
      <c r="CD56" s="1935">
        <v>0.25</v>
      </c>
      <c r="CE56" s="2279"/>
    </row>
    <row r="57" spans="1:84" hidden="1">
      <c r="B57" s="1872" t="str">
        <f t="shared" si="47"/>
        <v>4.2.4</v>
      </c>
      <c r="C57" s="1895" t="str">
        <f t="shared" si="26"/>
        <v>給気計画</v>
      </c>
      <c r="D57" s="1885">
        <f t="shared" si="49"/>
        <v>0</v>
      </c>
      <c r="E57" s="1897">
        <f t="shared" si="49"/>
        <v>0</v>
      </c>
      <c r="G57" s="1897">
        <f t="shared" si="27"/>
        <v>0</v>
      </c>
      <c r="H57" s="1897">
        <f t="shared" si="28"/>
        <v>0</v>
      </c>
      <c r="I57" s="1897"/>
      <c r="J57" s="1897"/>
      <c r="K57" s="1897">
        <f>IF(スコア!M57=0,0,1)</f>
        <v>0</v>
      </c>
      <c r="L57" s="1897">
        <f>IF(スコア!O57=0,0,1)</f>
        <v>0</v>
      </c>
      <c r="M57" s="1897">
        <f t="shared" si="29"/>
        <v>0.22413793103448276</v>
      </c>
      <c r="N57" s="1897">
        <f t="shared" si="30"/>
        <v>5.6896551724137941E-2</v>
      </c>
      <c r="P57" s="1898" t="str">
        <f t="shared" si="31"/>
        <v>4.2.4</v>
      </c>
      <c r="Q57" s="1898" t="str">
        <f t="shared" si="32"/>
        <v xml:space="preserve"> Q1 4.2</v>
      </c>
      <c r="R57" s="1899" t="str">
        <f t="shared" si="33"/>
        <v>給気計画</v>
      </c>
      <c r="S57" s="1900">
        <f t="shared" si="34"/>
        <v>0.25</v>
      </c>
      <c r="T57" s="1900">
        <f t="shared" si="35"/>
        <v>0.25</v>
      </c>
      <c r="U57" s="1900">
        <f t="shared" si="36"/>
        <v>0.33333333333333331</v>
      </c>
      <c r="V57" s="1900">
        <f t="shared" si="37"/>
        <v>0.33333333333333331</v>
      </c>
      <c r="W57" s="1900">
        <f t="shared" si="38"/>
        <v>0.33333333333333331</v>
      </c>
      <c r="X57" s="1900">
        <f t="shared" si="39"/>
        <v>0.33333333333333331</v>
      </c>
      <c r="Y57" s="1900">
        <f t="shared" si="40"/>
        <v>0</v>
      </c>
      <c r="Z57" s="1908">
        <f t="shared" si="41"/>
        <v>0.33333333333333331</v>
      </c>
      <c r="AA57" s="1900">
        <f t="shared" si="42"/>
        <v>0.25</v>
      </c>
      <c r="AB57" s="1900">
        <f t="shared" si="43"/>
        <v>0.25</v>
      </c>
      <c r="AC57" s="1901">
        <f t="shared" si="44"/>
        <v>0.25</v>
      </c>
      <c r="AD57" s="1900">
        <f t="shared" si="45"/>
        <v>0.25</v>
      </c>
      <c r="AE57" s="1900">
        <f t="shared" si="46"/>
        <v>0.33</v>
      </c>
      <c r="AG57" s="1898" t="s">
        <v>2717</v>
      </c>
      <c r="AH57" s="1902" t="s">
        <v>2561</v>
      </c>
      <c r="AI57" s="1899" t="s">
        <v>2718</v>
      </c>
      <c r="AJ57" s="1930">
        <v>0.25</v>
      </c>
      <c r="AK57" s="1930">
        <v>0.25</v>
      </c>
      <c r="AL57" s="1939">
        <v>0.33333333333333331</v>
      </c>
      <c r="AM57" s="1939">
        <v>0.33333333333333331</v>
      </c>
      <c r="AN57" s="1939">
        <v>0.33333333333333331</v>
      </c>
      <c r="AO57" s="1939">
        <v>0.33333333333333331</v>
      </c>
      <c r="AP57" s="1930"/>
      <c r="AQ57" s="1939">
        <v>0.33333333333333331</v>
      </c>
      <c r="AR57" s="1930">
        <v>0.25</v>
      </c>
      <c r="AS57" s="1904">
        <v>0.25</v>
      </c>
      <c r="AT57" s="1905">
        <v>0.25</v>
      </c>
      <c r="AU57" s="1904">
        <v>0.25</v>
      </c>
      <c r="AV57" s="1904">
        <v>0.33</v>
      </c>
      <c r="AX57" s="1898" t="s">
        <v>2717</v>
      </c>
      <c r="AY57" s="1902" t="s">
        <v>2561</v>
      </c>
      <c r="AZ57" s="1899" t="s">
        <v>2718</v>
      </c>
      <c r="BA57" s="1904"/>
      <c r="BB57" s="1904"/>
      <c r="BC57" s="1904"/>
      <c r="BD57" s="1904"/>
      <c r="BE57" s="1904"/>
      <c r="BF57" s="1904"/>
      <c r="BG57" s="1904"/>
      <c r="BH57" s="1911"/>
      <c r="BI57" s="1904"/>
      <c r="BJ57" s="1904"/>
      <c r="BK57" s="1905"/>
      <c r="BL57" s="1904"/>
      <c r="BM57" s="1904"/>
      <c r="BO57" s="1898" t="s">
        <v>2717</v>
      </c>
      <c r="BP57" s="1902" t="s">
        <v>2561</v>
      </c>
      <c r="BQ57" s="1899" t="s">
        <v>2718</v>
      </c>
      <c r="BR57" s="1935">
        <v>0.25</v>
      </c>
      <c r="BS57" s="1935">
        <v>0.25</v>
      </c>
      <c r="BT57" s="1935">
        <v>0.33333333333333331</v>
      </c>
      <c r="BU57" s="1935">
        <v>0.33333333333333331</v>
      </c>
      <c r="BV57" s="1935">
        <v>0.33333333333333331</v>
      </c>
      <c r="BW57" s="1935">
        <v>0.33333333333333331</v>
      </c>
      <c r="BX57" s="1935"/>
      <c r="BY57" s="1935">
        <v>0.33333333333333331</v>
      </c>
      <c r="BZ57" s="1935">
        <v>0.25</v>
      </c>
      <c r="CA57" s="1935">
        <v>0.25</v>
      </c>
      <c r="CB57" s="1937">
        <v>0.25</v>
      </c>
      <c r="CC57" s="1935">
        <v>0.25</v>
      </c>
      <c r="CD57" s="1935">
        <v>0.25</v>
      </c>
      <c r="CE57" s="2279"/>
    </row>
    <row r="58" spans="1:84">
      <c r="B58" s="1872">
        <f t="shared" si="47"/>
        <v>4.3</v>
      </c>
      <c r="C58" s="1895" t="str">
        <f t="shared" si="26"/>
        <v>運用管理</v>
      </c>
      <c r="D58" s="1896">
        <f>IF(I$47=0,0,G58/I$47)</f>
        <v>0.16551724137931037</v>
      </c>
      <c r="E58" s="1897">
        <f>IF(J$47=0,0,H58/J$47)</f>
        <v>0</v>
      </c>
      <c r="G58" s="1897">
        <f t="shared" si="27"/>
        <v>0.16551724137931034</v>
      </c>
      <c r="H58" s="1897">
        <f t="shared" si="28"/>
        <v>0</v>
      </c>
      <c r="I58" s="1897">
        <f>G59+G60</f>
        <v>0.82758620689655171</v>
      </c>
      <c r="J58" s="1897">
        <f>H59+H60</f>
        <v>0</v>
      </c>
      <c r="K58" s="1897">
        <f>IF(スコア!M58=0,0,1)</f>
        <v>1</v>
      </c>
      <c r="L58" s="1897">
        <f>IF(スコア!O58=0,0,1)</f>
        <v>0</v>
      </c>
      <c r="M58" s="1897">
        <f t="shared" si="29"/>
        <v>0.16551724137931034</v>
      </c>
      <c r="N58" s="1897">
        <f t="shared" si="30"/>
        <v>0</v>
      </c>
      <c r="P58" s="1898">
        <f t="shared" si="31"/>
        <v>4.3</v>
      </c>
      <c r="Q58" s="1898" t="str">
        <f t="shared" si="32"/>
        <v xml:space="preserve"> Q1 4</v>
      </c>
      <c r="R58" s="1899" t="str">
        <f t="shared" si="33"/>
        <v>運用管理</v>
      </c>
      <c r="S58" s="1900">
        <f t="shared" si="34"/>
        <v>0.2</v>
      </c>
      <c r="T58" s="1900">
        <f t="shared" si="35"/>
        <v>0.2</v>
      </c>
      <c r="U58" s="1900">
        <f t="shared" si="36"/>
        <v>0.2</v>
      </c>
      <c r="V58" s="1900">
        <f t="shared" si="37"/>
        <v>0.2</v>
      </c>
      <c r="W58" s="1900">
        <f t="shared" si="38"/>
        <v>0.2</v>
      </c>
      <c r="X58" s="1900">
        <f t="shared" si="39"/>
        <v>0.2</v>
      </c>
      <c r="Y58" s="1900">
        <f t="shared" si="40"/>
        <v>0</v>
      </c>
      <c r="Z58" s="1908">
        <f t="shared" si="41"/>
        <v>0.2</v>
      </c>
      <c r="AA58" s="1900">
        <f t="shared" si="42"/>
        <v>0.2</v>
      </c>
      <c r="AB58" s="1900">
        <f t="shared" si="43"/>
        <v>0.2</v>
      </c>
      <c r="AC58" s="1901">
        <f t="shared" si="44"/>
        <v>0</v>
      </c>
      <c r="AD58" s="1900">
        <f t="shared" si="45"/>
        <v>0</v>
      </c>
      <c r="AE58" s="1900">
        <f t="shared" si="46"/>
        <v>0</v>
      </c>
      <c r="AG58" s="1898">
        <v>4.3</v>
      </c>
      <c r="AH58" s="1902" t="s">
        <v>2556</v>
      </c>
      <c r="AI58" s="1899" t="s">
        <v>2371</v>
      </c>
      <c r="AJ58" s="1935">
        <v>0.2</v>
      </c>
      <c r="AK58" s="1935">
        <v>0.2</v>
      </c>
      <c r="AL58" s="1935">
        <v>0.2</v>
      </c>
      <c r="AM58" s="1935">
        <v>0.2</v>
      </c>
      <c r="AN58" s="1935">
        <v>0.2</v>
      </c>
      <c r="AO58" s="1935">
        <v>0.2</v>
      </c>
      <c r="AP58" s="1935"/>
      <c r="AQ58" s="1936">
        <v>0.2</v>
      </c>
      <c r="AR58" s="1935">
        <v>0.2</v>
      </c>
      <c r="AS58" s="1904">
        <v>0.2</v>
      </c>
      <c r="AT58" s="1905"/>
      <c r="AU58" s="1904"/>
      <c r="AV58" s="1904"/>
      <c r="AX58" s="1898">
        <v>4.3</v>
      </c>
      <c r="AY58" s="1902" t="s">
        <v>2556</v>
      </c>
      <c r="AZ58" s="1899" t="s">
        <v>2371</v>
      </c>
      <c r="BA58" s="1904">
        <v>0.2</v>
      </c>
      <c r="BB58" s="1904">
        <v>0.2</v>
      </c>
      <c r="BC58" s="1904">
        <v>0.2</v>
      </c>
      <c r="BD58" s="1904">
        <v>0.2</v>
      </c>
      <c r="BE58" s="1904">
        <v>0.2</v>
      </c>
      <c r="BF58" s="1904">
        <v>0.2</v>
      </c>
      <c r="BG58" s="1904"/>
      <c r="BH58" s="1911">
        <v>0.2</v>
      </c>
      <c r="BI58" s="1904">
        <v>0.2</v>
      </c>
      <c r="BJ58" s="1904">
        <v>0.2</v>
      </c>
      <c r="BK58" s="1905"/>
      <c r="BL58" s="1904"/>
      <c r="BM58" s="1904"/>
      <c r="BO58" s="1898">
        <v>4.3</v>
      </c>
      <c r="BP58" s="1902" t="s">
        <v>2556</v>
      </c>
      <c r="BQ58" s="1899" t="s">
        <v>2371</v>
      </c>
      <c r="BR58" s="1935">
        <v>0.2</v>
      </c>
      <c r="BS58" s="1935">
        <v>0.2</v>
      </c>
      <c r="BT58" s="1935">
        <v>0.2</v>
      </c>
      <c r="BU58" s="1935">
        <v>0.2</v>
      </c>
      <c r="BV58" s="1935">
        <v>0.2</v>
      </c>
      <c r="BW58" s="1935">
        <v>0.2</v>
      </c>
      <c r="BX58" s="1935"/>
      <c r="BY58" s="1936">
        <v>0.2</v>
      </c>
      <c r="BZ58" s="1935">
        <v>0.2</v>
      </c>
      <c r="CA58" s="1935">
        <v>0.2</v>
      </c>
      <c r="CB58" s="1937"/>
      <c r="CC58" s="1935"/>
      <c r="CD58" s="1935"/>
      <c r="CE58" s="2279"/>
    </row>
    <row r="59" spans="1:84">
      <c r="B59" s="1872" t="str">
        <f t="shared" si="47"/>
        <v>4.3.1</v>
      </c>
      <c r="C59" s="1895" t="str">
        <f t="shared" si="26"/>
        <v>CO2の監視</v>
      </c>
      <c r="D59" s="1885">
        <f>IF(I$58&gt;0,G59/I$58,0)</f>
        <v>0.5</v>
      </c>
      <c r="E59" s="1897">
        <f>IF(J$58&gt;0,H59/J$58,0)</f>
        <v>0</v>
      </c>
      <c r="G59" s="1897">
        <f t="shared" si="27"/>
        <v>0.41379310344827586</v>
      </c>
      <c r="H59" s="1897">
        <f t="shared" si="28"/>
        <v>0</v>
      </c>
      <c r="I59" s="1897"/>
      <c r="J59" s="1897"/>
      <c r="K59" s="1897">
        <f>IF(スコア!M59=0,0,1)</f>
        <v>1</v>
      </c>
      <c r="L59" s="1897">
        <f>IF(スコア!O59=0,0,1)</f>
        <v>0</v>
      </c>
      <c r="M59" s="1897">
        <f t="shared" si="29"/>
        <v>0.41379310344827586</v>
      </c>
      <c r="N59" s="1897">
        <f t="shared" si="30"/>
        <v>0</v>
      </c>
      <c r="P59" s="1898" t="str">
        <f t="shared" si="31"/>
        <v>4.3.1</v>
      </c>
      <c r="Q59" s="1898" t="str">
        <f t="shared" si="32"/>
        <v xml:space="preserve"> Q1 4.3</v>
      </c>
      <c r="R59" s="1899" t="str">
        <f t="shared" si="33"/>
        <v>CO2の監視</v>
      </c>
      <c r="S59" s="1900">
        <f t="shared" si="34"/>
        <v>0.5</v>
      </c>
      <c r="T59" s="1900">
        <f t="shared" si="35"/>
        <v>0.5</v>
      </c>
      <c r="U59" s="1900">
        <f t="shared" si="36"/>
        <v>0.5</v>
      </c>
      <c r="V59" s="1900">
        <f t="shared" si="37"/>
        <v>0.5</v>
      </c>
      <c r="W59" s="1900">
        <f t="shared" si="38"/>
        <v>0</v>
      </c>
      <c r="X59" s="1900">
        <f t="shared" si="39"/>
        <v>0</v>
      </c>
      <c r="Y59" s="1900">
        <f t="shared" si="40"/>
        <v>0</v>
      </c>
      <c r="Z59" s="1908">
        <f t="shared" si="41"/>
        <v>0.5</v>
      </c>
      <c r="AA59" s="1900">
        <f t="shared" si="42"/>
        <v>0.5</v>
      </c>
      <c r="AB59" s="1900">
        <f t="shared" si="43"/>
        <v>0.5</v>
      </c>
      <c r="AC59" s="1901">
        <f t="shared" si="44"/>
        <v>0</v>
      </c>
      <c r="AD59" s="1900">
        <f t="shared" si="45"/>
        <v>0</v>
      </c>
      <c r="AE59" s="1900">
        <f t="shared" si="46"/>
        <v>0</v>
      </c>
      <c r="AG59" s="1898" t="s">
        <v>2719</v>
      </c>
      <c r="AH59" s="1902" t="s">
        <v>2565</v>
      </c>
      <c r="AI59" s="1899" t="s">
        <v>2720</v>
      </c>
      <c r="AJ59" s="1935">
        <v>0.5</v>
      </c>
      <c r="AK59" s="1935">
        <v>0.5</v>
      </c>
      <c r="AL59" s="1935">
        <v>0.5</v>
      </c>
      <c r="AM59" s="1935">
        <v>0.5</v>
      </c>
      <c r="AN59" s="1935"/>
      <c r="AO59" s="1935"/>
      <c r="AP59" s="1935"/>
      <c r="AQ59" s="1936">
        <v>0.5</v>
      </c>
      <c r="AR59" s="1935">
        <v>0.5</v>
      </c>
      <c r="AS59" s="1904">
        <v>0.5</v>
      </c>
      <c r="AT59" s="1905"/>
      <c r="AU59" s="1904"/>
      <c r="AV59" s="1904"/>
      <c r="AX59" s="1898" t="s">
        <v>2719</v>
      </c>
      <c r="AY59" s="1902" t="s">
        <v>2565</v>
      </c>
      <c r="AZ59" s="1899" t="s">
        <v>2720</v>
      </c>
      <c r="BA59" s="1904">
        <v>0.5</v>
      </c>
      <c r="BB59" s="1904">
        <v>0.5</v>
      </c>
      <c r="BC59" s="1904">
        <v>0.5</v>
      </c>
      <c r="BD59" s="1904">
        <v>0.5</v>
      </c>
      <c r="BE59" s="1904"/>
      <c r="BF59" s="1904"/>
      <c r="BG59" s="1904"/>
      <c r="BH59" s="1911">
        <v>0.5</v>
      </c>
      <c r="BI59" s="1904">
        <v>0.5</v>
      </c>
      <c r="BJ59" s="1904">
        <v>0.5</v>
      </c>
      <c r="BK59" s="1905"/>
      <c r="BL59" s="1904"/>
      <c r="BM59" s="1904"/>
      <c r="BO59" s="1898" t="s">
        <v>2719</v>
      </c>
      <c r="BP59" s="1902" t="s">
        <v>2565</v>
      </c>
      <c r="BQ59" s="1899" t="s">
        <v>2720</v>
      </c>
      <c r="BR59" s="1935">
        <v>0.5</v>
      </c>
      <c r="BS59" s="1935">
        <v>0.5</v>
      </c>
      <c r="BT59" s="1935">
        <v>0.5</v>
      </c>
      <c r="BU59" s="1935">
        <v>0.5</v>
      </c>
      <c r="BV59" s="1935"/>
      <c r="BW59" s="1935"/>
      <c r="BX59" s="1935"/>
      <c r="BY59" s="1936">
        <v>0.5</v>
      </c>
      <c r="BZ59" s="1935">
        <v>0.5</v>
      </c>
      <c r="CA59" s="1935">
        <v>0.5</v>
      </c>
      <c r="CB59" s="1937"/>
      <c r="CC59" s="1935"/>
      <c r="CD59" s="1935"/>
      <c r="CE59" s="2279"/>
    </row>
    <row r="60" spans="1:84">
      <c r="B60" s="1872" t="str">
        <f t="shared" si="47"/>
        <v>4.3.2</v>
      </c>
      <c r="C60" s="1895" t="str">
        <f t="shared" si="26"/>
        <v>喫煙の制御</v>
      </c>
      <c r="D60" s="1885">
        <f>IF(I$58&gt;0,G60/I$58,0)</f>
        <v>0.5</v>
      </c>
      <c r="E60" s="1897">
        <f>IF(J$58&gt;0,H60/J$58,0)</f>
        <v>0</v>
      </c>
      <c r="G60" s="1897">
        <f t="shared" si="27"/>
        <v>0.41379310344827586</v>
      </c>
      <c r="H60" s="1897">
        <f t="shared" si="28"/>
        <v>0</v>
      </c>
      <c r="I60" s="1897"/>
      <c r="J60" s="1897"/>
      <c r="K60" s="1897">
        <f>IF(スコア!M60=0,0,1)</f>
        <v>1</v>
      </c>
      <c r="L60" s="1897">
        <f>IF(スコア!O60=0,0,1)</f>
        <v>0</v>
      </c>
      <c r="M60" s="1897">
        <f t="shared" si="29"/>
        <v>0.41379310344827586</v>
      </c>
      <c r="N60" s="1897">
        <f t="shared" si="30"/>
        <v>0</v>
      </c>
      <c r="P60" s="1898" t="str">
        <f t="shared" si="31"/>
        <v>4.3.2</v>
      </c>
      <c r="Q60" s="1898" t="str">
        <f t="shared" si="32"/>
        <v xml:space="preserve"> Q1 4.3</v>
      </c>
      <c r="R60" s="1899" t="str">
        <f t="shared" si="33"/>
        <v>喫煙の制御</v>
      </c>
      <c r="S60" s="1900">
        <f t="shared" si="34"/>
        <v>0.5</v>
      </c>
      <c r="T60" s="1900">
        <f t="shared" si="35"/>
        <v>0.5</v>
      </c>
      <c r="U60" s="1900">
        <f t="shared" si="36"/>
        <v>0.5</v>
      </c>
      <c r="V60" s="1900">
        <f t="shared" si="37"/>
        <v>0.5</v>
      </c>
      <c r="W60" s="1900">
        <f t="shared" si="38"/>
        <v>1</v>
      </c>
      <c r="X60" s="1900">
        <f t="shared" si="39"/>
        <v>1</v>
      </c>
      <c r="Y60" s="1900">
        <f t="shared" si="40"/>
        <v>0</v>
      </c>
      <c r="Z60" s="1908">
        <f t="shared" si="41"/>
        <v>0.5</v>
      </c>
      <c r="AA60" s="1900">
        <f t="shared" si="42"/>
        <v>0.5</v>
      </c>
      <c r="AB60" s="1900">
        <f t="shared" si="43"/>
        <v>0.5</v>
      </c>
      <c r="AC60" s="1901">
        <f t="shared" si="44"/>
        <v>0</v>
      </c>
      <c r="AD60" s="1900">
        <f t="shared" si="45"/>
        <v>0</v>
      </c>
      <c r="AE60" s="1900">
        <f t="shared" si="46"/>
        <v>0</v>
      </c>
      <c r="AG60" s="1898" t="s">
        <v>2721</v>
      </c>
      <c r="AH60" s="1902" t="s">
        <v>2565</v>
      </c>
      <c r="AI60" s="1899" t="s">
        <v>2722</v>
      </c>
      <c r="AJ60" s="1935">
        <v>0.5</v>
      </c>
      <c r="AK60" s="1935">
        <v>0.5</v>
      </c>
      <c r="AL60" s="1935">
        <v>0.5</v>
      </c>
      <c r="AM60" s="1935">
        <v>0.5</v>
      </c>
      <c r="AN60" s="1935">
        <v>1</v>
      </c>
      <c r="AO60" s="1935">
        <v>1</v>
      </c>
      <c r="AP60" s="1935"/>
      <c r="AQ60" s="1936">
        <v>0.5</v>
      </c>
      <c r="AR60" s="1935">
        <v>0.5</v>
      </c>
      <c r="AS60" s="1904">
        <v>0.5</v>
      </c>
      <c r="AT60" s="1905"/>
      <c r="AU60" s="1904"/>
      <c r="AV60" s="1904"/>
      <c r="AX60" s="1898" t="s">
        <v>2721</v>
      </c>
      <c r="AY60" s="1902" t="s">
        <v>2565</v>
      </c>
      <c r="AZ60" s="1899" t="s">
        <v>2722</v>
      </c>
      <c r="BA60" s="1904">
        <v>0.5</v>
      </c>
      <c r="BB60" s="1904">
        <v>0.5</v>
      </c>
      <c r="BC60" s="1904">
        <v>0.5</v>
      </c>
      <c r="BD60" s="1904">
        <v>0.5</v>
      </c>
      <c r="BE60" s="1904">
        <v>1</v>
      </c>
      <c r="BF60" s="1904">
        <v>1</v>
      </c>
      <c r="BG60" s="1904"/>
      <c r="BH60" s="1911">
        <v>0.5</v>
      </c>
      <c r="BI60" s="1904">
        <v>0.5</v>
      </c>
      <c r="BJ60" s="1904">
        <v>0.5</v>
      </c>
      <c r="BK60" s="1905"/>
      <c r="BL60" s="1904"/>
      <c r="BM60" s="1904"/>
      <c r="BO60" s="1898" t="s">
        <v>2721</v>
      </c>
      <c r="BP60" s="1902" t="s">
        <v>2565</v>
      </c>
      <c r="BQ60" s="1899" t="s">
        <v>2722</v>
      </c>
      <c r="BR60" s="1935">
        <v>0.5</v>
      </c>
      <c r="BS60" s="1935">
        <v>0.5</v>
      </c>
      <c r="BT60" s="1935">
        <v>0.5</v>
      </c>
      <c r="BU60" s="1935">
        <v>0.5</v>
      </c>
      <c r="BV60" s="1935">
        <v>1</v>
      </c>
      <c r="BW60" s="1935">
        <v>1</v>
      </c>
      <c r="BX60" s="1935"/>
      <c r="BY60" s="1936">
        <v>0.5</v>
      </c>
      <c r="BZ60" s="1935">
        <v>0.5</v>
      </c>
      <c r="CA60" s="1935">
        <v>0.5</v>
      </c>
      <c r="CB60" s="1937"/>
      <c r="CC60" s="1935"/>
      <c r="CD60" s="1935"/>
      <c r="CE60" s="2279"/>
    </row>
    <row r="61" spans="1:84" s="1355" customFormat="1">
      <c r="A61"/>
      <c r="B61" s="1872" t="str">
        <f t="shared" si="47"/>
        <v>Q2</v>
      </c>
      <c r="C61" s="1876" t="str">
        <f t="shared" si="26"/>
        <v>サービス性能</v>
      </c>
      <c r="D61" s="1874">
        <f>IF(I$8=0,0,G61/I$8)</f>
        <v>0.3</v>
      </c>
      <c r="E61" s="1875">
        <f>IF(J$8=0,0,H61/J$8)</f>
        <v>0</v>
      </c>
      <c r="F61"/>
      <c r="G61" s="1875">
        <f t="shared" si="27"/>
        <v>0.3</v>
      </c>
      <c r="H61" s="1875">
        <f t="shared" si="28"/>
        <v>0</v>
      </c>
      <c r="I61" s="1875">
        <f>G62+G75+G97</f>
        <v>1</v>
      </c>
      <c r="J61" s="1875">
        <f>H62+H75+H97</f>
        <v>0</v>
      </c>
      <c r="K61" s="1875">
        <f>IF(スコア!Q61=0,0,1)</f>
        <v>1</v>
      </c>
      <c r="L61" s="1875">
        <f>IF(スコア!O61=0,0,1)</f>
        <v>0</v>
      </c>
      <c r="M61" s="1875">
        <f t="shared" si="29"/>
        <v>0.3</v>
      </c>
      <c r="N61" s="1875">
        <f t="shared" si="30"/>
        <v>0</v>
      </c>
      <c r="O61"/>
      <c r="P61" s="1872" t="str">
        <f t="shared" si="31"/>
        <v>Q2</v>
      </c>
      <c r="Q61" s="1872" t="str">
        <f t="shared" si="32"/>
        <v xml:space="preserve"> Q</v>
      </c>
      <c r="R61" s="1876" t="str">
        <f t="shared" si="33"/>
        <v>サービス性能</v>
      </c>
      <c r="S61" s="1877">
        <f t="shared" si="34"/>
        <v>0.3</v>
      </c>
      <c r="T61" s="1877">
        <f t="shared" si="35"/>
        <v>0.3</v>
      </c>
      <c r="U61" s="1877">
        <f t="shared" si="36"/>
        <v>0.3</v>
      </c>
      <c r="V61" s="1877">
        <f t="shared" si="37"/>
        <v>0.3</v>
      </c>
      <c r="W61" s="1877">
        <f t="shared" si="38"/>
        <v>0.3</v>
      </c>
      <c r="X61" s="1877">
        <f t="shared" si="39"/>
        <v>0.3</v>
      </c>
      <c r="Y61" s="1877">
        <f t="shared" si="40"/>
        <v>0.3</v>
      </c>
      <c r="Z61" s="1877">
        <f t="shared" si="41"/>
        <v>0.3</v>
      </c>
      <c r="AA61" s="1877">
        <f t="shared" si="42"/>
        <v>0.3</v>
      </c>
      <c r="AB61" s="1877">
        <f t="shared" si="43"/>
        <v>0.3</v>
      </c>
      <c r="AC61" s="1878">
        <f t="shared" si="44"/>
        <v>0</v>
      </c>
      <c r="AD61" s="1877">
        <f t="shared" si="45"/>
        <v>0</v>
      </c>
      <c r="AE61" s="1877">
        <f t="shared" si="46"/>
        <v>0</v>
      </c>
      <c r="AF61"/>
      <c r="AG61" s="1872" t="s">
        <v>2723</v>
      </c>
      <c r="AH61" s="1879" t="s">
        <v>940</v>
      </c>
      <c r="AI61" s="1876" t="s">
        <v>2724</v>
      </c>
      <c r="AJ61" s="1877">
        <v>0.3</v>
      </c>
      <c r="AK61" s="1877">
        <v>0.3</v>
      </c>
      <c r="AL61" s="1877">
        <v>0.3</v>
      </c>
      <c r="AM61" s="1877">
        <v>0.3</v>
      </c>
      <c r="AN61" s="1877">
        <v>0.3</v>
      </c>
      <c r="AO61" s="1877">
        <v>0.3</v>
      </c>
      <c r="AP61" s="1877">
        <v>0.3</v>
      </c>
      <c r="AQ61" s="1877">
        <v>0.3</v>
      </c>
      <c r="AR61" s="1877">
        <v>0.3</v>
      </c>
      <c r="AS61" s="1880">
        <v>0.3</v>
      </c>
      <c r="AT61" s="1881">
        <v>0</v>
      </c>
      <c r="AU61" s="1880">
        <v>0</v>
      </c>
      <c r="AV61" s="1880">
        <v>0</v>
      </c>
      <c r="AW61"/>
      <c r="AX61" s="1872" t="s">
        <v>2723</v>
      </c>
      <c r="AY61" s="1879" t="s">
        <v>940</v>
      </c>
      <c r="AZ61" s="1876" t="s">
        <v>2724</v>
      </c>
      <c r="BA61" s="1880">
        <v>0.3</v>
      </c>
      <c r="BB61" s="1880">
        <v>0.3</v>
      </c>
      <c r="BC61" s="1880">
        <v>0.3</v>
      </c>
      <c r="BD61" s="1880">
        <v>0.3</v>
      </c>
      <c r="BE61" s="1880">
        <v>0.3</v>
      </c>
      <c r="BF61" s="1880">
        <v>0.3</v>
      </c>
      <c r="BG61" s="1880">
        <v>0.3</v>
      </c>
      <c r="BH61" s="1880">
        <v>0.3</v>
      </c>
      <c r="BI61" s="1880">
        <v>0.3</v>
      </c>
      <c r="BJ61" s="1880">
        <v>0.3</v>
      </c>
      <c r="BK61" s="1881"/>
      <c r="BL61" s="1880"/>
      <c r="BM61" s="1880"/>
      <c r="BN61"/>
      <c r="BO61" s="1872" t="s">
        <v>2723</v>
      </c>
      <c r="BP61" s="1879" t="s">
        <v>940</v>
      </c>
      <c r="BQ61" s="1876" t="s">
        <v>2724</v>
      </c>
      <c r="BR61" s="1880">
        <v>0.3</v>
      </c>
      <c r="BS61" s="1880">
        <v>0.3</v>
      </c>
      <c r="BT61" s="1880">
        <v>0.3</v>
      </c>
      <c r="BU61" s="1880">
        <v>0.3</v>
      </c>
      <c r="BV61" s="1880">
        <v>0.3</v>
      </c>
      <c r="BW61" s="1880">
        <v>0.3</v>
      </c>
      <c r="BX61" s="1880">
        <v>0.3</v>
      </c>
      <c r="BY61" s="1880">
        <v>0.3</v>
      </c>
      <c r="BZ61" s="1880">
        <v>0.3</v>
      </c>
      <c r="CA61" s="1880">
        <v>0.3</v>
      </c>
      <c r="CB61" s="1881"/>
      <c r="CC61" s="1880"/>
      <c r="CD61" s="1880"/>
      <c r="CE61" s="2276"/>
      <c r="CF61"/>
    </row>
    <row r="62" spans="1:84" s="1355" customFormat="1">
      <c r="A62"/>
      <c r="B62" s="1872">
        <f t="shared" si="47"/>
        <v>1</v>
      </c>
      <c r="C62" s="1887" t="str">
        <f t="shared" si="26"/>
        <v>機能性</v>
      </c>
      <c r="D62" s="1883">
        <f>IF(I$61=0,0,G62/I$61)</f>
        <v>0.4</v>
      </c>
      <c r="E62" s="1884">
        <f>IF(J$61=0,0,H62/J$61)</f>
        <v>0</v>
      </c>
      <c r="F62"/>
      <c r="G62" s="1884">
        <f t="shared" si="27"/>
        <v>0.4</v>
      </c>
      <c r="H62" s="1884">
        <f t="shared" si="28"/>
        <v>0</v>
      </c>
      <c r="I62" s="1884">
        <f>G63+G67+G71</f>
        <v>1</v>
      </c>
      <c r="J62" s="1884">
        <f>H63+H67+H71</f>
        <v>0.17241379310344829</v>
      </c>
      <c r="K62" s="1884">
        <f>IF(L62&gt;0,1,IF(スコア!M62=0,0,1))</f>
        <v>1</v>
      </c>
      <c r="L62" s="1884">
        <f>IF(スコア!O62=0,0,1)</f>
        <v>1</v>
      </c>
      <c r="M62" s="1884">
        <f t="shared" si="29"/>
        <v>0.4</v>
      </c>
      <c r="N62" s="1884">
        <f t="shared" si="30"/>
        <v>0</v>
      </c>
      <c r="O62"/>
      <c r="P62" s="1886">
        <f t="shared" si="31"/>
        <v>1</v>
      </c>
      <c r="Q62" s="1886" t="str">
        <f t="shared" si="32"/>
        <v xml:space="preserve"> Q2</v>
      </c>
      <c r="R62" s="1887" t="str">
        <f t="shared" si="33"/>
        <v>機能性</v>
      </c>
      <c r="S62" s="1940">
        <f t="shared" si="34"/>
        <v>0.4</v>
      </c>
      <c r="T62" s="1940">
        <f t="shared" si="35"/>
        <v>0.4</v>
      </c>
      <c r="U62" s="1940">
        <f t="shared" si="36"/>
        <v>0.4</v>
      </c>
      <c r="V62" s="1940">
        <f t="shared" si="37"/>
        <v>0.4</v>
      </c>
      <c r="W62" s="1940">
        <f t="shared" si="38"/>
        <v>0.4</v>
      </c>
      <c r="X62" s="1940">
        <f t="shared" si="39"/>
        <v>0.4</v>
      </c>
      <c r="Y62" s="1940">
        <f t="shared" si="40"/>
        <v>0.4</v>
      </c>
      <c r="Z62" s="1912">
        <f t="shared" si="41"/>
        <v>0.4</v>
      </c>
      <c r="AA62" s="2391">
        <f>IF(Q3="coCASB",0,IF($P$3=1,BI62,IF($P$3=2,BZ62,AR62)))</f>
        <v>0.4</v>
      </c>
      <c r="AB62" s="1940">
        <f t="shared" si="43"/>
        <v>0.4</v>
      </c>
      <c r="AC62" s="1941">
        <f t="shared" si="44"/>
        <v>0</v>
      </c>
      <c r="AD62" s="1940">
        <f t="shared" si="45"/>
        <v>0</v>
      </c>
      <c r="AE62" s="1940">
        <f t="shared" si="46"/>
        <v>0</v>
      </c>
      <c r="AF62"/>
      <c r="AG62" s="1886">
        <v>1</v>
      </c>
      <c r="AH62" s="1891" t="s">
        <v>2566</v>
      </c>
      <c r="AI62" s="1887" t="s">
        <v>2567</v>
      </c>
      <c r="AJ62" s="1940">
        <v>0.4</v>
      </c>
      <c r="AK62" s="1940">
        <v>0.4</v>
      </c>
      <c r="AL62" s="1940">
        <v>0.4</v>
      </c>
      <c r="AM62" s="1940">
        <v>0.4</v>
      </c>
      <c r="AN62" s="1940">
        <v>0.4</v>
      </c>
      <c r="AO62" s="1940">
        <v>0.4</v>
      </c>
      <c r="AP62" s="1940">
        <v>0.4</v>
      </c>
      <c r="AQ62" s="1912">
        <v>0.4</v>
      </c>
      <c r="AR62" s="1940">
        <v>0.4</v>
      </c>
      <c r="AS62" s="1942">
        <v>0.4</v>
      </c>
      <c r="AT62" s="1943"/>
      <c r="AU62" s="1942"/>
      <c r="AV62" s="1942"/>
      <c r="AW62"/>
      <c r="AX62" s="1886">
        <v>1</v>
      </c>
      <c r="AY62" s="1891" t="s">
        <v>2566</v>
      </c>
      <c r="AZ62" s="1887" t="s">
        <v>2567</v>
      </c>
      <c r="BA62" s="1942">
        <v>0.4</v>
      </c>
      <c r="BB62" s="1942">
        <v>0.4</v>
      </c>
      <c r="BC62" s="1942">
        <v>0.4</v>
      </c>
      <c r="BD62" s="1942">
        <v>0.4</v>
      </c>
      <c r="BE62" s="1942">
        <v>0.4</v>
      </c>
      <c r="BF62" s="1942">
        <v>0.4</v>
      </c>
      <c r="BG62" s="1942">
        <v>0.4</v>
      </c>
      <c r="BH62" s="1944">
        <v>0.4</v>
      </c>
      <c r="BI62" s="1942">
        <v>0.4</v>
      </c>
      <c r="BJ62" s="1942">
        <v>0.4</v>
      </c>
      <c r="BK62" s="1943"/>
      <c r="BL62" s="1942"/>
      <c r="BM62" s="1942"/>
      <c r="BN62"/>
      <c r="BO62" s="1886">
        <v>1</v>
      </c>
      <c r="BP62" s="1891" t="s">
        <v>2566</v>
      </c>
      <c r="BQ62" s="1887" t="s">
        <v>2567</v>
      </c>
      <c r="BR62" s="1942">
        <v>0.4</v>
      </c>
      <c r="BS62" s="1942">
        <v>0.4</v>
      </c>
      <c r="BT62" s="1942">
        <v>0.4</v>
      </c>
      <c r="BU62" s="1942">
        <v>0.4</v>
      </c>
      <c r="BV62" s="1942">
        <v>0.4</v>
      </c>
      <c r="BW62" s="1942">
        <v>0.4</v>
      </c>
      <c r="BX62" s="1942">
        <v>0.4</v>
      </c>
      <c r="BY62" s="1944">
        <v>0.4</v>
      </c>
      <c r="BZ62" s="1942">
        <v>0.4</v>
      </c>
      <c r="CA62" s="1942">
        <v>0.4</v>
      </c>
      <c r="CB62" s="1943"/>
      <c r="CC62" s="1942"/>
      <c r="CD62" s="1942"/>
      <c r="CE62" s="2276"/>
      <c r="CF62"/>
    </row>
    <row r="63" spans="1:84">
      <c r="B63" s="1872">
        <f t="shared" si="47"/>
        <v>1.1000000000000001</v>
      </c>
      <c r="C63" s="1895" t="str">
        <f t="shared" si="26"/>
        <v>機能性・使いやすさ</v>
      </c>
      <c r="D63" s="1896">
        <f>IF(I$62=0,0,G63/I$62)</f>
        <v>0.4</v>
      </c>
      <c r="E63" s="1897">
        <f>IF(J$62=0,0,H63/J$62)</f>
        <v>0.6</v>
      </c>
      <c r="G63" s="1897">
        <f t="shared" si="27"/>
        <v>0.4</v>
      </c>
      <c r="H63" s="1897">
        <f t="shared" si="28"/>
        <v>0.10344827586206896</v>
      </c>
      <c r="I63" s="1897">
        <f>SUM(G64:G66)</f>
        <v>1</v>
      </c>
      <c r="J63" s="1897">
        <f>SUM(H64:H66)</f>
        <v>0.17241379310344829</v>
      </c>
      <c r="K63" s="1897">
        <f>IF(スコア!M63=0,0,1)</f>
        <v>1</v>
      </c>
      <c r="L63" s="1897">
        <f>IF(スコア!O63=0,0,1)</f>
        <v>1</v>
      </c>
      <c r="M63" s="1897">
        <f t="shared" si="29"/>
        <v>0.4</v>
      </c>
      <c r="N63" s="1897">
        <f t="shared" si="30"/>
        <v>0.10344827586206896</v>
      </c>
      <c r="P63" s="1898">
        <f t="shared" si="31"/>
        <v>1.1000000000000001</v>
      </c>
      <c r="Q63" s="1898" t="str">
        <f t="shared" si="32"/>
        <v xml:space="preserve"> Q2 1</v>
      </c>
      <c r="R63" s="1899" t="str">
        <f t="shared" si="33"/>
        <v>機能性・使いやすさ</v>
      </c>
      <c r="S63" s="1900">
        <f t="shared" si="34"/>
        <v>0.4</v>
      </c>
      <c r="T63" s="1900">
        <f t="shared" si="35"/>
        <v>0.4</v>
      </c>
      <c r="U63" s="1900">
        <f t="shared" si="36"/>
        <v>0.4</v>
      </c>
      <c r="V63" s="1900">
        <f t="shared" si="37"/>
        <v>0.4</v>
      </c>
      <c r="W63" s="1900">
        <f t="shared" si="38"/>
        <v>0.4</v>
      </c>
      <c r="X63" s="1900">
        <f t="shared" si="39"/>
        <v>0.4</v>
      </c>
      <c r="Y63" s="1900">
        <f t="shared" si="40"/>
        <v>0.4</v>
      </c>
      <c r="Z63" s="1914">
        <f t="shared" si="41"/>
        <v>0.4</v>
      </c>
      <c r="AA63" s="1900">
        <f t="shared" si="42"/>
        <v>0.4</v>
      </c>
      <c r="AB63" s="1900">
        <f t="shared" si="43"/>
        <v>0.4</v>
      </c>
      <c r="AC63" s="1901">
        <f t="shared" si="44"/>
        <v>0.6</v>
      </c>
      <c r="AD63" s="1900">
        <f t="shared" si="45"/>
        <v>0.6</v>
      </c>
      <c r="AE63" s="1900">
        <f t="shared" si="46"/>
        <v>0.6</v>
      </c>
      <c r="AG63" s="1898">
        <v>1.1000000000000001</v>
      </c>
      <c r="AH63" s="1902" t="s">
        <v>2568</v>
      </c>
      <c r="AI63" s="1899" t="s">
        <v>2569</v>
      </c>
      <c r="AJ63" s="1900">
        <v>0.4</v>
      </c>
      <c r="AK63" s="1900">
        <v>0.4</v>
      </c>
      <c r="AL63" s="1900">
        <v>0.4</v>
      </c>
      <c r="AM63" s="1903">
        <v>0.4</v>
      </c>
      <c r="AN63" s="1903">
        <v>0.4</v>
      </c>
      <c r="AO63" s="1900">
        <v>0.4</v>
      </c>
      <c r="AP63" s="1903">
        <v>0.4</v>
      </c>
      <c r="AQ63" s="1900">
        <v>0.4</v>
      </c>
      <c r="AR63" s="1903">
        <v>0.4</v>
      </c>
      <c r="AS63" s="1904">
        <v>0.4</v>
      </c>
      <c r="AT63" s="1904">
        <v>0.6</v>
      </c>
      <c r="AU63" s="1904">
        <v>0.6</v>
      </c>
      <c r="AV63" s="1904">
        <v>0.6</v>
      </c>
      <c r="AX63" s="1898">
        <v>1.1000000000000001</v>
      </c>
      <c r="AY63" s="1902" t="s">
        <v>2568</v>
      </c>
      <c r="AZ63" s="1899" t="s">
        <v>2569</v>
      </c>
      <c r="BA63" s="1904">
        <v>0.4</v>
      </c>
      <c r="BB63" s="1904">
        <v>0.4</v>
      </c>
      <c r="BC63" s="1904">
        <v>0.4</v>
      </c>
      <c r="BD63" s="1904">
        <v>0.4</v>
      </c>
      <c r="BE63" s="1904">
        <v>0.4</v>
      </c>
      <c r="BF63" s="1904">
        <v>0.4</v>
      </c>
      <c r="BG63" s="1904">
        <v>0.4</v>
      </c>
      <c r="BH63" s="1911">
        <v>0.4</v>
      </c>
      <c r="BI63" s="1904">
        <v>0.4</v>
      </c>
      <c r="BJ63" s="1904">
        <v>0.4</v>
      </c>
      <c r="BK63" s="1904">
        <v>0.6</v>
      </c>
      <c r="BL63" s="1904">
        <v>0.6</v>
      </c>
      <c r="BM63" s="1904">
        <v>0.6</v>
      </c>
      <c r="BO63" s="1898">
        <v>1.1000000000000001</v>
      </c>
      <c r="BP63" s="1902" t="s">
        <v>2568</v>
      </c>
      <c r="BQ63" s="1899" t="s">
        <v>2569</v>
      </c>
      <c r="BR63" s="1904">
        <v>0.4</v>
      </c>
      <c r="BS63" s="1904">
        <v>0.4</v>
      </c>
      <c r="BT63" s="1904">
        <v>0.4</v>
      </c>
      <c r="BU63" s="1904">
        <v>0.4</v>
      </c>
      <c r="BV63" s="1904">
        <v>0.4</v>
      </c>
      <c r="BW63" s="1904">
        <v>0.4</v>
      </c>
      <c r="BX63" s="1904">
        <v>0.4</v>
      </c>
      <c r="BY63" s="1911">
        <v>0.4</v>
      </c>
      <c r="BZ63" s="1904">
        <v>0.4</v>
      </c>
      <c r="CA63" s="1904">
        <v>0.4</v>
      </c>
      <c r="CB63" s="1904">
        <v>0.6</v>
      </c>
      <c r="CC63" s="1904">
        <v>0.6</v>
      </c>
      <c r="CD63" s="1904">
        <v>0.6</v>
      </c>
      <c r="CE63" s="2278"/>
    </row>
    <row r="64" spans="1:84">
      <c r="B64" s="1872" t="str">
        <f t="shared" si="47"/>
        <v>1.1.1</v>
      </c>
      <c r="C64" s="1895" t="str">
        <f t="shared" si="26"/>
        <v>広さ・収納性</v>
      </c>
      <c r="D64" s="1885">
        <f t="shared" ref="D64:E66" si="50">IF(I$63&gt;0,G64/I$63,0)</f>
        <v>0.25287356321839083</v>
      </c>
      <c r="E64" s="1897">
        <f t="shared" si="50"/>
        <v>0</v>
      </c>
      <c r="G64" s="1897">
        <f t="shared" si="27"/>
        <v>0.25287356321839083</v>
      </c>
      <c r="H64" s="1897">
        <f t="shared" si="28"/>
        <v>0</v>
      </c>
      <c r="I64" s="1897"/>
      <c r="J64" s="1897"/>
      <c r="K64" s="1897">
        <f>IF(スコア!M64=0,0,1)</f>
        <v>1</v>
      </c>
      <c r="L64" s="1897">
        <f>IF(スコア!O64=0,0,1)</f>
        <v>1</v>
      </c>
      <c r="M64" s="1897">
        <f t="shared" si="29"/>
        <v>0.25287356321839083</v>
      </c>
      <c r="N64" s="1897">
        <f t="shared" si="30"/>
        <v>0</v>
      </c>
      <c r="P64" s="1898" t="str">
        <f t="shared" si="31"/>
        <v>1.1.1</v>
      </c>
      <c r="Q64" s="1898" t="str">
        <f t="shared" si="32"/>
        <v xml:space="preserve"> Q2 1.1</v>
      </c>
      <c r="R64" s="1899" t="str">
        <f t="shared" si="33"/>
        <v>広さ・収納性</v>
      </c>
      <c r="S64" s="1900">
        <f t="shared" si="34"/>
        <v>0.33333333333333331</v>
      </c>
      <c r="T64" s="1900">
        <f t="shared" si="35"/>
        <v>0</v>
      </c>
      <c r="U64" s="1900">
        <f t="shared" si="36"/>
        <v>0</v>
      </c>
      <c r="V64" s="1900">
        <f t="shared" si="37"/>
        <v>0</v>
      </c>
      <c r="W64" s="1900">
        <f t="shared" si="38"/>
        <v>0</v>
      </c>
      <c r="X64" s="1900">
        <f t="shared" si="39"/>
        <v>0</v>
      </c>
      <c r="Y64" s="1900">
        <f t="shared" si="40"/>
        <v>0</v>
      </c>
      <c r="Z64" s="1914">
        <f t="shared" si="41"/>
        <v>0</v>
      </c>
      <c r="AA64" s="1900">
        <f t="shared" si="42"/>
        <v>0.33333333333333331</v>
      </c>
      <c r="AB64" s="1900">
        <f t="shared" si="43"/>
        <v>0.5</v>
      </c>
      <c r="AC64" s="1901">
        <f t="shared" si="44"/>
        <v>1</v>
      </c>
      <c r="AD64" s="1900">
        <f t="shared" si="45"/>
        <v>0.5</v>
      </c>
      <c r="AE64" s="1900">
        <f t="shared" si="46"/>
        <v>0</v>
      </c>
      <c r="AG64" s="1898" t="s">
        <v>2725</v>
      </c>
      <c r="AH64" s="1902" t="s">
        <v>2570</v>
      </c>
      <c r="AI64" s="1899" t="s">
        <v>2571</v>
      </c>
      <c r="AJ64" s="1938">
        <v>0.33333333333333331</v>
      </c>
      <c r="AK64" s="1900"/>
      <c r="AL64" s="1900"/>
      <c r="AM64" s="1900"/>
      <c r="AN64" s="1900"/>
      <c r="AO64" s="1900"/>
      <c r="AP64" s="1900"/>
      <c r="AQ64" s="1914"/>
      <c r="AR64" s="1938">
        <v>0.33333333333333331</v>
      </c>
      <c r="AS64" s="1918">
        <v>0.5</v>
      </c>
      <c r="AT64" s="1905">
        <v>1</v>
      </c>
      <c r="AU64" s="1904">
        <v>0.5</v>
      </c>
      <c r="AV64" s="1904"/>
      <c r="AX64" s="1898" t="s">
        <v>2725</v>
      </c>
      <c r="AY64" s="1902" t="s">
        <v>2570</v>
      </c>
      <c r="AZ64" s="1899" t="s">
        <v>2571</v>
      </c>
      <c r="BA64" s="1904">
        <v>0.33333333333333331</v>
      </c>
      <c r="BB64" s="1904"/>
      <c r="BC64" s="1904"/>
      <c r="BD64" s="1904"/>
      <c r="BE64" s="1904"/>
      <c r="BF64" s="1904"/>
      <c r="BG64" s="1904"/>
      <c r="BH64" s="1911"/>
      <c r="BI64" s="1904">
        <v>0.33333333333333331</v>
      </c>
      <c r="BJ64" s="1904">
        <v>0.5</v>
      </c>
      <c r="BK64" s="1905">
        <v>1</v>
      </c>
      <c r="BL64" s="1904">
        <v>0.5</v>
      </c>
      <c r="BM64" s="1904"/>
      <c r="BO64" s="1898" t="s">
        <v>2725</v>
      </c>
      <c r="BP64" s="1902" t="s">
        <v>2570</v>
      </c>
      <c r="BQ64" s="1899" t="s">
        <v>2571</v>
      </c>
      <c r="BR64" s="1904">
        <v>0.33333333333333331</v>
      </c>
      <c r="BS64" s="1904"/>
      <c r="BT64" s="1904"/>
      <c r="BU64" s="1904"/>
      <c r="BV64" s="1904"/>
      <c r="BW64" s="1904"/>
      <c r="BX64" s="1904"/>
      <c r="BY64" s="1911"/>
      <c r="BZ64" s="1904">
        <v>0.33333333333333331</v>
      </c>
      <c r="CA64" s="1904"/>
      <c r="CB64" s="1905">
        <v>1</v>
      </c>
      <c r="CC64" s="1904">
        <v>0.5</v>
      </c>
      <c r="CD64" s="1904"/>
      <c r="CE64" s="2278"/>
    </row>
    <row r="65" spans="1:84">
      <c r="B65" s="1872" t="str">
        <f t="shared" si="47"/>
        <v>1.1.2</v>
      </c>
      <c r="C65" s="1895" t="str">
        <f t="shared" si="26"/>
        <v>高度情報通信設備対応</v>
      </c>
      <c r="D65" s="1885">
        <f t="shared" si="50"/>
        <v>0.11494252873563218</v>
      </c>
      <c r="E65" s="1897">
        <f t="shared" si="50"/>
        <v>1</v>
      </c>
      <c r="G65" s="1897">
        <f t="shared" si="27"/>
        <v>0.11494252873563218</v>
      </c>
      <c r="H65" s="1897">
        <f t="shared" si="28"/>
        <v>0.17241379310344829</v>
      </c>
      <c r="I65" s="1897"/>
      <c r="J65" s="1897"/>
      <c r="K65" s="1897">
        <f>IF(スコア!M65=0,0,1)</f>
        <v>1</v>
      </c>
      <c r="L65" s="1897">
        <f>IF(スコア!O65=0,0,1)</f>
        <v>1</v>
      </c>
      <c r="M65" s="1897">
        <f t="shared" si="29"/>
        <v>0.11494252873563218</v>
      </c>
      <c r="N65" s="1897">
        <f t="shared" si="30"/>
        <v>0.17241379310344829</v>
      </c>
      <c r="P65" s="1898" t="str">
        <f t="shared" si="31"/>
        <v>1.1.2</v>
      </c>
      <c r="Q65" s="1898" t="str">
        <f t="shared" si="32"/>
        <v xml:space="preserve"> Q2 1.1</v>
      </c>
      <c r="R65" s="1899" t="str">
        <f t="shared" si="33"/>
        <v>高度情報通信設備対応</v>
      </c>
      <c r="S65" s="1900">
        <f t="shared" si="34"/>
        <v>0.33333333333333331</v>
      </c>
      <c r="T65" s="1900">
        <f t="shared" si="35"/>
        <v>0</v>
      </c>
      <c r="U65" s="1900">
        <f t="shared" si="36"/>
        <v>0</v>
      </c>
      <c r="V65" s="1900">
        <f t="shared" si="37"/>
        <v>0</v>
      </c>
      <c r="W65" s="1900">
        <f t="shared" si="38"/>
        <v>0</v>
      </c>
      <c r="X65" s="1900">
        <f t="shared" si="39"/>
        <v>0</v>
      </c>
      <c r="Y65" s="1900">
        <f t="shared" si="40"/>
        <v>0</v>
      </c>
      <c r="Z65" s="1914">
        <f t="shared" si="41"/>
        <v>0</v>
      </c>
      <c r="AA65" s="1900">
        <f t="shared" si="42"/>
        <v>0.33333333333333331</v>
      </c>
      <c r="AB65" s="1900">
        <f t="shared" si="43"/>
        <v>0</v>
      </c>
      <c r="AC65" s="1901">
        <f t="shared" si="44"/>
        <v>0</v>
      </c>
      <c r="AD65" s="1900">
        <f t="shared" si="45"/>
        <v>0.5</v>
      </c>
      <c r="AE65" s="1900">
        <f t="shared" si="46"/>
        <v>1</v>
      </c>
      <c r="AG65" s="1898" t="s">
        <v>2726</v>
      </c>
      <c r="AH65" s="1902" t="s">
        <v>2570</v>
      </c>
      <c r="AI65" s="1899" t="s">
        <v>2727</v>
      </c>
      <c r="AJ65" s="1938">
        <v>0.33333333333333331</v>
      </c>
      <c r="AK65" s="1900"/>
      <c r="AL65" s="1900"/>
      <c r="AM65" s="1900"/>
      <c r="AN65" s="1900"/>
      <c r="AO65" s="1900"/>
      <c r="AP65" s="1900"/>
      <c r="AQ65" s="1914"/>
      <c r="AR65" s="1938">
        <v>0.33333333333333331</v>
      </c>
      <c r="AS65" s="1918"/>
      <c r="AT65" s="1905"/>
      <c r="AU65" s="1904">
        <v>0.5</v>
      </c>
      <c r="AV65" s="1904">
        <v>1</v>
      </c>
      <c r="AX65" s="1898" t="s">
        <v>2726</v>
      </c>
      <c r="AY65" s="1902" t="s">
        <v>2570</v>
      </c>
      <c r="AZ65" s="1899" t="s">
        <v>2727</v>
      </c>
      <c r="BA65" s="1904">
        <v>0.33333333333333331</v>
      </c>
      <c r="BB65" s="1904"/>
      <c r="BC65" s="1904"/>
      <c r="BD65" s="1904"/>
      <c r="BE65" s="1904"/>
      <c r="BF65" s="1904"/>
      <c r="BG65" s="1904"/>
      <c r="BH65" s="1911"/>
      <c r="BI65" s="1904">
        <v>0.33333333333333331</v>
      </c>
      <c r="BJ65" s="1904"/>
      <c r="BK65" s="1905"/>
      <c r="BL65" s="1904">
        <v>0.5</v>
      </c>
      <c r="BM65" s="1904">
        <v>1</v>
      </c>
      <c r="BO65" s="1898" t="s">
        <v>2726</v>
      </c>
      <c r="BP65" s="1902" t="s">
        <v>2570</v>
      </c>
      <c r="BQ65" s="1899" t="s">
        <v>2727</v>
      </c>
      <c r="BR65" s="1904">
        <v>0.33333333333333331</v>
      </c>
      <c r="BS65" s="1904"/>
      <c r="BT65" s="1904"/>
      <c r="BU65" s="1904"/>
      <c r="BV65" s="1904"/>
      <c r="BW65" s="1904"/>
      <c r="BX65" s="1904"/>
      <c r="BY65" s="1911"/>
      <c r="BZ65" s="1904">
        <v>0.33333333333333331</v>
      </c>
      <c r="CA65" s="1904"/>
      <c r="CB65" s="1905"/>
      <c r="CC65" s="1904">
        <v>0.5</v>
      </c>
      <c r="CD65" s="1904">
        <v>1</v>
      </c>
      <c r="CE65" s="2278"/>
    </row>
    <row r="66" spans="1:84">
      <c r="B66" s="1872" t="str">
        <f t="shared" si="47"/>
        <v>1.1.3</v>
      </c>
      <c r="C66" s="1895" t="str">
        <f t="shared" si="26"/>
        <v>バリアフリー計画</v>
      </c>
      <c r="D66" s="1885">
        <f t="shared" si="50"/>
        <v>0.63218390804597702</v>
      </c>
      <c r="E66" s="1897">
        <f t="shared" si="50"/>
        <v>0</v>
      </c>
      <c r="G66" s="1897">
        <f t="shared" si="27"/>
        <v>0.63218390804597702</v>
      </c>
      <c r="H66" s="1897">
        <f t="shared" si="28"/>
        <v>0</v>
      </c>
      <c r="I66" s="1897"/>
      <c r="J66" s="1897"/>
      <c r="K66" s="1897">
        <f>IF(スコア!M66=0,0,1)</f>
        <v>1</v>
      </c>
      <c r="L66" s="1897">
        <f>IF(スコア!O66=0,0,1)</f>
        <v>0</v>
      </c>
      <c r="M66" s="1897">
        <f t="shared" si="29"/>
        <v>0.63218390804597702</v>
      </c>
      <c r="N66" s="1897">
        <f t="shared" si="30"/>
        <v>0</v>
      </c>
      <c r="P66" s="1898" t="str">
        <f t="shared" si="31"/>
        <v>1.1.3</v>
      </c>
      <c r="Q66" s="1898" t="str">
        <f t="shared" si="32"/>
        <v xml:space="preserve"> Q2 1.1</v>
      </c>
      <c r="R66" s="1899" t="str">
        <f t="shared" si="33"/>
        <v>バリアフリー計画</v>
      </c>
      <c r="S66" s="1900">
        <f t="shared" si="34"/>
        <v>0.33333333333333331</v>
      </c>
      <c r="T66" s="1900">
        <f t="shared" si="35"/>
        <v>1</v>
      </c>
      <c r="U66" s="1900">
        <f t="shared" si="36"/>
        <v>1</v>
      </c>
      <c r="V66" s="1900">
        <f t="shared" si="37"/>
        <v>1</v>
      </c>
      <c r="W66" s="1900">
        <f t="shared" si="38"/>
        <v>1</v>
      </c>
      <c r="X66" s="1900">
        <f t="shared" si="39"/>
        <v>1</v>
      </c>
      <c r="Y66" s="1900">
        <f t="shared" si="40"/>
        <v>1</v>
      </c>
      <c r="Z66" s="1914">
        <f t="shared" si="41"/>
        <v>1</v>
      </c>
      <c r="AA66" s="1900">
        <f t="shared" si="42"/>
        <v>0.33333333333333331</v>
      </c>
      <c r="AB66" s="1900">
        <f t="shared" si="43"/>
        <v>0.5</v>
      </c>
      <c r="AC66" s="1901">
        <f t="shared" si="44"/>
        <v>0</v>
      </c>
      <c r="AD66" s="1900">
        <f t="shared" si="45"/>
        <v>0</v>
      </c>
      <c r="AE66" s="1900">
        <f t="shared" si="46"/>
        <v>0</v>
      </c>
      <c r="AG66" s="1898" t="s">
        <v>2728</v>
      </c>
      <c r="AH66" s="1902" t="s">
        <v>2570</v>
      </c>
      <c r="AI66" s="1899" t="s">
        <v>2572</v>
      </c>
      <c r="AJ66" s="1938">
        <v>0.33333333333333331</v>
      </c>
      <c r="AK66" s="1900">
        <v>1</v>
      </c>
      <c r="AL66" s="1900">
        <v>1</v>
      </c>
      <c r="AM66" s="1900">
        <v>1</v>
      </c>
      <c r="AN66" s="1900">
        <v>1</v>
      </c>
      <c r="AO66" s="1900">
        <v>1</v>
      </c>
      <c r="AP66" s="1900">
        <v>1</v>
      </c>
      <c r="AQ66" s="1914">
        <v>1</v>
      </c>
      <c r="AR66" s="1938">
        <v>0.33333333333333331</v>
      </c>
      <c r="AS66" s="1918">
        <v>0.5</v>
      </c>
      <c r="AT66" s="1905"/>
      <c r="AU66" s="1904"/>
      <c r="AV66" s="1904"/>
      <c r="AX66" s="1898" t="s">
        <v>2728</v>
      </c>
      <c r="AY66" s="1902" t="s">
        <v>2570</v>
      </c>
      <c r="AZ66" s="1899" t="s">
        <v>2572</v>
      </c>
      <c r="BA66" s="1904">
        <v>0.33333333333333331</v>
      </c>
      <c r="BB66" s="1904">
        <v>1</v>
      </c>
      <c r="BC66" s="1904">
        <v>1</v>
      </c>
      <c r="BD66" s="1904">
        <v>1</v>
      </c>
      <c r="BE66" s="1904">
        <v>1</v>
      </c>
      <c r="BF66" s="1904">
        <v>1</v>
      </c>
      <c r="BG66" s="1904">
        <v>1</v>
      </c>
      <c r="BH66" s="1911">
        <v>1</v>
      </c>
      <c r="BI66" s="1904">
        <v>0.33333333333333331</v>
      </c>
      <c r="BJ66" s="1904">
        <v>0.5</v>
      </c>
      <c r="BK66" s="1905"/>
      <c r="BL66" s="1904"/>
      <c r="BM66" s="1904"/>
      <c r="BO66" s="1898" t="s">
        <v>2728</v>
      </c>
      <c r="BP66" s="1902" t="s">
        <v>2570</v>
      </c>
      <c r="BQ66" s="1899" t="s">
        <v>2572</v>
      </c>
      <c r="BR66" s="1904">
        <v>0.33333333333333331</v>
      </c>
      <c r="BS66" s="1904">
        <v>1</v>
      </c>
      <c r="BT66" s="1904">
        <v>1</v>
      </c>
      <c r="BU66" s="1904">
        <v>1</v>
      </c>
      <c r="BV66" s="1904">
        <v>1</v>
      </c>
      <c r="BW66" s="1904">
        <v>1</v>
      </c>
      <c r="BX66" s="1904">
        <v>1</v>
      </c>
      <c r="BY66" s="1911">
        <v>1</v>
      </c>
      <c r="BZ66" s="1904">
        <v>0.33333333333333331</v>
      </c>
      <c r="CA66" s="1904">
        <v>1</v>
      </c>
      <c r="CB66" s="1905"/>
      <c r="CC66" s="1904"/>
      <c r="CD66" s="1904"/>
      <c r="CE66" s="2278"/>
    </row>
    <row r="67" spans="1:84">
      <c r="B67" s="1872">
        <f t="shared" si="47"/>
        <v>1.2</v>
      </c>
      <c r="C67" s="1895" t="str">
        <f t="shared" si="26"/>
        <v>心理性・快適性</v>
      </c>
      <c r="D67" s="1896">
        <f>IF(I$62=0,0,G67/I$62)</f>
        <v>0.3</v>
      </c>
      <c r="E67" s="1897">
        <f>IF(J$62=0,0,H67/J$62)</f>
        <v>0.4</v>
      </c>
      <c r="G67" s="1897">
        <f t="shared" si="27"/>
        <v>0.3</v>
      </c>
      <c r="H67" s="1897">
        <f t="shared" si="28"/>
        <v>6.8965517241379323E-2</v>
      </c>
      <c r="I67" s="1897">
        <f>G68+G69+G70</f>
        <v>1</v>
      </c>
      <c r="J67" s="1897">
        <f>H68+H69+H70</f>
        <v>0.17241379310344829</v>
      </c>
      <c r="K67" s="1897">
        <f>IF(スコア!M67=0,0,1)</f>
        <v>1</v>
      </c>
      <c r="L67" s="1897">
        <f>IF(スコア!O67=0,0,1)</f>
        <v>1</v>
      </c>
      <c r="M67" s="1897">
        <f t="shared" si="29"/>
        <v>0.3</v>
      </c>
      <c r="N67" s="1897">
        <f t="shared" si="30"/>
        <v>6.8965517241379323E-2</v>
      </c>
      <c r="P67" s="1898">
        <f t="shared" si="31"/>
        <v>1.2</v>
      </c>
      <c r="Q67" s="1898" t="str">
        <f t="shared" si="32"/>
        <v xml:space="preserve"> Q2 1</v>
      </c>
      <c r="R67" s="1899" t="str">
        <f t="shared" si="33"/>
        <v>心理性・快適性</v>
      </c>
      <c r="S67" s="1900">
        <f t="shared" si="34"/>
        <v>0.3</v>
      </c>
      <c r="T67" s="1900">
        <f t="shared" si="35"/>
        <v>0.3</v>
      </c>
      <c r="U67" s="1900">
        <f t="shared" si="36"/>
        <v>0.3</v>
      </c>
      <c r="V67" s="1900">
        <f t="shared" si="37"/>
        <v>0.3</v>
      </c>
      <c r="W67" s="1900">
        <f t="shared" si="38"/>
        <v>0.3</v>
      </c>
      <c r="X67" s="1900">
        <f t="shared" si="39"/>
        <v>0.3</v>
      </c>
      <c r="Y67" s="1900">
        <f t="shared" si="40"/>
        <v>0.3</v>
      </c>
      <c r="Z67" s="1914">
        <f t="shared" si="41"/>
        <v>0.3</v>
      </c>
      <c r="AA67" s="1900">
        <f t="shared" si="42"/>
        <v>0.3</v>
      </c>
      <c r="AB67" s="1900">
        <f t="shared" si="43"/>
        <v>0.3</v>
      </c>
      <c r="AC67" s="1901">
        <f t="shared" si="44"/>
        <v>0.4</v>
      </c>
      <c r="AD67" s="1900">
        <f t="shared" si="45"/>
        <v>0.4</v>
      </c>
      <c r="AE67" s="1900">
        <f t="shared" si="46"/>
        <v>0.4</v>
      </c>
      <c r="AG67" s="1898">
        <v>1.2</v>
      </c>
      <c r="AH67" s="1902" t="s">
        <v>2568</v>
      </c>
      <c r="AI67" s="1899" t="s">
        <v>2649</v>
      </c>
      <c r="AJ67" s="1900">
        <v>0.3</v>
      </c>
      <c r="AK67" s="1900">
        <v>0.3</v>
      </c>
      <c r="AL67" s="1900">
        <v>0.3</v>
      </c>
      <c r="AM67" s="1903">
        <v>0.3</v>
      </c>
      <c r="AN67" s="1903">
        <v>0.3</v>
      </c>
      <c r="AO67" s="1900">
        <v>0.3</v>
      </c>
      <c r="AP67" s="1903">
        <v>0.3</v>
      </c>
      <c r="AQ67" s="1900">
        <v>0.3</v>
      </c>
      <c r="AR67" s="1903">
        <v>0.3</v>
      </c>
      <c r="AS67" s="1904">
        <v>0.3</v>
      </c>
      <c r="AT67" s="1904">
        <v>0.4</v>
      </c>
      <c r="AU67" s="1904">
        <v>0.4</v>
      </c>
      <c r="AV67" s="1904">
        <v>0.4</v>
      </c>
      <c r="AX67" s="1898">
        <v>1.2</v>
      </c>
      <c r="AY67" s="1902" t="s">
        <v>2568</v>
      </c>
      <c r="AZ67" s="1899" t="s">
        <v>2649</v>
      </c>
      <c r="BA67" s="1904">
        <v>0.3</v>
      </c>
      <c r="BB67" s="1904">
        <v>0.3</v>
      </c>
      <c r="BC67" s="1904">
        <v>0.3</v>
      </c>
      <c r="BD67" s="1904">
        <v>0.3</v>
      </c>
      <c r="BE67" s="1904">
        <v>0.3</v>
      </c>
      <c r="BF67" s="1904">
        <v>0.3</v>
      </c>
      <c r="BG67" s="1904">
        <v>0.3</v>
      </c>
      <c r="BH67" s="1911">
        <v>0.3</v>
      </c>
      <c r="BI67" s="1904">
        <v>0.3</v>
      </c>
      <c r="BJ67" s="1904">
        <v>0.3</v>
      </c>
      <c r="BK67" s="1904">
        <v>0.4</v>
      </c>
      <c r="BL67" s="1904">
        <v>0.4</v>
      </c>
      <c r="BM67" s="1904">
        <v>0.4</v>
      </c>
      <c r="BO67" s="1898">
        <v>1.2</v>
      </c>
      <c r="BP67" s="1902" t="s">
        <v>2568</v>
      </c>
      <c r="BQ67" s="1899" t="s">
        <v>2649</v>
      </c>
      <c r="BR67" s="1904">
        <v>0.3</v>
      </c>
      <c r="BS67" s="1904">
        <v>0.3</v>
      </c>
      <c r="BT67" s="1904">
        <v>0.3</v>
      </c>
      <c r="BU67" s="1904">
        <v>0.3</v>
      </c>
      <c r="BV67" s="1904">
        <v>0.3</v>
      </c>
      <c r="BW67" s="1904">
        <v>0.3</v>
      </c>
      <c r="BX67" s="1904">
        <v>0.3</v>
      </c>
      <c r="BY67" s="1911">
        <v>0.3</v>
      </c>
      <c r="BZ67" s="1904">
        <v>0.3</v>
      </c>
      <c r="CA67" s="1904">
        <v>0.3</v>
      </c>
      <c r="CB67" s="1904">
        <v>0.4</v>
      </c>
      <c r="CC67" s="1904">
        <v>0.4</v>
      </c>
      <c r="CD67" s="1904">
        <v>0.4</v>
      </c>
      <c r="CE67" s="2278"/>
    </row>
    <row r="68" spans="1:84">
      <c r="B68" s="1872" t="str">
        <f t="shared" si="47"/>
        <v>1.2.1</v>
      </c>
      <c r="C68" s="1895" t="str">
        <f t="shared" si="26"/>
        <v>広さ感・景観</v>
      </c>
      <c r="D68" s="1885">
        <f t="shared" ref="D68:E70" si="51">IF(I$67&gt;0,G68/I$67,0)</f>
        <v>0.11494252873563218</v>
      </c>
      <c r="E68" s="1897">
        <f t="shared" si="51"/>
        <v>0</v>
      </c>
      <c r="G68" s="1897">
        <f t="shared" si="27"/>
        <v>0.11494252873563218</v>
      </c>
      <c r="H68" s="1897">
        <f t="shared" si="28"/>
        <v>0</v>
      </c>
      <c r="I68" s="1897"/>
      <c r="J68" s="1897"/>
      <c r="K68" s="1897">
        <f>IF(スコア!M68=0,0,1)</f>
        <v>1</v>
      </c>
      <c r="L68" s="1897">
        <f>IF(スコア!O68=0,0,1)</f>
        <v>0</v>
      </c>
      <c r="M68" s="1897">
        <f t="shared" si="29"/>
        <v>0.11494252873563218</v>
      </c>
      <c r="N68" s="1897">
        <f t="shared" si="30"/>
        <v>0</v>
      </c>
      <c r="P68" s="1898" t="str">
        <f t="shared" si="31"/>
        <v>1.2.1</v>
      </c>
      <c r="Q68" s="1898" t="str">
        <f t="shared" si="32"/>
        <v xml:space="preserve"> Q2 1.2</v>
      </c>
      <c r="R68" s="1899" t="str">
        <f t="shared" si="33"/>
        <v>広さ感・景観</v>
      </c>
      <c r="S68" s="1900">
        <f t="shared" si="34"/>
        <v>0.33333333333333331</v>
      </c>
      <c r="T68" s="1900">
        <f t="shared" si="35"/>
        <v>0</v>
      </c>
      <c r="U68" s="1900">
        <f t="shared" si="36"/>
        <v>0</v>
      </c>
      <c r="V68" s="1900">
        <f t="shared" si="37"/>
        <v>0</v>
      </c>
      <c r="W68" s="1900">
        <f t="shared" si="38"/>
        <v>0</v>
      </c>
      <c r="X68" s="1900">
        <f t="shared" si="39"/>
        <v>0</v>
      </c>
      <c r="Y68" s="1900">
        <f t="shared" si="40"/>
        <v>0</v>
      </c>
      <c r="Z68" s="1914">
        <f t="shared" si="41"/>
        <v>0</v>
      </c>
      <c r="AA68" s="1900">
        <f t="shared" si="42"/>
        <v>0</v>
      </c>
      <c r="AB68" s="1900">
        <f t="shared" si="43"/>
        <v>0</v>
      </c>
      <c r="AC68" s="1901">
        <f t="shared" si="44"/>
        <v>0</v>
      </c>
      <c r="AD68" s="1901">
        <f t="shared" si="45"/>
        <v>0</v>
      </c>
      <c r="AE68" s="1901">
        <f t="shared" si="46"/>
        <v>0</v>
      </c>
      <c r="AG68" s="1898" t="s">
        <v>2729</v>
      </c>
      <c r="AH68" s="1902" t="s">
        <v>2573</v>
      </c>
      <c r="AI68" s="1899" t="s">
        <v>2574</v>
      </c>
      <c r="AJ68" s="1938">
        <v>0.33333333333333331</v>
      </c>
      <c r="AK68" s="1900"/>
      <c r="AL68" s="1900"/>
      <c r="AM68" s="1900"/>
      <c r="AN68" s="1900"/>
      <c r="AO68" s="1900"/>
      <c r="AP68" s="1900"/>
      <c r="AQ68" s="1914"/>
      <c r="AR68" s="1900"/>
      <c r="AS68" s="1904"/>
      <c r="AT68" s="1905"/>
      <c r="AU68" s="1905"/>
      <c r="AV68" s="1905"/>
      <c r="AX68" s="1898" t="s">
        <v>2729</v>
      </c>
      <c r="AY68" s="1902" t="s">
        <v>2573</v>
      </c>
      <c r="AZ68" s="1899" t="s">
        <v>2574</v>
      </c>
      <c r="BA68" s="1904">
        <v>0.33333333333333331</v>
      </c>
      <c r="BB68" s="1904">
        <v>0.5</v>
      </c>
      <c r="BC68" s="1904">
        <v>0.33333333333333331</v>
      </c>
      <c r="BD68" s="1904">
        <v>0.5</v>
      </c>
      <c r="BE68" s="1904"/>
      <c r="BF68" s="1904"/>
      <c r="BG68" s="1904"/>
      <c r="BH68" s="1911"/>
      <c r="BI68" s="1904">
        <v>0.33333333333333331</v>
      </c>
      <c r="BJ68" s="1904">
        <v>0.5</v>
      </c>
      <c r="BK68" s="1905">
        <v>0.5</v>
      </c>
      <c r="BL68" s="1905">
        <v>0.5</v>
      </c>
      <c r="BM68" s="1905">
        <v>0.5</v>
      </c>
      <c r="BO68" s="1898" t="s">
        <v>2729</v>
      </c>
      <c r="BP68" s="1902" t="s">
        <v>2573</v>
      </c>
      <c r="BQ68" s="1899" t="s">
        <v>2574</v>
      </c>
      <c r="BR68" s="1904">
        <v>0.33333333333333331</v>
      </c>
      <c r="BS68" s="1904">
        <v>0.5</v>
      </c>
      <c r="BT68" s="1904">
        <v>0.33333333333333331</v>
      </c>
      <c r="BU68" s="1904">
        <v>0.5</v>
      </c>
      <c r="BV68" s="1904"/>
      <c r="BW68" s="1904"/>
      <c r="BX68" s="1904"/>
      <c r="BY68" s="1911"/>
      <c r="BZ68" s="1904">
        <v>0.33333333333333331</v>
      </c>
      <c r="CA68" s="1904">
        <v>0.5</v>
      </c>
      <c r="CB68" s="1905">
        <v>0.5</v>
      </c>
      <c r="CC68" s="1905">
        <v>0.5</v>
      </c>
      <c r="CD68" s="1905">
        <v>0.5</v>
      </c>
      <c r="CE68" s="2278"/>
    </row>
    <row r="69" spans="1:84">
      <c r="B69" s="1872" t="str">
        <f t="shared" si="47"/>
        <v>1.2.2</v>
      </c>
      <c r="C69" s="1895" t="str">
        <f t="shared" si="26"/>
        <v>リフレッシュスペース</v>
      </c>
      <c r="D69" s="1885">
        <f t="shared" si="51"/>
        <v>0.11494252873563218</v>
      </c>
      <c r="E69" s="1897">
        <f t="shared" si="51"/>
        <v>0</v>
      </c>
      <c r="G69" s="1897">
        <f t="shared" si="27"/>
        <v>0.11494252873563218</v>
      </c>
      <c r="H69" s="1897">
        <f t="shared" si="28"/>
        <v>0</v>
      </c>
      <c r="I69" s="1897"/>
      <c r="J69" s="1897"/>
      <c r="K69" s="1897">
        <f>IF(スコア!M69=0,0,1)</f>
        <v>1</v>
      </c>
      <c r="L69" s="1897">
        <f>IF(スコア!O69=0,0,1)</f>
        <v>0</v>
      </c>
      <c r="M69" s="1897">
        <f t="shared" si="29"/>
        <v>0.11494252873563218</v>
      </c>
      <c r="N69" s="1897">
        <f t="shared" si="30"/>
        <v>0</v>
      </c>
      <c r="P69" s="1898" t="str">
        <f t="shared" si="31"/>
        <v>1.2.2</v>
      </c>
      <c r="Q69" s="1898" t="str">
        <f t="shared" si="32"/>
        <v xml:space="preserve"> Q2 1.2</v>
      </c>
      <c r="R69" s="1899" t="str">
        <f t="shared" si="33"/>
        <v>リフレッシュスペース</v>
      </c>
      <c r="S69" s="1900">
        <f t="shared" si="34"/>
        <v>0.33333333333333331</v>
      </c>
      <c r="T69" s="1900">
        <f t="shared" si="35"/>
        <v>0</v>
      </c>
      <c r="U69" s="1900">
        <f t="shared" si="36"/>
        <v>0.5</v>
      </c>
      <c r="V69" s="1900">
        <f t="shared" si="37"/>
        <v>0</v>
      </c>
      <c r="W69" s="1900">
        <f t="shared" si="38"/>
        <v>0</v>
      </c>
      <c r="X69" s="1900">
        <f t="shared" si="39"/>
        <v>0</v>
      </c>
      <c r="Y69" s="1900">
        <f t="shared" si="40"/>
        <v>0</v>
      </c>
      <c r="Z69" s="1914">
        <f t="shared" si="41"/>
        <v>0</v>
      </c>
      <c r="AA69" s="1900">
        <f t="shared" si="42"/>
        <v>0</v>
      </c>
      <c r="AB69" s="1900">
        <f t="shared" si="43"/>
        <v>0</v>
      </c>
      <c r="AC69" s="1901">
        <f t="shared" si="44"/>
        <v>0</v>
      </c>
      <c r="AD69" s="1901">
        <f t="shared" si="45"/>
        <v>0</v>
      </c>
      <c r="AE69" s="1901">
        <f t="shared" si="46"/>
        <v>0</v>
      </c>
      <c r="AG69" s="1898" t="s">
        <v>2730</v>
      </c>
      <c r="AH69" s="1902" t="s">
        <v>2573</v>
      </c>
      <c r="AI69" s="1899" t="s">
        <v>2575</v>
      </c>
      <c r="AJ69" s="1938">
        <v>0.33333333333333331</v>
      </c>
      <c r="AK69" s="1900"/>
      <c r="AL69" s="1900">
        <v>0.5</v>
      </c>
      <c r="AM69" s="1900"/>
      <c r="AN69" s="1900"/>
      <c r="AO69" s="1900"/>
      <c r="AP69" s="1900"/>
      <c r="AQ69" s="1914"/>
      <c r="AR69" s="1900"/>
      <c r="AS69" s="1904"/>
      <c r="AT69" s="1905"/>
      <c r="AU69" s="1905"/>
      <c r="AV69" s="1905"/>
      <c r="AX69" s="1898" t="s">
        <v>2730</v>
      </c>
      <c r="AY69" s="1902" t="s">
        <v>2573</v>
      </c>
      <c r="AZ69" s="1899" t="s">
        <v>2575</v>
      </c>
      <c r="BA69" s="1904">
        <v>0.33333333333333331</v>
      </c>
      <c r="BB69" s="1904">
        <v>0</v>
      </c>
      <c r="BC69" s="1904">
        <v>0.33333333333333331</v>
      </c>
      <c r="BD69" s="1904"/>
      <c r="BE69" s="1904"/>
      <c r="BF69" s="1904"/>
      <c r="BG69" s="1904"/>
      <c r="BH69" s="1911"/>
      <c r="BI69" s="1904">
        <v>0.33333333333333331</v>
      </c>
      <c r="BJ69" s="1904">
        <v>0</v>
      </c>
      <c r="BK69" s="1905"/>
      <c r="BL69" s="1905"/>
      <c r="BM69" s="1905"/>
      <c r="BO69" s="1898" t="s">
        <v>2730</v>
      </c>
      <c r="BP69" s="1902" t="s">
        <v>2573</v>
      </c>
      <c r="BQ69" s="1899" t="s">
        <v>2575</v>
      </c>
      <c r="BR69" s="1904">
        <v>0.33333333333333331</v>
      </c>
      <c r="BS69" s="1904"/>
      <c r="BT69" s="1904">
        <v>0.33333333333333331</v>
      </c>
      <c r="BU69" s="1904"/>
      <c r="BV69" s="1904"/>
      <c r="BW69" s="1904"/>
      <c r="BX69" s="1904"/>
      <c r="BY69" s="1911"/>
      <c r="BZ69" s="1904">
        <v>0.33333333333333331</v>
      </c>
      <c r="CA69" s="1904"/>
      <c r="CB69" s="1905"/>
      <c r="CC69" s="1905"/>
      <c r="CD69" s="1905"/>
      <c r="CE69" s="2278"/>
    </row>
    <row r="70" spans="1:84">
      <c r="B70" s="1872" t="str">
        <f t="shared" si="47"/>
        <v>1.2.3</v>
      </c>
      <c r="C70" s="1895" t="str">
        <f t="shared" si="26"/>
        <v>内装計画</v>
      </c>
      <c r="D70" s="1885">
        <f t="shared" si="51"/>
        <v>0.77011494252873558</v>
      </c>
      <c r="E70" s="1897">
        <f t="shared" si="51"/>
        <v>1</v>
      </c>
      <c r="G70" s="1897">
        <f t="shared" si="27"/>
        <v>0.77011494252873558</v>
      </c>
      <c r="H70" s="1897">
        <f t="shared" si="28"/>
        <v>0.17241379310344829</v>
      </c>
      <c r="I70" s="1897"/>
      <c r="J70" s="1897"/>
      <c r="K70" s="1897">
        <f>IF(スコア!M70=0,0,1)</f>
        <v>1</v>
      </c>
      <c r="L70" s="1897">
        <f>IF(スコア!O70=0,0,1)</f>
        <v>1</v>
      </c>
      <c r="M70" s="1897">
        <f t="shared" si="29"/>
        <v>0.77011494252873558</v>
      </c>
      <c r="N70" s="1897">
        <f t="shared" si="30"/>
        <v>0.17241379310344829</v>
      </c>
      <c r="P70" s="1898" t="str">
        <f t="shared" si="31"/>
        <v>1.2.3</v>
      </c>
      <c r="Q70" s="1898" t="str">
        <f t="shared" si="32"/>
        <v xml:space="preserve"> Q2 1.2</v>
      </c>
      <c r="R70" s="1899" t="str">
        <f t="shared" si="33"/>
        <v>内装計画</v>
      </c>
      <c r="S70" s="1900">
        <f t="shared" si="34"/>
        <v>0.33333333333333331</v>
      </c>
      <c r="T70" s="1900">
        <f t="shared" si="35"/>
        <v>1</v>
      </c>
      <c r="U70" s="1900">
        <f t="shared" si="36"/>
        <v>0.5</v>
      </c>
      <c r="V70" s="1900">
        <f t="shared" si="37"/>
        <v>1</v>
      </c>
      <c r="W70" s="1900">
        <f t="shared" si="38"/>
        <v>1</v>
      </c>
      <c r="X70" s="1900">
        <f t="shared" si="39"/>
        <v>1</v>
      </c>
      <c r="Y70" s="1900">
        <f t="shared" si="40"/>
        <v>1</v>
      </c>
      <c r="Z70" s="1914">
        <f t="shared" si="41"/>
        <v>1</v>
      </c>
      <c r="AA70" s="1900">
        <f t="shared" si="42"/>
        <v>1</v>
      </c>
      <c r="AB70" s="1900">
        <f t="shared" si="43"/>
        <v>1</v>
      </c>
      <c r="AC70" s="1901">
        <f t="shared" si="44"/>
        <v>1</v>
      </c>
      <c r="AD70" s="1901">
        <f t="shared" si="45"/>
        <v>1</v>
      </c>
      <c r="AE70" s="1901">
        <f t="shared" si="46"/>
        <v>1</v>
      </c>
      <c r="AG70" s="1898" t="s">
        <v>2731</v>
      </c>
      <c r="AH70" s="1902" t="s">
        <v>2573</v>
      </c>
      <c r="AI70" s="1899" t="s">
        <v>2576</v>
      </c>
      <c r="AJ70" s="1938">
        <v>0.33333333333333331</v>
      </c>
      <c r="AK70" s="1900">
        <v>1</v>
      </c>
      <c r="AL70" s="1900">
        <v>0.5</v>
      </c>
      <c r="AM70" s="1900">
        <v>1</v>
      </c>
      <c r="AN70" s="1900">
        <v>1</v>
      </c>
      <c r="AO70" s="1900">
        <v>1</v>
      </c>
      <c r="AP70" s="1900">
        <v>1</v>
      </c>
      <c r="AQ70" s="1914">
        <v>1</v>
      </c>
      <c r="AR70" s="1900">
        <v>1</v>
      </c>
      <c r="AS70" s="1904">
        <v>1</v>
      </c>
      <c r="AT70" s="1905">
        <v>1</v>
      </c>
      <c r="AU70" s="1905">
        <v>1</v>
      </c>
      <c r="AV70" s="1905">
        <v>1</v>
      </c>
      <c r="AX70" s="1898" t="s">
        <v>2731</v>
      </c>
      <c r="AY70" s="1902" t="s">
        <v>2573</v>
      </c>
      <c r="AZ70" s="1899" t="s">
        <v>2576</v>
      </c>
      <c r="BA70" s="1904">
        <v>0.33333333333333331</v>
      </c>
      <c r="BB70" s="1904">
        <v>0.5</v>
      </c>
      <c r="BC70" s="1904">
        <v>0.33333333333333331</v>
      </c>
      <c r="BD70" s="1904">
        <v>0.5</v>
      </c>
      <c r="BE70" s="1904">
        <v>1</v>
      </c>
      <c r="BF70" s="1904">
        <v>1</v>
      </c>
      <c r="BG70" s="1904">
        <v>1</v>
      </c>
      <c r="BH70" s="1911">
        <v>1</v>
      </c>
      <c r="BI70" s="1904">
        <v>0.33333333333333331</v>
      </c>
      <c r="BJ70" s="1904">
        <v>0.5</v>
      </c>
      <c r="BK70" s="1905">
        <v>0.5</v>
      </c>
      <c r="BL70" s="1905">
        <v>0.5</v>
      </c>
      <c r="BM70" s="1905">
        <v>0.5</v>
      </c>
      <c r="BO70" s="1898" t="s">
        <v>2731</v>
      </c>
      <c r="BP70" s="1902" t="s">
        <v>2573</v>
      </c>
      <c r="BQ70" s="1899" t="s">
        <v>2576</v>
      </c>
      <c r="BR70" s="1904">
        <v>0.33333333333333331</v>
      </c>
      <c r="BS70" s="1904">
        <v>0.5</v>
      </c>
      <c r="BT70" s="1904">
        <v>0.33333333333333331</v>
      </c>
      <c r="BU70" s="1904">
        <v>0.5</v>
      </c>
      <c r="BV70" s="1904">
        <v>1</v>
      </c>
      <c r="BW70" s="1904">
        <v>1</v>
      </c>
      <c r="BX70" s="1904">
        <v>1</v>
      </c>
      <c r="BY70" s="1911">
        <v>1</v>
      </c>
      <c r="BZ70" s="1904">
        <v>0.33333333333333331</v>
      </c>
      <c r="CA70" s="1904">
        <v>0.5</v>
      </c>
      <c r="CB70" s="1905">
        <v>0.5</v>
      </c>
      <c r="CC70" s="1905">
        <v>0.5</v>
      </c>
      <c r="CD70" s="1905">
        <v>0.5</v>
      </c>
      <c r="CE70" s="2278"/>
    </row>
    <row r="71" spans="1:84" s="1945" customFormat="1">
      <c r="A71"/>
      <c r="B71" s="1872">
        <f t="shared" si="47"/>
        <v>1.3</v>
      </c>
      <c r="C71" s="1895" t="str">
        <f t="shared" si="26"/>
        <v>維持管理</v>
      </c>
      <c r="D71" s="1896">
        <f>IF(I$62=0,0,G71/I$62)</f>
        <v>0.3</v>
      </c>
      <c r="E71" s="1897">
        <f>IF(J$62=0,0,H71/J$62)</f>
        <v>0</v>
      </c>
      <c r="F71"/>
      <c r="G71" s="1897">
        <f t="shared" si="27"/>
        <v>0.3</v>
      </c>
      <c r="H71" s="1897">
        <f t="shared" si="28"/>
        <v>0</v>
      </c>
      <c r="I71" s="1897">
        <f>G72+G73+G74</f>
        <v>1</v>
      </c>
      <c r="J71" s="1897">
        <f>H72+H73+H74</f>
        <v>0</v>
      </c>
      <c r="K71" s="1897">
        <f>IF(スコア!M71=0,0,1)</f>
        <v>1</v>
      </c>
      <c r="L71" s="1897">
        <f>IF(スコア!O75=0,0,1)</f>
        <v>0</v>
      </c>
      <c r="M71" s="1897">
        <f t="shared" si="29"/>
        <v>0.3</v>
      </c>
      <c r="N71" s="1897">
        <f t="shared" si="30"/>
        <v>0</v>
      </c>
      <c r="O71"/>
      <c r="P71" s="1898">
        <f t="shared" si="31"/>
        <v>1.3</v>
      </c>
      <c r="Q71" s="1898" t="str">
        <f t="shared" si="32"/>
        <v xml:space="preserve"> Q2 1</v>
      </c>
      <c r="R71" s="1899" t="str">
        <f t="shared" si="33"/>
        <v>維持管理</v>
      </c>
      <c r="S71" s="1900">
        <f t="shared" si="34"/>
        <v>0.3</v>
      </c>
      <c r="T71" s="1900">
        <f t="shared" si="35"/>
        <v>0.3</v>
      </c>
      <c r="U71" s="1900">
        <f t="shared" si="36"/>
        <v>0.3</v>
      </c>
      <c r="V71" s="1900">
        <f t="shared" si="37"/>
        <v>0.3</v>
      </c>
      <c r="W71" s="1900">
        <f t="shared" si="38"/>
        <v>0.3</v>
      </c>
      <c r="X71" s="1900">
        <f t="shared" si="39"/>
        <v>0.3</v>
      </c>
      <c r="Y71" s="1900">
        <f t="shared" si="40"/>
        <v>0.3</v>
      </c>
      <c r="Z71" s="1914">
        <f t="shared" si="41"/>
        <v>0.3</v>
      </c>
      <c r="AA71" s="1900">
        <f t="shared" si="42"/>
        <v>0.3</v>
      </c>
      <c r="AB71" s="1900">
        <f t="shared" si="43"/>
        <v>0.3</v>
      </c>
      <c r="AC71" s="1901">
        <f t="shared" si="44"/>
        <v>0</v>
      </c>
      <c r="AD71" s="1901">
        <f t="shared" si="45"/>
        <v>0</v>
      </c>
      <c r="AE71" s="1901">
        <f t="shared" si="46"/>
        <v>0</v>
      </c>
      <c r="AF71"/>
      <c r="AG71" s="1898">
        <v>1.3</v>
      </c>
      <c r="AH71" s="1902" t="s">
        <v>2568</v>
      </c>
      <c r="AI71" s="1899" t="s">
        <v>1</v>
      </c>
      <c r="AJ71" s="1938">
        <v>0.3</v>
      </c>
      <c r="AK71" s="1938">
        <v>0.3</v>
      </c>
      <c r="AL71" s="1938">
        <v>0.3</v>
      </c>
      <c r="AM71" s="1903">
        <v>0.3</v>
      </c>
      <c r="AN71" s="1903">
        <v>0.3</v>
      </c>
      <c r="AO71" s="1938">
        <v>0.3</v>
      </c>
      <c r="AP71" s="1903">
        <v>0.3</v>
      </c>
      <c r="AQ71" s="1938">
        <v>0.3</v>
      </c>
      <c r="AR71" s="1903">
        <v>0.3</v>
      </c>
      <c r="AS71" s="1904">
        <v>0.3</v>
      </c>
      <c r="AT71" s="1905">
        <v>0</v>
      </c>
      <c r="AU71" s="1905">
        <v>0</v>
      </c>
      <c r="AV71" s="1905">
        <v>0</v>
      </c>
      <c r="AW71"/>
      <c r="AX71" s="1898">
        <v>1.3</v>
      </c>
      <c r="AY71" s="1902" t="s">
        <v>2568</v>
      </c>
      <c r="AZ71" s="1899" t="s">
        <v>1</v>
      </c>
      <c r="BA71" s="1904">
        <v>0.3</v>
      </c>
      <c r="BB71" s="1904">
        <v>0.3</v>
      </c>
      <c r="BC71" s="1904">
        <v>0.3</v>
      </c>
      <c r="BD71" s="1904">
        <v>0.3</v>
      </c>
      <c r="BE71" s="1904">
        <v>0.3</v>
      </c>
      <c r="BF71" s="1904">
        <v>0.3</v>
      </c>
      <c r="BG71" s="1904">
        <v>0.3</v>
      </c>
      <c r="BH71" s="1911">
        <v>0.3</v>
      </c>
      <c r="BI71" s="1904">
        <v>0.3</v>
      </c>
      <c r="BJ71" s="1904">
        <v>0.3</v>
      </c>
      <c r="BK71" s="1905"/>
      <c r="BL71" s="1905"/>
      <c r="BM71" s="1905"/>
      <c r="BN71"/>
      <c r="BO71" s="1898">
        <v>1.3</v>
      </c>
      <c r="BP71" s="1902" t="s">
        <v>2568</v>
      </c>
      <c r="BQ71" s="1899" t="s">
        <v>1</v>
      </c>
      <c r="BR71" s="1904">
        <v>0.3</v>
      </c>
      <c r="BS71" s="1904">
        <v>0.3</v>
      </c>
      <c r="BT71" s="1904">
        <v>0.3</v>
      </c>
      <c r="BU71" s="1904">
        <v>0.3</v>
      </c>
      <c r="BV71" s="1904">
        <v>0.3</v>
      </c>
      <c r="BW71" s="1904">
        <v>0.3</v>
      </c>
      <c r="BX71" s="1904">
        <v>0.3</v>
      </c>
      <c r="BY71" s="1911">
        <v>0.3</v>
      </c>
      <c r="BZ71" s="1904">
        <v>0.3</v>
      </c>
      <c r="CA71" s="1904">
        <v>0.3</v>
      </c>
      <c r="CB71" s="1905"/>
      <c r="CC71" s="1905"/>
      <c r="CD71" s="1905"/>
      <c r="CE71" s="2278"/>
      <c r="CF71"/>
    </row>
    <row r="72" spans="1:84" s="1945" customFormat="1">
      <c r="A72"/>
      <c r="B72" s="1872" t="str">
        <f t="shared" si="47"/>
        <v>1.3.1</v>
      </c>
      <c r="C72" s="1895" t="str">
        <f t="shared" si="26"/>
        <v>総合的な取組み</v>
      </c>
      <c r="D72" s="1885">
        <f t="shared" ref="D72:E74" si="52">IF(I$71&gt;0,G72/I$71,0)</f>
        <v>0.5</v>
      </c>
      <c r="E72" s="1885">
        <f t="shared" si="52"/>
        <v>0</v>
      </c>
      <c r="F72"/>
      <c r="G72" s="1897">
        <f t="shared" si="27"/>
        <v>0.5</v>
      </c>
      <c r="H72" s="1897">
        <f t="shared" si="28"/>
        <v>0</v>
      </c>
      <c r="I72" s="1897"/>
      <c r="J72" s="1897"/>
      <c r="K72" s="1897">
        <f>IF(スコア!M72=0,0,1)</f>
        <v>1</v>
      </c>
      <c r="L72" s="1897">
        <f>IF(スコア!O76=0,0,1)</f>
        <v>0</v>
      </c>
      <c r="M72" s="1897">
        <f t="shared" si="29"/>
        <v>0.5</v>
      </c>
      <c r="N72" s="1897">
        <f t="shared" si="30"/>
        <v>0</v>
      </c>
      <c r="O72"/>
      <c r="P72" s="1898" t="str">
        <f t="shared" si="31"/>
        <v>1.3.1</v>
      </c>
      <c r="Q72" s="1898" t="str">
        <f t="shared" si="32"/>
        <v xml:space="preserve"> Q2 1.3</v>
      </c>
      <c r="R72" s="1899" t="str">
        <f t="shared" si="33"/>
        <v>総合的な取組み</v>
      </c>
      <c r="S72" s="1900">
        <f t="shared" si="34"/>
        <v>0.5</v>
      </c>
      <c r="T72" s="1900">
        <f t="shared" si="35"/>
        <v>0.5</v>
      </c>
      <c r="U72" s="1900">
        <f t="shared" si="36"/>
        <v>0.5</v>
      </c>
      <c r="V72" s="1900">
        <f t="shared" si="37"/>
        <v>0.5</v>
      </c>
      <c r="W72" s="1900">
        <f t="shared" si="38"/>
        <v>0.5</v>
      </c>
      <c r="X72" s="1900">
        <f t="shared" si="39"/>
        <v>0.5</v>
      </c>
      <c r="Y72" s="1900">
        <f t="shared" si="40"/>
        <v>0.5</v>
      </c>
      <c r="Z72" s="1914">
        <f t="shared" si="41"/>
        <v>0.5</v>
      </c>
      <c r="AA72" s="1900">
        <f t="shared" si="42"/>
        <v>0.5</v>
      </c>
      <c r="AB72" s="1900">
        <f t="shared" si="43"/>
        <v>0.5</v>
      </c>
      <c r="AC72" s="1901">
        <f t="shared" si="44"/>
        <v>0</v>
      </c>
      <c r="AD72" s="1901">
        <f t="shared" si="45"/>
        <v>0</v>
      </c>
      <c r="AE72" s="1901">
        <f t="shared" si="46"/>
        <v>0</v>
      </c>
      <c r="AF72"/>
      <c r="AG72" s="1898" t="s">
        <v>2577</v>
      </c>
      <c r="AH72" s="1902" t="s">
        <v>2042</v>
      </c>
      <c r="AI72" s="634" t="s">
        <v>2043</v>
      </c>
      <c r="AJ72" s="1938">
        <v>0.5</v>
      </c>
      <c r="AK72" s="1938">
        <v>0.5</v>
      </c>
      <c r="AL72" s="1938">
        <v>0.5</v>
      </c>
      <c r="AM72" s="1910">
        <v>0.5</v>
      </c>
      <c r="AN72" s="1910">
        <v>0.5</v>
      </c>
      <c r="AO72" s="1938">
        <v>0.5</v>
      </c>
      <c r="AP72" s="1910">
        <v>0.5</v>
      </c>
      <c r="AQ72" s="1938">
        <v>0.5</v>
      </c>
      <c r="AR72" s="1910">
        <v>0.5</v>
      </c>
      <c r="AS72" s="1904">
        <v>0.5</v>
      </c>
      <c r="AT72" s="1905">
        <v>0</v>
      </c>
      <c r="AU72" s="1905">
        <v>0</v>
      </c>
      <c r="AV72" s="1905">
        <v>0</v>
      </c>
      <c r="AW72"/>
      <c r="AX72" s="1898" t="s">
        <v>2577</v>
      </c>
      <c r="AY72" s="1902" t="s">
        <v>2042</v>
      </c>
      <c r="AZ72" s="1899" t="s">
        <v>2044</v>
      </c>
      <c r="BA72" s="1904">
        <v>0.5</v>
      </c>
      <c r="BB72" s="1904">
        <v>0.5</v>
      </c>
      <c r="BC72" s="1904">
        <v>0.5</v>
      </c>
      <c r="BD72" s="1904">
        <v>0.5</v>
      </c>
      <c r="BE72" s="1904">
        <v>0.5</v>
      </c>
      <c r="BF72" s="1904">
        <v>0.5</v>
      </c>
      <c r="BG72" s="1904">
        <v>0.5</v>
      </c>
      <c r="BH72" s="1911">
        <v>0.5</v>
      </c>
      <c r="BI72" s="1904">
        <v>0.5</v>
      </c>
      <c r="BJ72" s="1904">
        <v>0.5</v>
      </c>
      <c r="BK72" s="1905"/>
      <c r="BL72" s="1905"/>
      <c r="BM72" s="1905"/>
      <c r="BN72"/>
      <c r="BO72" s="1898" t="s">
        <v>2577</v>
      </c>
      <c r="BP72" s="1902" t="s">
        <v>2042</v>
      </c>
      <c r="BQ72" s="1899" t="s">
        <v>2044</v>
      </c>
      <c r="BR72" s="1904">
        <v>0.5</v>
      </c>
      <c r="BS72" s="1904">
        <v>0.5</v>
      </c>
      <c r="BT72" s="1904">
        <v>0.5</v>
      </c>
      <c r="BU72" s="1904">
        <v>0.5</v>
      </c>
      <c r="BV72" s="1904">
        <v>0.5</v>
      </c>
      <c r="BW72" s="1904">
        <v>0.5</v>
      </c>
      <c r="BX72" s="1904">
        <v>0.5</v>
      </c>
      <c r="BY72" s="1911">
        <v>0.5</v>
      </c>
      <c r="BZ72" s="1904">
        <v>0.5</v>
      </c>
      <c r="CA72" s="1904">
        <v>0.5</v>
      </c>
      <c r="CB72" s="1905"/>
      <c r="CC72" s="1905"/>
      <c r="CD72" s="1905"/>
      <c r="CE72" s="2278"/>
      <c r="CF72"/>
    </row>
    <row r="73" spans="1:84" s="1945" customFormat="1">
      <c r="A73"/>
      <c r="B73" s="1872" t="str">
        <f t="shared" si="47"/>
        <v>1.3.2</v>
      </c>
      <c r="C73" s="1895" t="str">
        <f t="shared" ref="C73:C104" si="53">R73</f>
        <v>清掃管理業務</v>
      </c>
      <c r="D73" s="1885">
        <f t="shared" si="52"/>
        <v>0.3</v>
      </c>
      <c r="E73" s="1885">
        <f t="shared" si="52"/>
        <v>0</v>
      </c>
      <c r="F73"/>
      <c r="G73" s="1897">
        <f t="shared" ref="G73:G104" si="54">K73*M73</f>
        <v>0.3</v>
      </c>
      <c r="H73" s="1897">
        <f t="shared" ref="H73:H104" si="55">L73*N73</f>
        <v>0</v>
      </c>
      <c r="I73" s="1897"/>
      <c r="J73" s="1897"/>
      <c r="K73" s="1897">
        <f>IF(スコア!M73=0,0,1)</f>
        <v>1</v>
      </c>
      <c r="L73" s="1897">
        <f>IF(スコア!O77=0,0,1)</f>
        <v>0</v>
      </c>
      <c r="M73" s="1897">
        <f t="shared" ref="M73:M104" si="56">SUMPRODUCT($S$7:$AB$7,S73:AB73)</f>
        <v>0.3</v>
      </c>
      <c r="N73" s="1897">
        <f t="shared" ref="N73:N95" si="57">(AC$7*AC73)+(AD$7*AD73)+(AE$7*AE73)</f>
        <v>0</v>
      </c>
      <c r="O73"/>
      <c r="P73" s="1898" t="str">
        <f t="shared" ref="P73:P104" si="58">IF($P$3=1,AX73,IF($P$3=2,BO73,AG73))</f>
        <v>1.3.2</v>
      </c>
      <c r="Q73" s="1898" t="str">
        <f t="shared" ref="Q73:Q104" si="59">IF($P$3=1,AY73,IF($P$3=2,BP73,AH73))</f>
        <v xml:space="preserve"> Q2 1.3</v>
      </c>
      <c r="R73" s="1899" t="str">
        <f t="shared" ref="R73:R104" si="60">IF($P$3=1,AZ73,IF($P$3=2,BQ73,AI73))</f>
        <v>清掃管理業務</v>
      </c>
      <c r="S73" s="1900">
        <f t="shared" ref="S73:S104" si="61">IF($P$3=1,BA73,IF($P$3=2,BR73,AJ73))</f>
        <v>0.3</v>
      </c>
      <c r="T73" s="1900">
        <f t="shared" ref="T73:T104" si="62">IF($P$3=1,BB73,IF($P$3=2,BS73,AK73))</f>
        <v>0.3</v>
      </c>
      <c r="U73" s="1900">
        <f t="shared" ref="U73:U104" si="63">IF($P$3=1,BC73,IF($P$3=2,BT73,AL73))</f>
        <v>0.3</v>
      </c>
      <c r="V73" s="1900">
        <f t="shared" ref="V73:V104" si="64">IF($P$3=1,BD73,IF($P$3=2,BU73,AM73))</f>
        <v>0.3</v>
      </c>
      <c r="W73" s="1900">
        <f t="shared" ref="W73:W104" si="65">IF($P$3=1,BE73,IF($P$3=2,BV73,AN73))</f>
        <v>0.3</v>
      </c>
      <c r="X73" s="1900">
        <f t="shared" ref="X73:X104" si="66">IF($P$3=1,BF73,IF($P$3=2,BW73,AO73))</f>
        <v>0.3</v>
      </c>
      <c r="Y73" s="1900">
        <f t="shared" ref="Y73:Y104" si="67">IF($P$3=1,BG73,IF($P$3=2,BX73,AP73))</f>
        <v>0.3</v>
      </c>
      <c r="Z73" s="1914">
        <f t="shared" ref="Z73:Z104" si="68">IF($P$3=1,BH73,IF($P$3=2,BY73,AQ73))</f>
        <v>0.3</v>
      </c>
      <c r="AA73" s="1900">
        <f t="shared" ref="AA73:AA104" si="69">IF($P$3=1,BI73,IF($P$3=2,BZ73,AR73))</f>
        <v>0.3</v>
      </c>
      <c r="AB73" s="1900">
        <f t="shared" ref="AB73:AB104" si="70">IF($P$3=1,BJ73,IF($P$3=2,CA73,AS73))</f>
        <v>0.3</v>
      </c>
      <c r="AC73" s="1901">
        <f t="shared" ref="AC73:AC104" si="71">IF($P$3=1,BK73,IF($P$3=2,CB73,AT73))</f>
        <v>0</v>
      </c>
      <c r="AD73" s="1901">
        <f t="shared" ref="AD73:AD104" si="72">IF($P$3=1,BL73,IF($P$3=2,CC73,AU73))</f>
        <v>0</v>
      </c>
      <c r="AE73" s="1901">
        <f t="shared" ref="AE73:AE104" si="73">IF($P$3=1,BM73,IF($P$3=2,CD73,AV73))</f>
        <v>0</v>
      </c>
      <c r="AF73"/>
      <c r="AG73" s="1898" t="s">
        <v>2045</v>
      </c>
      <c r="AH73" s="1902" t="s">
        <v>2042</v>
      </c>
      <c r="AI73" s="634" t="s">
        <v>2046</v>
      </c>
      <c r="AJ73" s="1938">
        <v>0.3</v>
      </c>
      <c r="AK73" s="1938">
        <v>0.3</v>
      </c>
      <c r="AL73" s="1938">
        <v>0.3</v>
      </c>
      <c r="AM73" s="1910">
        <v>0.3</v>
      </c>
      <c r="AN73" s="1910">
        <v>0.3</v>
      </c>
      <c r="AO73" s="1938">
        <v>0.3</v>
      </c>
      <c r="AP73" s="1910">
        <v>0.3</v>
      </c>
      <c r="AQ73" s="1938">
        <v>0.3</v>
      </c>
      <c r="AR73" s="1910">
        <v>0.3</v>
      </c>
      <c r="AS73" s="1904">
        <v>0.3</v>
      </c>
      <c r="AT73" s="1905">
        <v>0</v>
      </c>
      <c r="AU73" s="1905">
        <v>0</v>
      </c>
      <c r="AV73" s="1905">
        <v>0</v>
      </c>
      <c r="AW73"/>
      <c r="AX73" s="1898" t="s">
        <v>2045</v>
      </c>
      <c r="AY73" s="1902" t="s">
        <v>2042</v>
      </c>
      <c r="AZ73" s="1899" t="s">
        <v>2047</v>
      </c>
      <c r="BA73" s="1904">
        <v>0.5</v>
      </c>
      <c r="BB73" s="1904">
        <v>0.5</v>
      </c>
      <c r="BC73" s="1904">
        <v>0.5</v>
      </c>
      <c r="BD73" s="1904">
        <v>0.5</v>
      </c>
      <c r="BE73" s="1904">
        <v>0.5</v>
      </c>
      <c r="BF73" s="1904">
        <v>0.5</v>
      </c>
      <c r="BG73" s="1904">
        <v>0.5</v>
      </c>
      <c r="BH73" s="1911">
        <v>0.5</v>
      </c>
      <c r="BI73" s="1904">
        <v>0.5</v>
      </c>
      <c r="BJ73" s="1904">
        <v>0.5</v>
      </c>
      <c r="BK73" s="1905"/>
      <c r="BL73" s="1905"/>
      <c r="BM73" s="1905"/>
      <c r="BN73"/>
      <c r="BO73" s="1898" t="s">
        <v>2045</v>
      </c>
      <c r="BP73" s="1902" t="s">
        <v>2042</v>
      </c>
      <c r="BQ73" s="1899" t="s">
        <v>2047</v>
      </c>
      <c r="BR73" s="1904">
        <v>0.5</v>
      </c>
      <c r="BS73" s="1904">
        <v>0.5</v>
      </c>
      <c r="BT73" s="1904">
        <v>0.5</v>
      </c>
      <c r="BU73" s="1904">
        <v>0.5</v>
      </c>
      <c r="BV73" s="1904">
        <v>0.5</v>
      </c>
      <c r="BW73" s="1904">
        <v>0.5</v>
      </c>
      <c r="BX73" s="1904">
        <v>0.5</v>
      </c>
      <c r="BY73" s="1911">
        <v>0.5</v>
      </c>
      <c r="BZ73" s="1904">
        <v>0.5</v>
      </c>
      <c r="CA73" s="1904">
        <v>0.5</v>
      </c>
      <c r="CB73" s="1905"/>
      <c r="CC73" s="1905"/>
      <c r="CD73" s="1905"/>
      <c r="CE73" s="2278"/>
      <c r="CF73"/>
    </row>
    <row r="74" spans="1:84" s="1945" customFormat="1">
      <c r="A74"/>
      <c r="B74" s="1872" t="str">
        <f t="shared" si="47"/>
        <v>1.3.3</v>
      </c>
      <c r="C74" s="1895" t="str">
        <f t="shared" si="53"/>
        <v>衛生管理業務</v>
      </c>
      <c r="D74" s="1885">
        <f t="shared" si="52"/>
        <v>0.2</v>
      </c>
      <c r="E74" s="1885">
        <f t="shared" si="52"/>
        <v>0</v>
      </c>
      <c r="F74"/>
      <c r="G74" s="1897">
        <f t="shared" si="54"/>
        <v>0.2</v>
      </c>
      <c r="H74" s="1897">
        <f t="shared" si="55"/>
        <v>0</v>
      </c>
      <c r="I74" s="1897"/>
      <c r="J74" s="1897"/>
      <c r="K74" s="1897">
        <f>IF(スコア!M74=0,0,1)</f>
        <v>1</v>
      </c>
      <c r="L74" s="1897">
        <f>IF(スコア!O78=0,0,1)</f>
        <v>0</v>
      </c>
      <c r="M74" s="1897">
        <f t="shared" si="56"/>
        <v>0.2</v>
      </c>
      <c r="N74" s="1897">
        <f t="shared" si="57"/>
        <v>0</v>
      </c>
      <c r="O74"/>
      <c r="P74" s="1898" t="str">
        <f t="shared" si="58"/>
        <v>1.3.3</v>
      </c>
      <c r="Q74" s="1898" t="str">
        <f t="shared" si="59"/>
        <v xml:space="preserve"> Q2 1.3</v>
      </c>
      <c r="R74" s="1899" t="str">
        <f t="shared" si="60"/>
        <v>衛生管理業務</v>
      </c>
      <c r="S74" s="1900">
        <f t="shared" si="61"/>
        <v>0.2</v>
      </c>
      <c r="T74" s="1900">
        <f t="shared" si="62"/>
        <v>0.2</v>
      </c>
      <c r="U74" s="1900">
        <f t="shared" si="63"/>
        <v>0.2</v>
      </c>
      <c r="V74" s="1900">
        <f t="shared" si="64"/>
        <v>0.2</v>
      </c>
      <c r="W74" s="1900">
        <f t="shared" si="65"/>
        <v>0.2</v>
      </c>
      <c r="X74" s="1900">
        <f t="shared" si="66"/>
        <v>0.2</v>
      </c>
      <c r="Y74" s="1900">
        <f t="shared" si="67"/>
        <v>0.2</v>
      </c>
      <c r="Z74" s="1914">
        <f t="shared" si="68"/>
        <v>0.2</v>
      </c>
      <c r="AA74" s="1900">
        <f t="shared" si="69"/>
        <v>0.2</v>
      </c>
      <c r="AB74" s="1900">
        <f t="shared" si="70"/>
        <v>0.2</v>
      </c>
      <c r="AC74" s="1901">
        <f t="shared" si="71"/>
        <v>0</v>
      </c>
      <c r="AD74" s="1901">
        <f t="shared" si="72"/>
        <v>0</v>
      </c>
      <c r="AE74" s="1901">
        <f t="shared" si="73"/>
        <v>0</v>
      </c>
      <c r="AF74"/>
      <c r="AG74" s="1898" t="s">
        <v>2048</v>
      </c>
      <c r="AH74" s="1902" t="s">
        <v>2732</v>
      </c>
      <c r="AI74" s="634" t="s">
        <v>4</v>
      </c>
      <c r="AJ74" s="1938">
        <v>0.2</v>
      </c>
      <c r="AK74" s="1938">
        <v>0.2</v>
      </c>
      <c r="AL74" s="1938">
        <v>0.2</v>
      </c>
      <c r="AM74" s="1910">
        <v>0.2</v>
      </c>
      <c r="AN74" s="1910">
        <v>0.2</v>
      </c>
      <c r="AO74" s="1938">
        <v>0.2</v>
      </c>
      <c r="AP74" s="1910">
        <v>0.2</v>
      </c>
      <c r="AQ74" s="1938">
        <v>0.2</v>
      </c>
      <c r="AR74" s="1910">
        <v>0.2</v>
      </c>
      <c r="AS74" s="1904">
        <v>0.2</v>
      </c>
      <c r="AT74" s="1905">
        <v>0</v>
      </c>
      <c r="AU74" s="1905">
        <v>0</v>
      </c>
      <c r="AV74" s="1905">
        <v>0</v>
      </c>
      <c r="AW74"/>
      <c r="AX74" s="1898">
        <v>0</v>
      </c>
      <c r="AY74" s="1902" t="s">
        <v>2733</v>
      </c>
      <c r="AZ74" s="1899"/>
      <c r="BA74" s="1904"/>
      <c r="BB74" s="1904"/>
      <c r="BC74" s="1904"/>
      <c r="BD74" s="1904"/>
      <c r="BE74" s="1904"/>
      <c r="BF74" s="1904"/>
      <c r="BG74" s="1904"/>
      <c r="BH74" s="1946"/>
      <c r="BI74" s="1904"/>
      <c r="BJ74" s="1904"/>
      <c r="BK74" s="1905"/>
      <c r="BL74" s="1905"/>
      <c r="BM74" s="1905"/>
      <c r="BN74"/>
      <c r="BO74" s="1898">
        <v>0</v>
      </c>
      <c r="BP74" s="1902" t="s">
        <v>2733</v>
      </c>
      <c r="BQ74" s="1899"/>
      <c r="BR74" s="1904"/>
      <c r="BS74" s="1904"/>
      <c r="BT74" s="1904"/>
      <c r="BU74" s="1904"/>
      <c r="BV74" s="1904"/>
      <c r="BW74" s="1904"/>
      <c r="BX74" s="1904"/>
      <c r="BY74" s="1946"/>
      <c r="BZ74" s="1904"/>
      <c r="CA74" s="1904"/>
      <c r="CB74" s="1905"/>
      <c r="CC74" s="1905"/>
      <c r="CD74" s="1905"/>
      <c r="CE74" s="2278"/>
      <c r="CF74"/>
    </row>
    <row r="75" spans="1:84" s="1355" customFormat="1">
      <c r="A75"/>
      <c r="B75" s="1872">
        <f t="shared" ref="B75:B106" si="74">P75</f>
        <v>2</v>
      </c>
      <c r="C75" s="1882" t="str">
        <f t="shared" si="53"/>
        <v>耐用性・信頼性</v>
      </c>
      <c r="D75" s="1883">
        <f>IF(I$61=0,0,G75/I$61)</f>
        <v>0.3</v>
      </c>
      <c r="E75" s="1884">
        <f>IF(J$61=0,0,H75/J$61)</f>
        <v>0</v>
      </c>
      <c r="F75"/>
      <c r="G75" s="1884">
        <f t="shared" si="54"/>
        <v>0.3</v>
      </c>
      <c r="H75" s="1884">
        <f t="shared" si="55"/>
        <v>0</v>
      </c>
      <c r="I75" s="1884">
        <f>G76+G79++G86+G90</f>
        <v>1</v>
      </c>
      <c r="J75" s="1884">
        <f>H76+H79++H86+H90</f>
        <v>0</v>
      </c>
      <c r="K75" s="1884">
        <f>IF(スコア!M75=0,0,1)</f>
        <v>1</v>
      </c>
      <c r="L75" s="1884">
        <f>IF(スコア!O75=0,0,1)</f>
        <v>0</v>
      </c>
      <c r="M75" s="1884">
        <f t="shared" si="56"/>
        <v>0.3</v>
      </c>
      <c r="N75" s="1884">
        <f t="shared" si="57"/>
        <v>0</v>
      </c>
      <c r="O75"/>
      <c r="P75" s="1886">
        <f t="shared" si="58"/>
        <v>2</v>
      </c>
      <c r="Q75" s="1886" t="str">
        <f t="shared" si="59"/>
        <v xml:space="preserve"> Q2</v>
      </c>
      <c r="R75" s="1887" t="str">
        <f t="shared" si="60"/>
        <v>耐用性・信頼性</v>
      </c>
      <c r="S75" s="1888">
        <f t="shared" si="61"/>
        <v>0.3</v>
      </c>
      <c r="T75" s="1888">
        <f t="shared" si="62"/>
        <v>0.3</v>
      </c>
      <c r="U75" s="1888">
        <f t="shared" si="63"/>
        <v>0.3</v>
      </c>
      <c r="V75" s="1888">
        <f t="shared" si="64"/>
        <v>0.3</v>
      </c>
      <c r="W75" s="1888">
        <f t="shared" si="65"/>
        <v>0.3</v>
      </c>
      <c r="X75" s="1888">
        <f t="shared" si="66"/>
        <v>0.3</v>
      </c>
      <c r="Y75" s="1888">
        <f t="shared" si="67"/>
        <v>0.3</v>
      </c>
      <c r="Z75" s="1947">
        <f t="shared" si="68"/>
        <v>0.3</v>
      </c>
      <c r="AA75" s="1888">
        <f t="shared" si="69"/>
        <v>0.3</v>
      </c>
      <c r="AB75" s="1888">
        <f t="shared" si="70"/>
        <v>0.3</v>
      </c>
      <c r="AC75" s="1890">
        <f t="shared" si="71"/>
        <v>0</v>
      </c>
      <c r="AD75" s="1888">
        <f t="shared" si="72"/>
        <v>0</v>
      </c>
      <c r="AE75" s="1888">
        <f t="shared" si="73"/>
        <v>0</v>
      </c>
      <c r="AF75"/>
      <c r="AG75" s="1886">
        <v>2</v>
      </c>
      <c r="AH75" s="1891" t="s">
        <v>2566</v>
      </c>
      <c r="AI75" s="1887" t="s">
        <v>2049</v>
      </c>
      <c r="AJ75" s="1888">
        <v>0.3</v>
      </c>
      <c r="AK75" s="1888">
        <v>0.3</v>
      </c>
      <c r="AL75" s="1888">
        <v>0.3</v>
      </c>
      <c r="AM75" s="1888">
        <v>0.3</v>
      </c>
      <c r="AN75" s="1888">
        <v>0.3</v>
      </c>
      <c r="AO75" s="1888">
        <v>0.3</v>
      </c>
      <c r="AP75" s="1888">
        <v>0.3</v>
      </c>
      <c r="AQ75" s="1947">
        <v>0.3</v>
      </c>
      <c r="AR75" s="1888">
        <v>0.3</v>
      </c>
      <c r="AS75" s="1892">
        <v>0.3</v>
      </c>
      <c r="AT75" s="1893">
        <v>0</v>
      </c>
      <c r="AU75" s="1892">
        <v>0</v>
      </c>
      <c r="AV75" s="1892">
        <v>0</v>
      </c>
      <c r="AW75"/>
      <c r="AX75" s="1886">
        <v>2</v>
      </c>
      <c r="AY75" s="1891" t="s">
        <v>2566</v>
      </c>
      <c r="AZ75" s="1887" t="s">
        <v>2022</v>
      </c>
      <c r="BA75" s="1892">
        <v>0.3</v>
      </c>
      <c r="BB75" s="1892">
        <v>0.3</v>
      </c>
      <c r="BC75" s="1892">
        <v>0.3</v>
      </c>
      <c r="BD75" s="1892">
        <v>0.3</v>
      </c>
      <c r="BE75" s="1892">
        <v>0.3</v>
      </c>
      <c r="BF75" s="1892">
        <v>0.3</v>
      </c>
      <c r="BG75" s="1892">
        <v>0.3</v>
      </c>
      <c r="BH75" s="1948">
        <v>0.3</v>
      </c>
      <c r="BI75" s="1892">
        <v>0.3</v>
      </c>
      <c r="BJ75" s="1892">
        <v>0.3</v>
      </c>
      <c r="BK75" s="1893"/>
      <c r="BL75" s="1892"/>
      <c r="BM75" s="1892"/>
      <c r="BN75"/>
      <c r="BO75" s="1886">
        <v>2</v>
      </c>
      <c r="BP75" s="1891" t="s">
        <v>2566</v>
      </c>
      <c r="BQ75" s="1887" t="s">
        <v>2049</v>
      </c>
      <c r="BR75" s="1892">
        <v>0.3</v>
      </c>
      <c r="BS75" s="1892">
        <v>0.3</v>
      </c>
      <c r="BT75" s="1892">
        <v>0.3</v>
      </c>
      <c r="BU75" s="1892">
        <v>0.3</v>
      </c>
      <c r="BV75" s="1892">
        <v>0.3</v>
      </c>
      <c r="BW75" s="1892">
        <v>0.3</v>
      </c>
      <c r="BX75" s="1892">
        <v>0.3</v>
      </c>
      <c r="BY75" s="1892">
        <v>0.3</v>
      </c>
      <c r="BZ75" s="1892">
        <v>0.3</v>
      </c>
      <c r="CA75" s="1892">
        <v>0.3</v>
      </c>
      <c r="CB75" s="1893"/>
      <c r="CC75" s="1892"/>
      <c r="CD75" s="1892"/>
      <c r="CE75" s="2277"/>
      <c r="CF75"/>
    </row>
    <row r="76" spans="1:84">
      <c r="B76" s="1872">
        <f t="shared" si="74"/>
        <v>2.1</v>
      </c>
      <c r="C76" s="1899" t="str">
        <f t="shared" si="53"/>
        <v>耐震･免震</v>
      </c>
      <c r="D76" s="1896">
        <f>IF(I$75=0,0,G76/I$75)</f>
        <v>0.25</v>
      </c>
      <c r="E76" s="1897">
        <f>IF(J$75=0,0,H76/J$75)</f>
        <v>0</v>
      </c>
      <c r="G76" s="1897">
        <f t="shared" si="54"/>
        <v>0.25</v>
      </c>
      <c r="H76" s="1897">
        <f t="shared" si="55"/>
        <v>0</v>
      </c>
      <c r="I76" s="1897">
        <f>SUM(G77:G78)</f>
        <v>1</v>
      </c>
      <c r="J76" s="1897">
        <f>SUM(H77:H78)</f>
        <v>0</v>
      </c>
      <c r="K76" s="1897">
        <f>IF(スコア!M76=0,0,1)</f>
        <v>1</v>
      </c>
      <c r="L76" s="1897">
        <f>IF(スコア!O76=0,0,1)</f>
        <v>0</v>
      </c>
      <c r="M76" s="1897">
        <f t="shared" si="56"/>
        <v>0.25</v>
      </c>
      <c r="N76" s="1897">
        <f t="shared" si="57"/>
        <v>0</v>
      </c>
      <c r="P76" s="1898">
        <f t="shared" si="58"/>
        <v>2.1</v>
      </c>
      <c r="Q76" s="1898" t="str">
        <f t="shared" si="59"/>
        <v xml:space="preserve"> Q2 2</v>
      </c>
      <c r="R76" s="1899" t="str">
        <f t="shared" si="60"/>
        <v>耐震･免震</v>
      </c>
      <c r="S76" s="1900">
        <f t="shared" si="61"/>
        <v>0.25</v>
      </c>
      <c r="T76" s="1900">
        <f t="shared" si="62"/>
        <v>0.25</v>
      </c>
      <c r="U76" s="1900">
        <f t="shared" si="63"/>
        <v>0.25</v>
      </c>
      <c r="V76" s="1900">
        <f t="shared" si="64"/>
        <v>0.25</v>
      </c>
      <c r="W76" s="1900">
        <f t="shared" si="65"/>
        <v>0.25</v>
      </c>
      <c r="X76" s="1900">
        <f t="shared" si="66"/>
        <v>0.25</v>
      </c>
      <c r="Y76" s="1900">
        <f t="shared" si="67"/>
        <v>0.25</v>
      </c>
      <c r="Z76" s="1908">
        <f t="shared" si="68"/>
        <v>0.25</v>
      </c>
      <c r="AA76" s="1900">
        <f t="shared" si="69"/>
        <v>0.25</v>
      </c>
      <c r="AB76" s="1900">
        <f t="shared" si="70"/>
        <v>0.25</v>
      </c>
      <c r="AC76" s="1901">
        <f t="shared" si="71"/>
        <v>0</v>
      </c>
      <c r="AD76" s="1900">
        <f t="shared" si="72"/>
        <v>0</v>
      </c>
      <c r="AE76" s="1900">
        <f t="shared" si="73"/>
        <v>0</v>
      </c>
      <c r="AG76" s="1898">
        <v>2.1</v>
      </c>
      <c r="AH76" s="1902" t="s">
        <v>2050</v>
      </c>
      <c r="AI76" s="1899" t="s">
        <v>2206</v>
      </c>
      <c r="AJ76" s="1900">
        <v>0.25</v>
      </c>
      <c r="AK76" s="1900">
        <v>0.25</v>
      </c>
      <c r="AL76" s="1900">
        <v>0.25</v>
      </c>
      <c r="AM76" s="1900">
        <v>0.25</v>
      </c>
      <c r="AN76" s="1900">
        <v>0.25</v>
      </c>
      <c r="AO76" s="1900">
        <v>0.25</v>
      </c>
      <c r="AP76" s="1900">
        <v>0.25</v>
      </c>
      <c r="AQ76" s="1908">
        <v>0.25</v>
      </c>
      <c r="AR76" s="1900">
        <v>0.25</v>
      </c>
      <c r="AS76" s="1904">
        <v>0.25</v>
      </c>
      <c r="AT76" s="1905">
        <v>0</v>
      </c>
      <c r="AU76" s="1904">
        <v>0</v>
      </c>
      <c r="AV76" s="1904">
        <v>0</v>
      </c>
      <c r="AX76" s="1898">
        <v>2.1</v>
      </c>
      <c r="AY76" s="1902" t="s">
        <v>2050</v>
      </c>
      <c r="AZ76" s="1899" t="s">
        <v>2023</v>
      </c>
      <c r="BA76" s="1904">
        <v>0.5</v>
      </c>
      <c r="BB76" s="1904">
        <v>0.5</v>
      </c>
      <c r="BC76" s="1904">
        <v>0.5</v>
      </c>
      <c r="BD76" s="1904">
        <v>0.5</v>
      </c>
      <c r="BE76" s="1904">
        <v>0.5</v>
      </c>
      <c r="BF76" s="1904">
        <v>0.5</v>
      </c>
      <c r="BG76" s="1904">
        <v>0.5</v>
      </c>
      <c r="BH76" s="1911">
        <v>0.5</v>
      </c>
      <c r="BI76" s="1904">
        <v>0.5</v>
      </c>
      <c r="BJ76" s="1904">
        <v>0.5</v>
      </c>
      <c r="BK76" s="1905"/>
      <c r="BL76" s="1904"/>
      <c r="BM76" s="1904"/>
      <c r="BO76" s="1898">
        <v>2.1</v>
      </c>
      <c r="BP76" s="1902" t="s">
        <v>2050</v>
      </c>
      <c r="BQ76" s="1899" t="s">
        <v>2206</v>
      </c>
      <c r="BR76" s="1904">
        <v>0.5</v>
      </c>
      <c r="BS76" s="1904">
        <v>0.5</v>
      </c>
      <c r="BT76" s="1904">
        <v>0.5</v>
      </c>
      <c r="BU76" s="1904">
        <v>0.5</v>
      </c>
      <c r="BV76" s="1904">
        <v>0.5</v>
      </c>
      <c r="BW76" s="1904">
        <v>0.5</v>
      </c>
      <c r="BX76" s="1904">
        <v>0.5</v>
      </c>
      <c r="BY76" s="1911">
        <v>0.5</v>
      </c>
      <c r="BZ76" s="1904">
        <v>0.5</v>
      </c>
      <c r="CA76" s="1904">
        <v>0.5</v>
      </c>
      <c r="CB76" s="1905"/>
      <c r="CC76" s="1904"/>
      <c r="CD76" s="1904"/>
      <c r="CE76" s="2278"/>
    </row>
    <row r="77" spans="1:84">
      <c r="B77" s="1872" t="str">
        <f t="shared" si="74"/>
        <v>2.1.1</v>
      </c>
      <c r="C77" s="1895" t="str">
        <f t="shared" si="53"/>
        <v>耐震性</v>
      </c>
      <c r="D77" s="1885">
        <f>IF(I$76&gt;0,G77/I$76,0)</f>
        <v>0.8</v>
      </c>
      <c r="E77" s="1897">
        <f>IF(J$76&gt;0,H77/J$76,0)</f>
        <v>0</v>
      </c>
      <c r="G77" s="1897">
        <f t="shared" si="54"/>
        <v>0.8</v>
      </c>
      <c r="H77" s="1897">
        <f t="shared" si="55"/>
        <v>0</v>
      </c>
      <c r="I77" s="1897"/>
      <c r="J77" s="1897"/>
      <c r="K77" s="1897">
        <f>IF(スコア!M77=0,0,1)</f>
        <v>1</v>
      </c>
      <c r="L77" s="1897">
        <f>IF(スコア!O77=0,0,1)</f>
        <v>0</v>
      </c>
      <c r="M77" s="1897">
        <f t="shared" si="56"/>
        <v>0.8</v>
      </c>
      <c r="N77" s="1897">
        <f t="shared" si="57"/>
        <v>0</v>
      </c>
      <c r="P77" s="1898" t="str">
        <f t="shared" si="58"/>
        <v>2.1.1</v>
      </c>
      <c r="Q77" s="1898" t="str">
        <f t="shared" si="59"/>
        <v xml:space="preserve"> Q2 2.1</v>
      </c>
      <c r="R77" s="1899" t="str">
        <f t="shared" si="60"/>
        <v>耐震性</v>
      </c>
      <c r="S77" s="1900">
        <f t="shared" si="61"/>
        <v>0.8</v>
      </c>
      <c r="T77" s="1900">
        <f t="shared" si="62"/>
        <v>0.8</v>
      </c>
      <c r="U77" s="1900">
        <f t="shared" si="63"/>
        <v>0.8</v>
      </c>
      <c r="V77" s="1900">
        <f t="shared" si="64"/>
        <v>0.8</v>
      </c>
      <c r="W77" s="1900">
        <f t="shared" si="65"/>
        <v>0.8</v>
      </c>
      <c r="X77" s="1900">
        <f t="shared" si="66"/>
        <v>0.8</v>
      </c>
      <c r="Y77" s="1900">
        <f t="shared" si="67"/>
        <v>0.8</v>
      </c>
      <c r="Z77" s="1908">
        <f t="shared" si="68"/>
        <v>0.8</v>
      </c>
      <c r="AA77" s="1900">
        <f t="shared" si="69"/>
        <v>0.8</v>
      </c>
      <c r="AB77" s="1900">
        <f t="shared" si="70"/>
        <v>0.8</v>
      </c>
      <c r="AC77" s="1901">
        <f t="shared" si="71"/>
        <v>0</v>
      </c>
      <c r="AD77" s="1900">
        <f t="shared" si="72"/>
        <v>0</v>
      </c>
      <c r="AE77" s="1900">
        <f t="shared" si="73"/>
        <v>0</v>
      </c>
      <c r="AG77" s="1898" t="s">
        <v>2734</v>
      </c>
      <c r="AH77" s="1902" t="s">
        <v>2051</v>
      </c>
      <c r="AI77" s="1899" t="s">
        <v>2052</v>
      </c>
      <c r="AJ77" s="1900">
        <v>0.8</v>
      </c>
      <c r="AK77" s="1900">
        <v>0.8</v>
      </c>
      <c r="AL77" s="1900">
        <v>0.8</v>
      </c>
      <c r="AM77" s="1900">
        <v>0.8</v>
      </c>
      <c r="AN77" s="1900">
        <v>0.8</v>
      </c>
      <c r="AO77" s="1900">
        <v>0.8</v>
      </c>
      <c r="AP77" s="1900">
        <v>0.8</v>
      </c>
      <c r="AQ77" s="1908">
        <v>0.8</v>
      </c>
      <c r="AR77" s="1900">
        <v>0.8</v>
      </c>
      <c r="AS77" s="1904">
        <v>0.8</v>
      </c>
      <c r="AT77" s="1905">
        <v>0</v>
      </c>
      <c r="AU77" s="1904">
        <v>0</v>
      </c>
      <c r="AV77" s="1904">
        <v>0</v>
      </c>
      <c r="AX77" s="1898" t="s">
        <v>2734</v>
      </c>
      <c r="AY77" s="1902" t="s">
        <v>2051</v>
      </c>
      <c r="AZ77" s="1899" t="s">
        <v>2052</v>
      </c>
      <c r="BA77" s="1904">
        <v>0.8</v>
      </c>
      <c r="BB77" s="1904">
        <v>0.8</v>
      </c>
      <c r="BC77" s="1904">
        <v>0.8</v>
      </c>
      <c r="BD77" s="1904">
        <v>0.8</v>
      </c>
      <c r="BE77" s="1904">
        <v>0.8</v>
      </c>
      <c r="BF77" s="1904">
        <v>0.8</v>
      </c>
      <c r="BG77" s="1904">
        <v>0.8</v>
      </c>
      <c r="BH77" s="1911">
        <v>0.8</v>
      </c>
      <c r="BI77" s="1904">
        <v>0.8</v>
      </c>
      <c r="BJ77" s="1904">
        <v>0.8</v>
      </c>
      <c r="BK77" s="1905"/>
      <c r="BL77" s="1904"/>
      <c r="BM77" s="1904"/>
      <c r="BO77" s="1898" t="s">
        <v>2734</v>
      </c>
      <c r="BP77" s="1902" t="s">
        <v>2051</v>
      </c>
      <c r="BQ77" s="1899" t="s">
        <v>2052</v>
      </c>
      <c r="BR77" s="1904">
        <v>0.8</v>
      </c>
      <c r="BS77" s="1904">
        <v>0.8</v>
      </c>
      <c r="BT77" s="1904">
        <v>0.8</v>
      </c>
      <c r="BU77" s="1904">
        <v>0.8</v>
      </c>
      <c r="BV77" s="1904">
        <v>0.8</v>
      </c>
      <c r="BW77" s="1904">
        <v>0.8</v>
      </c>
      <c r="BX77" s="1904">
        <v>0.8</v>
      </c>
      <c r="BY77" s="1911">
        <v>0.8</v>
      </c>
      <c r="BZ77" s="1904">
        <v>0.8</v>
      </c>
      <c r="CA77" s="1904">
        <v>0.8</v>
      </c>
      <c r="CB77" s="1905"/>
      <c r="CC77" s="1904"/>
      <c r="CD77" s="1904"/>
      <c r="CE77" s="2278"/>
    </row>
    <row r="78" spans="1:84">
      <c r="B78" s="1872" t="str">
        <f t="shared" si="74"/>
        <v>2.1.2</v>
      </c>
      <c r="C78" s="1895" t="str">
        <f t="shared" si="53"/>
        <v>免震・制振性能</v>
      </c>
      <c r="D78" s="1885">
        <f>IF(I$76&gt;0,G78/I$76,0)</f>
        <v>0.2</v>
      </c>
      <c r="E78" s="1897">
        <f>IF(J$76&gt;0,H78/J$76,0)</f>
        <v>0</v>
      </c>
      <c r="G78" s="1897">
        <f t="shared" si="54"/>
        <v>0.2</v>
      </c>
      <c r="H78" s="1897">
        <f t="shared" si="55"/>
        <v>0</v>
      </c>
      <c r="I78" s="1897"/>
      <c r="J78" s="1897"/>
      <c r="K78" s="1897">
        <f>IF(スコア!M78=0,0,1)</f>
        <v>1</v>
      </c>
      <c r="L78" s="1897">
        <f>IF(スコア!O78=0,0,1)</f>
        <v>0</v>
      </c>
      <c r="M78" s="1897">
        <f t="shared" si="56"/>
        <v>0.2</v>
      </c>
      <c r="N78" s="1897">
        <f t="shared" si="57"/>
        <v>0</v>
      </c>
      <c r="P78" s="1898" t="str">
        <f t="shared" si="58"/>
        <v>2.1.2</v>
      </c>
      <c r="Q78" s="1898" t="str">
        <f t="shared" si="59"/>
        <v xml:space="preserve"> Q2 2.1</v>
      </c>
      <c r="R78" s="1899" t="str">
        <f t="shared" si="60"/>
        <v>免震・制振性能</v>
      </c>
      <c r="S78" s="1900">
        <f t="shared" si="61"/>
        <v>0.2</v>
      </c>
      <c r="T78" s="1900">
        <f t="shared" si="62"/>
        <v>0.2</v>
      </c>
      <c r="U78" s="1900">
        <f t="shared" si="63"/>
        <v>0.2</v>
      </c>
      <c r="V78" s="1900">
        <f t="shared" si="64"/>
        <v>0.2</v>
      </c>
      <c r="W78" s="1900">
        <f t="shared" si="65"/>
        <v>0.2</v>
      </c>
      <c r="X78" s="1900">
        <f t="shared" si="66"/>
        <v>0.2</v>
      </c>
      <c r="Y78" s="1900">
        <f t="shared" si="67"/>
        <v>0.2</v>
      </c>
      <c r="Z78" s="1908">
        <f t="shared" si="68"/>
        <v>0.2</v>
      </c>
      <c r="AA78" s="1900">
        <f t="shared" si="69"/>
        <v>0.2</v>
      </c>
      <c r="AB78" s="1900">
        <f t="shared" si="70"/>
        <v>0.2</v>
      </c>
      <c r="AC78" s="1901">
        <f t="shared" si="71"/>
        <v>0</v>
      </c>
      <c r="AD78" s="1900">
        <f t="shared" si="72"/>
        <v>0</v>
      </c>
      <c r="AE78" s="1900">
        <f t="shared" si="73"/>
        <v>0</v>
      </c>
      <c r="AG78" s="1898" t="s">
        <v>2735</v>
      </c>
      <c r="AH78" s="1902" t="s">
        <v>2051</v>
      </c>
      <c r="AI78" s="1899" t="s">
        <v>2053</v>
      </c>
      <c r="AJ78" s="1900">
        <v>0.2</v>
      </c>
      <c r="AK78" s="1900">
        <v>0.2</v>
      </c>
      <c r="AL78" s="1900">
        <v>0.2</v>
      </c>
      <c r="AM78" s="1900">
        <v>0.2</v>
      </c>
      <c r="AN78" s="1900">
        <v>0.2</v>
      </c>
      <c r="AO78" s="1900">
        <v>0.2</v>
      </c>
      <c r="AP78" s="1900">
        <v>0.2</v>
      </c>
      <c r="AQ78" s="1908">
        <v>0.2</v>
      </c>
      <c r="AR78" s="1900">
        <v>0.2</v>
      </c>
      <c r="AS78" s="1904">
        <v>0.2</v>
      </c>
      <c r="AT78" s="1905">
        <v>0</v>
      </c>
      <c r="AU78" s="1904">
        <v>0</v>
      </c>
      <c r="AV78" s="1904">
        <v>0</v>
      </c>
      <c r="AX78" s="1898" t="s">
        <v>2736</v>
      </c>
      <c r="AY78" s="1902" t="s">
        <v>2051</v>
      </c>
      <c r="AZ78" s="1899" t="s">
        <v>2024</v>
      </c>
      <c r="BA78" s="1904">
        <v>0.2</v>
      </c>
      <c r="BB78" s="1904">
        <v>0.2</v>
      </c>
      <c r="BC78" s="1904">
        <v>0.2</v>
      </c>
      <c r="BD78" s="1904">
        <v>0.2</v>
      </c>
      <c r="BE78" s="1904">
        <v>0.2</v>
      </c>
      <c r="BF78" s="1904">
        <v>0.2</v>
      </c>
      <c r="BG78" s="1904">
        <v>0.2</v>
      </c>
      <c r="BH78" s="1911">
        <v>0.2</v>
      </c>
      <c r="BI78" s="1904">
        <v>0.2</v>
      </c>
      <c r="BJ78" s="1904">
        <v>0.2</v>
      </c>
      <c r="BK78" s="1905"/>
      <c r="BL78" s="1904"/>
      <c r="BM78" s="1904"/>
      <c r="BO78" s="1898" t="s">
        <v>2736</v>
      </c>
      <c r="BP78" s="1902" t="s">
        <v>2051</v>
      </c>
      <c r="BQ78" s="1899" t="s">
        <v>2053</v>
      </c>
      <c r="BR78" s="1904">
        <v>0.2</v>
      </c>
      <c r="BS78" s="1904">
        <v>0.2</v>
      </c>
      <c r="BT78" s="1904">
        <v>0.2</v>
      </c>
      <c r="BU78" s="1904">
        <v>0.2</v>
      </c>
      <c r="BV78" s="1904">
        <v>0.2</v>
      </c>
      <c r="BW78" s="1904">
        <v>0.2</v>
      </c>
      <c r="BX78" s="1904">
        <v>0.2</v>
      </c>
      <c r="BY78" s="1911">
        <v>0.2</v>
      </c>
      <c r="BZ78" s="1904">
        <v>0.2</v>
      </c>
      <c r="CA78" s="1904">
        <v>0.2</v>
      </c>
      <c r="CB78" s="1905"/>
      <c r="CC78" s="1904"/>
      <c r="CD78" s="1904"/>
      <c r="CE78" s="2278"/>
    </row>
    <row r="79" spans="1:84">
      <c r="B79" s="1872">
        <f t="shared" si="74"/>
        <v>2.2000000000000002</v>
      </c>
      <c r="C79" s="1899" t="str">
        <f t="shared" si="53"/>
        <v>部品・部材の耐用年数</v>
      </c>
      <c r="D79" s="1896">
        <f>IF(I$75=0,0,G79/I$75)</f>
        <v>0.25</v>
      </c>
      <c r="E79" s="1897">
        <f>IF(J$75=0,0,H79/J$75)</f>
        <v>0</v>
      </c>
      <c r="G79" s="1897">
        <f t="shared" si="54"/>
        <v>0.25</v>
      </c>
      <c r="H79" s="1897">
        <f t="shared" si="55"/>
        <v>0</v>
      </c>
      <c r="I79" s="1897">
        <f>SUM(G80:G85)</f>
        <v>0.8413793103448276</v>
      </c>
      <c r="J79" s="1897">
        <f>SUM(H80:H85)</f>
        <v>0</v>
      </c>
      <c r="K79" s="1897">
        <f>IF(スコア!M79=0,0,1)</f>
        <v>1</v>
      </c>
      <c r="L79" s="1897">
        <f>IF(スコア!O79=0,0,1)</f>
        <v>0</v>
      </c>
      <c r="M79" s="1897">
        <f t="shared" si="56"/>
        <v>0.25</v>
      </c>
      <c r="N79" s="1897">
        <f t="shared" si="57"/>
        <v>0</v>
      </c>
      <c r="P79" s="1898">
        <f t="shared" si="58"/>
        <v>2.2000000000000002</v>
      </c>
      <c r="Q79" s="1898" t="str">
        <f t="shared" si="59"/>
        <v xml:space="preserve"> Q2 2</v>
      </c>
      <c r="R79" s="1899" t="str">
        <f t="shared" si="60"/>
        <v>部品・部材の耐用年数</v>
      </c>
      <c r="S79" s="1900">
        <f t="shared" si="61"/>
        <v>0.25</v>
      </c>
      <c r="T79" s="1900">
        <f t="shared" si="62"/>
        <v>0.25</v>
      </c>
      <c r="U79" s="1900">
        <f t="shared" si="63"/>
        <v>0.25</v>
      </c>
      <c r="V79" s="1900">
        <f t="shared" si="64"/>
        <v>0.25</v>
      </c>
      <c r="W79" s="1900">
        <f t="shared" si="65"/>
        <v>0.25</v>
      </c>
      <c r="X79" s="1900">
        <f t="shared" si="66"/>
        <v>0.25</v>
      </c>
      <c r="Y79" s="1900">
        <f t="shared" si="67"/>
        <v>0.25</v>
      </c>
      <c r="Z79" s="1908">
        <f t="shared" si="68"/>
        <v>0.25</v>
      </c>
      <c r="AA79" s="1900">
        <f t="shared" si="69"/>
        <v>0.25</v>
      </c>
      <c r="AB79" s="1900">
        <f t="shared" si="70"/>
        <v>0.25</v>
      </c>
      <c r="AC79" s="1901">
        <f t="shared" si="71"/>
        <v>0</v>
      </c>
      <c r="AD79" s="1900">
        <f t="shared" si="72"/>
        <v>0</v>
      </c>
      <c r="AE79" s="1900">
        <f t="shared" si="73"/>
        <v>0</v>
      </c>
      <c r="AG79" s="1898">
        <v>2.2000000000000002</v>
      </c>
      <c r="AH79" s="1902" t="s">
        <v>2050</v>
      </c>
      <c r="AI79" s="1899" t="s">
        <v>2209</v>
      </c>
      <c r="AJ79" s="1900">
        <v>0.25</v>
      </c>
      <c r="AK79" s="1900">
        <v>0.25</v>
      </c>
      <c r="AL79" s="1900">
        <v>0.25</v>
      </c>
      <c r="AM79" s="1900">
        <v>0.25</v>
      </c>
      <c r="AN79" s="1900">
        <v>0.25</v>
      </c>
      <c r="AO79" s="1900">
        <v>0.25</v>
      </c>
      <c r="AP79" s="1900">
        <v>0.25</v>
      </c>
      <c r="AQ79" s="1908">
        <v>0.25</v>
      </c>
      <c r="AR79" s="1900">
        <v>0.25</v>
      </c>
      <c r="AS79" s="1904">
        <v>0.25</v>
      </c>
      <c r="AT79" s="1905">
        <v>0</v>
      </c>
      <c r="AU79" s="1904">
        <v>0</v>
      </c>
      <c r="AV79" s="1904">
        <v>0</v>
      </c>
      <c r="AX79" s="1898">
        <v>2.2000000000000002</v>
      </c>
      <c r="AY79" s="1902" t="s">
        <v>2050</v>
      </c>
      <c r="AZ79" s="1899" t="s">
        <v>2025</v>
      </c>
      <c r="BA79" s="1904">
        <v>0.3</v>
      </c>
      <c r="BB79" s="1904">
        <v>0.3</v>
      </c>
      <c r="BC79" s="1904">
        <v>0.3</v>
      </c>
      <c r="BD79" s="1904">
        <v>0.3</v>
      </c>
      <c r="BE79" s="1904">
        <v>0.3</v>
      </c>
      <c r="BF79" s="1904">
        <v>0.3</v>
      </c>
      <c r="BG79" s="1904">
        <v>0.3</v>
      </c>
      <c r="BH79" s="1911">
        <v>0.3</v>
      </c>
      <c r="BI79" s="1904">
        <v>0.3</v>
      </c>
      <c r="BJ79" s="1904">
        <v>0.3</v>
      </c>
      <c r="BK79" s="1905"/>
      <c r="BL79" s="1904"/>
      <c r="BM79" s="1904"/>
      <c r="BO79" s="1898">
        <v>2.2000000000000002</v>
      </c>
      <c r="BP79" s="1902" t="s">
        <v>2050</v>
      </c>
      <c r="BQ79" s="1899" t="s">
        <v>2209</v>
      </c>
      <c r="BR79" s="1904">
        <v>0.3</v>
      </c>
      <c r="BS79" s="1904">
        <v>0.3</v>
      </c>
      <c r="BT79" s="1904">
        <v>0.3</v>
      </c>
      <c r="BU79" s="1904">
        <v>0.3</v>
      </c>
      <c r="BV79" s="1904">
        <v>0.3</v>
      </c>
      <c r="BW79" s="1904">
        <v>0.3</v>
      </c>
      <c r="BX79" s="1904">
        <v>0.3</v>
      </c>
      <c r="BY79" s="1911">
        <v>0.3</v>
      </c>
      <c r="BZ79" s="1904">
        <v>0.3</v>
      </c>
      <c r="CA79" s="1904">
        <v>0.3</v>
      </c>
      <c r="CB79" s="1905"/>
      <c r="CC79" s="1904"/>
      <c r="CD79" s="1904"/>
      <c r="CE79" s="2278"/>
    </row>
    <row r="80" spans="1:84">
      <c r="B80" s="1872" t="str">
        <f t="shared" si="74"/>
        <v>2.2.1</v>
      </c>
      <c r="C80" s="1895" t="str">
        <f t="shared" si="53"/>
        <v>躯体材料の耐用年数</v>
      </c>
      <c r="D80" s="1885">
        <f t="shared" ref="D80:E85" si="75">IF(I$79&gt;0,G80/I$79,0)</f>
        <v>0.25409836065573771</v>
      </c>
      <c r="E80" s="1897">
        <f t="shared" si="75"/>
        <v>0</v>
      </c>
      <c r="G80" s="1897">
        <f t="shared" si="54"/>
        <v>0.21379310344827587</v>
      </c>
      <c r="H80" s="1897">
        <f t="shared" si="55"/>
        <v>0</v>
      </c>
      <c r="I80" s="1897"/>
      <c r="J80" s="1897"/>
      <c r="K80" s="1897">
        <f>IF(スコア!M80=0,0,1)</f>
        <v>1</v>
      </c>
      <c r="L80" s="1897">
        <f>IF(スコア!O80=0,0,1)</f>
        <v>0</v>
      </c>
      <c r="M80" s="1897">
        <f t="shared" si="56"/>
        <v>0.21379310344827587</v>
      </c>
      <c r="N80" s="1897">
        <f t="shared" si="57"/>
        <v>0</v>
      </c>
      <c r="P80" s="1898" t="str">
        <f t="shared" si="58"/>
        <v>2.2.1</v>
      </c>
      <c r="Q80" s="1898" t="str">
        <f t="shared" si="59"/>
        <v xml:space="preserve"> Q2 2.2</v>
      </c>
      <c r="R80" s="1899" t="str">
        <f t="shared" si="60"/>
        <v>躯体材料の耐用年数</v>
      </c>
      <c r="S80" s="1900">
        <f t="shared" si="61"/>
        <v>0.2</v>
      </c>
      <c r="T80" s="1900">
        <f t="shared" si="62"/>
        <v>0.2</v>
      </c>
      <c r="U80" s="1900">
        <f t="shared" si="63"/>
        <v>0.2</v>
      </c>
      <c r="V80" s="1900">
        <f t="shared" si="64"/>
        <v>0.2</v>
      </c>
      <c r="W80" s="1900">
        <f t="shared" si="65"/>
        <v>0.2</v>
      </c>
      <c r="X80" s="1900">
        <f t="shared" si="66"/>
        <v>0.2</v>
      </c>
      <c r="Y80" s="1900">
        <f t="shared" si="67"/>
        <v>0.2</v>
      </c>
      <c r="Z80" s="1908">
        <f t="shared" si="68"/>
        <v>0.2</v>
      </c>
      <c r="AA80" s="1900">
        <f t="shared" si="69"/>
        <v>0.2</v>
      </c>
      <c r="AB80" s="1900">
        <f t="shared" si="70"/>
        <v>0.25</v>
      </c>
      <c r="AC80" s="1901">
        <f t="shared" si="71"/>
        <v>0</v>
      </c>
      <c r="AD80" s="1900">
        <f t="shared" si="72"/>
        <v>0</v>
      </c>
      <c r="AE80" s="1900">
        <f t="shared" si="73"/>
        <v>0</v>
      </c>
      <c r="AG80" s="1898" t="s">
        <v>2737</v>
      </c>
      <c r="AH80" s="1902" t="s">
        <v>2054</v>
      </c>
      <c r="AI80" s="1899" t="s">
        <v>787</v>
      </c>
      <c r="AJ80" s="1901">
        <v>0.2</v>
      </c>
      <c r="AK80" s="1901">
        <v>0.2</v>
      </c>
      <c r="AL80" s="1901">
        <v>0.2</v>
      </c>
      <c r="AM80" s="1901">
        <v>0.2</v>
      </c>
      <c r="AN80" s="1901">
        <v>0.2</v>
      </c>
      <c r="AO80" s="1901">
        <v>0.2</v>
      </c>
      <c r="AP80" s="1901">
        <v>0.2</v>
      </c>
      <c r="AQ80" s="1901">
        <v>0.2</v>
      </c>
      <c r="AR80" s="1901">
        <v>0.2</v>
      </c>
      <c r="AS80" s="1904">
        <v>0.25</v>
      </c>
      <c r="AT80" s="1905">
        <v>0</v>
      </c>
      <c r="AU80" s="1904">
        <v>0</v>
      </c>
      <c r="AV80" s="1904">
        <v>0</v>
      </c>
      <c r="AX80" s="1898" t="s">
        <v>2738</v>
      </c>
      <c r="AY80" s="1902" t="s">
        <v>2054</v>
      </c>
      <c r="AZ80" s="1899" t="s">
        <v>2026</v>
      </c>
      <c r="BA80" s="1904">
        <v>0.2</v>
      </c>
      <c r="BB80" s="1904">
        <v>0.2</v>
      </c>
      <c r="BC80" s="1904">
        <v>0.2</v>
      </c>
      <c r="BD80" s="1904">
        <v>0.2</v>
      </c>
      <c r="BE80" s="1904">
        <v>0.2</v>
      </c>
      <c r="BF80" s="1904">
        <v>0.2</v>
      </c>
      <c r="BG80" s="1904">
        <v>0.2</v>
      </c>
      <c r="BH80" s="1904">
        <v>0.2</v>
      </c>
      <c r="BI80" s="1904">
        <v>0.2</v>
      </c>
      <c r="BJ80" s="1904">
        <v>0.2</v>
      </c>
      <c r="BK80" s="1905"/>
      <c r="BL80" s="1904"/>
      <c r="BM80" s="1904"/>
      <c r="BO80" s="1898" t="s">
        <v>2738</v>
      </c>
      <c r="BP80" s="1902" t="s">
        <v>2054</v>
      </c>
      <c r="BQ80" s="1899" t="s">
        <v>787</v>
      </c>
      <c r="BR80" s="1904">
        <v>0.2</v>
      </c>
      <c r="BS80" s="1904">
        <v>0.2</v>
      </c>
      <c r="BT80" s="1904">
        <v>0.2</v>
      </c>
      <c r="BU80" s="1904">
        <v>0.2</v>
      </c>
      <c r="BV80" s="1904">
        <v>0.2</v>
      </c>
      <c r="BW80" s="1904">
        <v>0.2</v>
      </c>
      <c r="BX80" s="1904">
        <v>0.2</v>
      </c>
      <c r="BY80" s="1904">
        <v>0.2</v>
      </c>
      <c r="BZ80" s="1904">
        <v>0.2</v>
      </c>
      <c r="CA80" s="1904">
        <v>0.2</v>
      </c>
      <c r="CB80" s="1905"/>
      <c r="CC80" s="1904"/>
      <c r="CD80" s="1904"/>
      <c r="CE80" s="2278"/>
    </row>
    <row r="81" spans="1:84">
      <c r="B81" s="1872" t="str">
        <f t="shared" si="74"/>
        <v>2.2.2</v>
      </c>
      <c r="C81" s="1895" t="str">
        <f t="shared" si="53"/>
        <v>外壁仕上げ材の補修必要間隔</v>
      </c>
      <c r="D81" s="1885">
        <f t="shared" si="75"/>
        <v>0.25409836065573771</v>
      </c>
      <c r="E81" s="1897">
        <f t="shared" si="75"/>
        <v>0</v>
      </c>
      <c r="G81" s="1897">
        <f t="shared" si="54"/>
        <v>0.21379310344827587</v>
      </c>
      <c r="H81" s="1897">
        <f t="shared" si="55"/>
        <v>0</v>
      </c>
      <c r="I81" s="1897"/>
      <c r="J81" s="1897"/>
      <c r="K81" s="1897">
        <f>IF(スコア!M81=0,0,1)</f>
        <v>1</v>
      </c>
      <c r="L81" s="1897">
        <f>IF(スコア!O81=0,0,1)</f>
        <v>0</v>
      </c>
      <c r="M81" s="1897">
        <f t="shared" si="56"/>
        <v>0.21379310344827587</v>
      </c>
      <c r="N81" s="1897">
        <f t="shared" si="57"/>
        <v>0</v>
      </c>
      <c r="P81" s="1898" t="str">
        <f t="shared" si="58"/>
        <v>2.2.2</v>
      </c>
      <c r="Q81" s="1898" t="str">
        <f t="shared" si="59"/>
        <v xml:space="preserve"> Q2 2.2</v>
      </c>
      <c r="R81" s="1899" t="str">
        <f t="shared" si="60"/>
        <v>外壁仕上げ材の補修必要間隔</v>
      </c>
      <c r="S81" s="1900">
        <f t="shared" si="61"/>
        <v>0.2</v>
      </c>
      <c r="T81" s="1900">
        <f t="shared" si="62"/>
        <v>0.2</v>
      </c>
      <c r="U81" s="1900">
        <f t="shared" si="63"/>
        <v>0.2</v>
      </c>
      <c r="V81" s="1900">
        <f t="shared" si="64"/>
        <v>0.2</v>
      </c>
      <c r="W81" s="1900">
        <f t="shared" si="65"/>
        <v>0.2</v>
      </c>
      <c r="X81" s="1900">
        <f t="shared" si="66"/>
        <v>0.2</v>
      </c>
      <c r="Y81" s="1900">
        <f t="shared" si="67"/>
        <v>0.2</v>
      </c>
      <c r="Z81" s="1908">
        <f t="shared" si="68"/>
        <v>0.2</v>
      </c>
      <c r="AA81" s="1900">
        <f t="shared" si="69"/>
        <v>0.2</v>
      </c>
      <c r="AB81" s="1900">
        <f t="shared" si="70"/>
        <v>0.25</v>
      </c>
      <c r="AC81" s="1901">
        <f t="shared" si="71"/>
        <v>0</v>
      </c>
      <c r="AD81" s="1900">
        <f t="shared" si="72"/>
        <v>0</v>
      </c>
      <c r="AE81" s="1900">
        <f t="shared" si="73"/>
        <v>0</v>
      </c>
      <c r="AG81" s="1898" t="s">
        <v>2739</v>
      </c>
      <c r="AH81" s="1902" t="s">
        <v>2054</v>
      </c>
      <c r="AI81" s="1899" t="s">
        <v>2055</v>
      </c>
      <c r="AJ81" s="1901">
        <v>0.2</v>
      </c>
      <c r="AK81" s="1901">
        <v>0.2</v>
      </c>
      <c r="AL81" s="1901">
        <v>0.2</v>
      </c>
      <c r="AM81" s="1901">
        <v>0.2</v>
      </c>
      <c r="AN81" s="1901">
        <v>0.2</v>
      </c>
      <c r="AO81" s="1901">
        <v>0.2</v>
      </c>
      <c r="AP81" s="1901">
        <v>0.2</v>
      </c>
      <c r="AQ81" s="1901">
        <v>0.2</v>
      </c>
      <c r="AR81" s="1901">
        <v>0.2</v>
      </c>
      <c r="AS81" s="1904">
        <v>0.25</v>
      </c>
      <c r="AT81" s="1905">
        <v>0</v>
      </c>
      <c r="AU81" s="1904">
        <v>0</v>
      </c>
      <c r="AV81" s="1904">
        <v>0</v>
      </c>
      <c r="AX81" s="1898" t="s">
        <v>2739</v>
      </c>
      <c r="AY81" s="1902" t="s">
        <v>2054</v>
      </c>
      <c r="AZ81" s="1899" t="s">
        <v>2055</v>
      </c>
      <c r="BA81" s="1904">
        <v>0.2</v>
      </c>
      <c r="BB81" s="1904">
        <v>0.2</v>
      </c>
      <c r="BC81" s="1904">
        <v>0.2</v>
      </c>
      <c r="BD81" s="1904">
        <v>0.2</v>
      </c>
      <c r="BE81" s="1904">
        <v>0.2</v>
      </c>
      <c r="BF81" s="1904">
        <v>0.2</v>
      </c>
      <c r="BG81" s="1904">
        <v>0.2</v>
      </c>
      <c r="BH81" s="1904">
        <v>0.2</v>
      </c>
      <c r="BI81" s="1904">
        <v>0.2</v>
      </c>
      <c r="BJ81" s="1904">
        <v>0.2</v>
      </c>
      <c r="BK81" s="1905"/>
      <c r="BL81" s="1904"/>
      <c r="BM81" s="1904"/>
      <c r="BO81" s="1898" t="s">
        <v>2739</v>
      </c>
      <c r="BP81" s="1902" t="s">
        <v>2054</v>
      </c>
      <c r="BQ81" s="1899" t="s">
        <v>2055</v>
      </c>
      <c r="BR81" s="1904">
        <v>0.2</v>
      </c>
      <c r="BS81" s="1904">
        <v>0.2</v>
      </c>
      <c r="BT81" s="1904">
        <v>0.2</v>
      </c>
      <c r="BU81" s="1904">
        <v>0.2</v>
      </c>
      <c r="BV81" s="1904">
        <v>0.2</v>
      </c>
      <c r="BW81" s="1904">
        <v>0.2</v>
      </c>
      <c r="BX81" s="1904">
        <v>0.2</v>
      </c>
      <c r="BY81" s="1904">
        <v>0.2</v>
      </c>
      <c r="BZ81" s="1904">
        <v>0.2</v>
      </c>
      <c r="CA81" s="1904">
        <v>0.2</v>
      </c>
      <c r="CB81" s="1905"/>
      <c r="CC81" s="1904"/>
      <c r="CD81" s="1904"/>
      <c r="CE81" s="2278"/>
    </row>
    <row r="82" spans="1:84">
      <c r="B82" s="1872" t="str">
        <f t="shared" si="74"/>
        <v>2.2.3</v>
      </c>
      <c r="C82" s="1895" t="str">
        <f t="shared" si="53"/>
        <v>主要内装仕上げ材の更新必要間隔</v>
      </c>
      <c r="D82" s="1885">
        <f t="shared" si="75"/>
        <v>0</v>
      </c>
      <c r="E82" s="1897">
        <f t="shared" si="75"/>
        <v>0</v>
      </c>
      <c r="G82" s="1897">
        <f t="shared" si="54"/>
        <v>0</v>
      </c>
      <c r="H82" s="1897">
        <f t="shared" si="55"/>
        <v>0</v>
      </c>
      <c r="I82" s="1897"/>
      <c r="J82" s="1897"/>
      <c r="K82" s="1897">
        <f>IF(スコア!M82=0,0,1)</f>
        <v>0</v>
      </c>
      <c r="L82" s="1897">
        <f>IF(スコア!O82=0,0,1)</f>
        <v>0</v>
      </c>
      <c r="M82" s="1897">
        <f t="shared" si="56"/>
        <v>0</v>
      </c>
      <c r="N82" s="1897">
        <f t="shared" si="57"/>
        <v>0</v>
      </c>
      <c r="P82" s="1898" t="str">
        <f t="shared" si="58"/>
        <v>2.2.3</v>
      </c>
      <c r="Q82" s="1898" t="str">
        <f t="shared" si="59"/>
        <v xml:space="preserve"> Q2 2.2</v>
      </c>
      <c r="R82" s="1899" t="str">
        <f t="shared" si="60"/>
        <v>主要内装仕上げ材の更新必要間隔</v>
      </c>
      <c r="S82" s="1900">
        <f t="shared" si="61"/>
        <v>0</v>
      </c>
      <c r="T82" s="1900">
        <f t="shared" si="62"/>
        <v>0</v>
      </c>
      <c r="U82" s="1900">
        <f t="shared" si="63"/>
        <v>0</v>
      </c>
      <c r="V82" s="1900">
        <f t="shared" si="64"/>
        <v>0</v>
      </c>
      <c r="W82" s="1900">
        <f t="shared" si="65"/>
        <v>0</v>
      </c>
      <c r="X82" s="1900">
        <f t="shared" si="66"/>
        <v>0</v>
      </c>
      <c r="Y82" s="1900">
        <f t="shared" si="67"/>
        <v>0</v>
      </c>
      <c r="Z82" s="1908">
        <f t="shared" si="68"/>
        <v>0</v>
      </c>
      <c r="AA82" s="1900">
        <f t="shared" si="69"/>
        <v>0</v>
      </c>
      <c r="AB82" s="1900">
        <f t="shared" si="70"/>
        <v>0</v>
      </c>
      <c r="AC82" s="1901">
        <f t="shared" si="71"/>
        <v>0</v>
      </c>
      <c r="AD82" s="1900">
        <f t="shared" si="72"/>
        <v>0</v>
      </c>
      <c r="AE82" s="1900">
        <f t="shared" si="73"/>
        <v>0</v>
      </c>
      <c r="AG82" s="1898" t="s">
        <v>2740</v>
      </c>
      <c r="AH82" s="1902" t="s">
        <v>2054</v>
      </c>
      <c r="AI82" s="1899" t="s">
        <v>2056</v>
      </c>
      <c r="AJ82" s="1909">
        <v>0</v>
      </c>
      <c r="AK82" s="1909">
        <v>0</v>
      </c>
      <c r="AL82" s="1909">
        <v>0</v>
      </c>
      <c r="AM82" s="1909">
        <v>0</v>
      </c>
      <c r="AN82" s="1909">
        <v>0</v>
      </c>
      <c r="AO82" s="1909">
        <v>0</v>
      </c>
      <c r="AP82" s="1909">
        <v>0</v>
      </c>
      <c r="AQ82" s="1909">
        <v>0</v>
      </c>
      <c r="AR82" s="1909">
        <v>0</v>
      </c>
      <c r="AS82" s="1904">
        <v>0</v>
      </c>
      <c r="AT82" s="1905">
        <v>0</v>
      </c>
      <c r="AU82" s="1904">
        <v>0</v>
      </c>
      <c r="AV82" s="1904">
        <v>0</v>
      </c>
      <c r="AX82" s="1898" t="s">
        <v>2740</v>
      </c>
      <c r="AY82" s="1902" t="s">
        <v>2054</v>
      </c>
      <c r="AZ82" s="1899" t="s">
        <v>2056</v>
      </c>
      <c r="BA82" s="1904">
        <v>0.1</v>
      </c>
      <c r="BB82" s="1904">
        <v>0.1</v>
      </c>
      <c r="BC82" s="1904">
        <v>0.1</v>
      </c>
      <c r="BD82" s="1904">
        <v>0.1</v>
      </c>
      <c r="BE82" s="1904">
        <v>0.1</v>
      </c>
      <c r="BF82" s="1904">
        <v>0.1</v>
      </c>
      <c r="BG82" s="1904">
        <v>0.1</v>
      </c>
      <c r="BH82" s="1904">
        <v>0.1</v>
      </c>
      <c r="BI82" s="1904">
        <v>0.1</v>
      </c>
      <c r="BJ82" s="1904">
        <v>0.1</v>
      </c>
      <c r="BK82" s="1905"/>
      <c r="BL82" s="1904"/>
      <c r="BM82" s="1904"/>
      <c r="BO82" s="1898" t="s">
        <v>2740</v>
      </c>
      <c r="BP82" s="1902" t="s">
        <v>2054</v>
      </c>
      <c r="BQ82" s="1899" t="s">
        <v>2056</v>
      </c>
      <c r="BR82" s="1904">
        <v>0.1</v>
      </c>
      <c r="BS82" s="1904">
        <v>0.1</v>
      </c>
      <c r="BT82" s="1904">
        <v>0.1</v>
      </c>
      <c r="BU82" s="1904">
        <v>0.1</v>
      </c>
      <c r="BV82" s="1904">
        <v>0.1</v>
      </c>
      <c r="BW82" s="1904">
        <v>0.1</v>
      </c>
      <c r="BX82" s="1904">
        <v>0.1</v>
      </c>
      <c r="BY82" s="1904">
        <v>0.1</v>
      </c>
      <c r="BZ82" s="1904">
        <v>0.1</v>
      </c>
      <c r="CA82" s="1904">
        <v>0.1</v>
      </c>
      <c r="CB82" s="1905"/>
      <c r="CC82" s="1904"/>
      <c r="CD82" s="1904"/>
      <c r="CE82" s="2278"/>
    </row>
    <row r="83" spans="1:84" s="1945" customFormat="1">
      <c r="A83"/>
      <c r="B83" s="1872" t="str">
        <f t="shared" si="74"/>
        <v>2.2.4</v>
      </c>
      <c r="C83" s="1895" t="str">
        <f t="shared" si="53"/>
        <v>空調換気ダクトの更新必要間隔</v>
      </c>
      <c r="D83" s="1885">
        <f t="shared" si="75"/>
        <v>0.11885245901639345</v>
      </c>
      <c r="E83" s="1897">
        <f t="shared" si="75"/>
        <v>0</v>
      </c>
      <c r="F83"/>
      <c r="G83" s="1897">
        <f t="shared" si="54"/>
        <v>0.1</v>
      </c>
      <c r="H83" s="1897">
        <f t="shared" si="55"/>
        <v>0</v>
      </c>
      <c r="I83" s="1897"/>
      <c r="J83" s="1897"/>
      <c r="K83" s="1897">
        <f>IF(スコア!M83=0,0,1)</f>
        <v>1</v>
      </c>
      <c r="L83" s="1897">
        <f>IF(スコア!O83=0,0,1)</f>
        <v>0</v>
      </c>
      <c r="M83" s="1897">
        <f t="shared" si="56"/>
        <v>0.1</v>
      </c>
      <c r="N83" s="1897">
        <f t="shared" si="57"/>
        <v>0</v>
      </c>
      <c r="O83"/>
      <c r="P83" s="1898" t="str">
        <f t="shared" si="58"/>
        <v>2.2.4</v>
      </c>
      <c r="Q83" s="1898" t="str">
        <f t="shared" si="59"/>
        <v xml:space="preserve"> Q2 2.2</v>
      </c>
      <c r="R83" s="1899" t="str">
        <f t="shared" si="60"/>
        <v>空調換気ダクトの更新必要間隔</v>
      </c>
      <c r="S83" s="1900">
        <f t="shared" si="61"/>
        <v>0.1</v>
      </c>
      <c r="T83" s="1900">
        <f t="shared" si="62"/>
        <v>0.1</v>
      </c>
      <c r="U83" s="1900">
        <f t="shared" si="63"/>
        <v>0.1</v>
      </c>
      <c r="V83" s="1900">
        <f t="shared" si="64"/>
        <v>0.1</v>
      </c>
      <c r="W83" s="1900">
        <f t="shared" si="65"/>
        <v>0.1</v>
      </c>
      <c r="X83" s="1900">
        <f t="shared" si="66"/>
        <v>0.1</v>
      </c>
      <c r="Y83" s="1900">
        <f t="shared" si="67"/>
        <v>0.1</v>
      </c>
      <c r="Z83" s="1908">
        <f t="shared" si="68"/>
        <v>0.1</v>
      </c>
      <c r="AA83" s="1900">
        <f t="shared" si="69"/>
        <v>0.1</v>
      </c>
      <c r="AB83" s="1900">
        <f t="shared" si="70"/>
        <v>0.1</v>
      </c>
      <c r="AC83" s="1901">
        <f t="shared" si="71"/>
        <v>0</v>
      </c>
      <c r="AD83" s="1900">
        <f t="shared" si="72"/>
        <v>0</v>
      </c>
      <c r="AE83" s="1900">
        <f t="shared" si="73"/>
        <v>0</v>
      </c>
      <c r="AF83"/>
      <c r="AG83" s="1898" t="s">
        <v>2741</v>
      </c>
      <c r="AH83" s="1902" t="s">
        <v>2054</v>
      </c>
      <c r="AI83" s="1899" t="s">
        <v>2057</v>
      </c>
      <c r="AJ83" s="1901">
        <v>0.1</v>
      </c>
      <c r="AK83" s="1901">
        <v>0.1</v>
      </c>
      <c r="AL83" s="1901">
        <v>0.1</v>
      </c>
      <c r="AM83" s="1901">
        <v>0.1</v>
      </c>
      <c r="AN83" s="1901">
        <v>0.1</v>
      </c>
      <c r="AO83" s="1901">
        <v>0.1</v>
      </c>
      <c r="AP83" s="1901">
        <v>0.1</v>
      </c>
      <c r="AQ83" s="1901">
        <v>0.1</v>
      </c>
      <c r="AR83" s="1901">
        <v>0.1</v>
      </c>
      <c r="AS83" s="1904">
        <v>0.1</v>
      </c>
      <c r="AT83" s="1905">
        <v>0</v>
      </c>
      <c r="AU83" s="1904">
        <v>0</v>
      </c>
      <c r="AV83" s="1904">
        <v>0</v>
      </c>
      <c r="AW83"/>
      <c r="AX83" s="1898" t="s">
        <v>2742</v>
      </c>
      <c r="AY83" s="1902" t="s">
        <v>2054</v>
      </c>
      <c r="AZ83" s="1899" t="s">
        <v>2027</v>
      </c>
      <c r="BA83" s="1904">
        <v>0.1</v>
      </c>
      <c r="BB83" s="1904">
        <v>0.1</v>
      </c>
      <c r="BC83" s="1904">
        <v>0.1</v>
      </c>
      <c r="BD83" s="1904">
        <v>0.1</v>
      </c>
      <c r="BE83" s="1904">
        <v>0.1</v>
      </c>
      <c r="BF83" s="1904">
        <v>0.1</v>
      </c>
      <c r="BG83" s="1904">
        <v>0.1</v>
      </c>
      <c r="BH83" s="1904">
        <v>0.1</v>
      </c>
      <c r="BI83" s="1904">
        <v>0.1</v>
      </c>
      <c r="BJ83" s="1904">
        <v>0.1</v>
      </c>
      <c r="BK83" s="1905"/>
      <c r="BL83" s="1904"/>
      <c r="BM83" s="1904"/>
      <c r="BN83"/>
      <c r="BO83" s="1898" t="s">
        <v>2742</v>
      </c>
      <c r="BP83" s="1902" t="s">
        <v>2054</v>
      </c>
      <c r="BQ83" s="1899" t="s">
        <v>2057</v>
      </c>
      <c r="BR83" s="1904">
        <v>0.1</v>
      </c>
      <c r="BS83" s="1904">
        <v>0.1</v>
      </c>
      <c r="BT83" s="1904">
        <v>0.1</v>
      </c>
      <c r="BU83" s="1904">
        <v>0.1</v>
      </c>
      <c r="BV83" s="1904">
        <v>0.1</v>
      </c>
      <c r="BW83" s="1904">
        <v>0.1</v>
      </c>
      <c r="BX83" s="1904">
        <v>0.1</v>
      </c>
      <c r="BY83" s="1904">
        <v>0.1</v>
      </c>
      <c r="BZ83" s="1904">
        <v>0.1</v>
      </c>
      <c r="CA83" s="1904">
        <v>0.1</v>
      </c>
      <c r="CB83" s="1905"/>
      <c r="CC83" s="1904"/>
      <c r="CD83" s="1904"/>
      <c r="CE83" s="2278"/>
      <c r="CF83"/>
    </row>
    <row r="84" spans="1:84" s="1945" customFormat="1">
      <c r="A84"/>
      <c r="B84" s="1872" t="str">
        <f t="shared" si="74"/>
        <v>2.2.5</v>
      </c>
      <c r="C84" s="1895" t="str">
        <f t="shared" si="53"/>
        <v>空調・給排水配管の更新必要間隔</v>
      </c>
      <c r="D84" s="1885">
        <f t="shared" si="75"/>
        <v>0.11885245901639345</v>
      </c>
      <c r="E84" s="1897">
        <f t="shared" si="75"/>
        <v>0</v>
      </c>
      <c r="F84"/>
      <c r="G84" s="1897">
        <f t="shared" si="54"/>
        <v>0.1</v>
      </c>
      <c r="H84" s="1897">
        <f t="shared" si="55"/>
        <v>0</v>
      </c>
      <c r="I84" s="1897"/>
      <c r="J84" s="1897"/>
      <c r="K84" s="1897">
        <f>IF(スコア!M85=0,0,1)</f>
        <v>1</v>
      </c>
      <c r="L84" s="1897">
        <f>IF(スコア!O85=0,0,1)</f>
        <v>0</v>
      </c>
      <c r="M84" s="1897">
        <f t="shared" si="56"/>
        <v>0.1</v>
      </c>
      <c r="N84" s="1897">
        <f t="shared" si="57"/>
        <v>0</v>
      </c>
      <c r="O84"/>
      <c r="P84" s="1898" t="str">
        <f t="shared" si="58"/>
        <v>2.2.5</v>
      </c>
      <c r="Q84" s="1898" t="str">
        <f t="shared" si="59"/>
        <v xml:space="preserve"> Q2 2.2</v>
      </c>
      <c r="R84" s="1899" t="str">
        <f t="shared" si="60"/>
        <v>空調・給排水配管の更新必要間隔</v>
      </c>
      <c r="S84" s="1900">
        <f t="shared" si="61"/>
        <v>0.1</v>
      </c>
      <c r="T84" s="1900">
        <f t="shared" si="62"/>
        <v>0.1</v>
      </c>
      <c r="U84" s="1900">
        <f t="shared" si="63"/>
        <v>0.1</v>
      </c>
      <c r="V84" s="1900">
        <f t="shared" si="64"/>
        <v>0.1</v>
      </c>
      <c r="W84" s="1900">
        <f t="shared" si="65"/>
        <v>0.1</v>
      </c>
      <c r="X84" s="1900">
        <f t="shared" si="66"/>
        <v>0.1</v>
      </c>
      <c r="Y84" s="1900">
        <f t="shared" si="67"/>
        <v>0.1</v>
      </c>
      <c r="Z84" s="1908">
        <f t="shared" si="68"/>
        <v>0.1</v>
      </c>
      <c r="AA84" s="1900">
        <f t="shared" si="69"/>
        <v>0.1</v>
      </c>
      <c r="AB84" s="1900">
        <f t="shared" si="70"/>
        <v>0.1</v>
      </c>
      <c r="AC84" s="1901">
        <f t="shared" si="71"/>
        <v>0</v>
      </c>
      <c r="AD84" s="1900">
        <f t="shared" si="72"/>
        <v>0</v>
      </c>
      <c r="AE84" s="1900">
        <f t="shared" si="73"/>
        <v>0</v>
      </c>
      <c r="AF84"/>
      <c r="AG84" s="1898" t="s">
        <v>2743</v>
      </c>
      <c r="AH84" s="1902" t="s">
        <v>2054</v>
      </c>
      <c r="AI84" s="1899" t="s">
        <v>2058</v>
      </c>
      <c r="AJ84" s="1901">
        <v>0.1</v>
      </c>
      <c r="AK84" s="1901">
        <v>0.1</v>
      </c>
      <c r="AL84" s="1901">
        <v>0.1</v>
      </c>
      <c r="AM84" s="1901">
        <v>0.1</v>
      </c>
      <c r="AN84" s="1901">
        <v>0.1</v>
      </c>
      <c r="AO84" s="1901">
        <v>0.1</v>
      </c>
      <c r="AP84" s="1901">
        <v>0.1</v>
      </c>
      <c r="AQ84" s="1901">
        <v>0.1</v>
      </c>
      <c r="AR84" s="1901">
        <v>0.1</v>
      </c>
      <c r="AS84" s="1904">
        <v>0.1</v>
      </c>
      <c r="AT84" s="1905"/>
      <c r="AU84" s="1904"/>
      <c r="AV84" s="1904"/>
      <c r="AW84"/>
      <c r="AX84" s="1898" t="s">
        <v>2744</v>
      </c>
      <c r="AY84" s="1902" t="s">
        <v>2054</v>
      </c>
      <c r="AZ84" s="1899" t="s">
        <v>2028</v>
      </c>
      <c r="BA84" s="1904">
        <v>0.2</v>
      </c>
      <c r="BB84" s="1904">
        <v>0.2</v>
      </c>
      <c r="BC84" s="1904">
        <v>0.2</v>
      </c>
      <c r="BD84" s="1904">
        <v>0.2</v>
      </c>
      <c r="BE84" s="1904">
        <v>0.2</v>
      </c>
      <c r="BF84" s="1904">
        <v>0.2</v>
      </c>
      <c r="BG84" s="1904">
        <v>0.2</v>
      </c>
      <c r="BH84" s="1904">
        <v>0.2</v>
      </c>
      <c r="BI84" s="1904">
        <v>0.2</v>
      </c>
      <c r="BJ84" s="1904">
        <v>0.2</v>
      </c>
      <c r="BK84" s="1905"/>
      <c r="BL84" s="1904"/>
      <c r="BM84" s="1904"/>
      <c r="BN84"/>
      <c r="BO84" s="1898" t="s">
        <v>2744</v>
      </c>
      <c r="BP84" s="1902" t="s">
        <v>2054</v>
      </c>
      <c r="BQ84" s="1899" t="s">
        <v>2058</v>
      </c>
      <c r="BR84" s="1904">
        <v>0.2</v>
      </c>
      <c r="BS84" s="1904">
        <v>0.2</v>
      </c>
      <c r="BT84" s="1904">
        <v>0.2</v>
      </c>
      <c r="BU84" s="1904">
        <v>0.2</v>
      </c>
      <c r="BV84" s="1904">
        <v>0.2</v>
      </c>
      <c r="BW84" s="1904">
        <v>0.2</v>
      </c>
      <c r="BX84" s="1904">
        <v>0.2</v>
      </c>
      <c r="BY84" s="1904">
        <v>0.2</v>
      </c>
      <c r="BZ84" s="1904">
        <v>0.2</v>
      </c>
      <c r="CA84" s="1904">
        <v>0.2</v>
      </c>
      <c r="CB84" s="1905"/>
      <c r="CC84" s="1904"/>
      <c r="CD84" s="1904"/>
      <c r="CE84" s="2278"/>
      <c r="CF84"/>
    </row>
    <row r="85" spans="1:84">
      <c r="B85" s="1872" t="str">
        <f t="shared" si="74"/>
        <v>2.2.6</v>
      </c>
      <c r="C85" s="1949" t="str">
        <f t="shared" si="53"/>
        <v>主要設備機器の更新必要間隔</v>
      </c>
      <c r="D85" s="1885">
        <f t="shared" si="75"/>
        <v>0.25409836065573771</v>
      </c>
      <c r="E85" s="1897">
        <f t="shared" si="75"/>
        <v>0</v>
      </c>
      <c r="G85" s="1897">
        <f t="shared" si="54"/>
        <v>0.21379310344827587</v>
      </c>
      <c r="H85" s="1897">
        <f t="shared" si="55"/>
        <v>0</v>
      </c>
      <c r="I85" s="1897"/>
      <c r="J85" s="1897"/>
      <c r="K85" s="1897">
        <f>IF(スコア!M85=0,0,1)</f>
        <v>1</v>
      </c>
      <c r="L85" s="1897">
        <f>IF(スコア!O85=0,0,1)</f>
        <v>0</v>
      </c>
      <c r="M85" s="1897">
        <f t="shared" si="56"/>
        <v>0.21379310344827587</v>
      </c>
      <c r="N85" s="1897">
        <f t="shared" si="57"/>
        <v>0</v>
      </c>
      <c r="P85" s="1898" t="str">
        <f t="shared" si="58"/>
        <v>2.2.6</v>
      </c>
      <c r="Q85" s="1898" t="str">
        <f t="shared" si="59"/>
        <v xml:space="preserve"> Q2 2.2</v>
      </c>
      <c r="R85" s="1899" t="str">
        <f t="shared" si="60"/>
        <v>主要設備機器の更新必要間隔</v>
      </c>
      <c r="S85" s="1900">
        <f t="shared" si="61"/>
        <v>0.2</v>
      </c>
      <c r="T85" s="1900">
        <f t="shared" si="62"/>
        <v>0.2</v>
      </c>
      <c r="U85" s="1900">
        <f t="shared" si="63"/>
        <v>0.2</v>
      </c>
      <c r="V85" s="1900">
        <f t="shared" si="64"/>
        <v>0.2</v>
      </c>
      <c r="W85" s="1900">
        <f t="shared" si="65"/>
        <v>0.2</v>
      </c>
      <c r="X85" s="1900">
        <f t="shared" si="66"/>
        <v>0.2</v>
      </c>
      <c r="Y85" s="1900">
        <f t="shared" si="67"/>
        <v>0.2</v>
      </c>
      <c r="Z85" s="1908">
        <f t="shared" si="68"/>
        <v>0.2</v>
      </c>
      <c r="AA85" s="1900">
        <f t="shared" si="69"/>
        <v>0.2</v>
      </c>
      <c r="AB85" s="1900">
        <f t="shared" si="70"/>
        <v>0.25</v>
      </c>
      <c r="AC85" s="1901">
        <f t="shared" si="71"/>
        <v>0</v>
      </c>
      <c r="AD85" s="1900">
        <f t="shared" si="72"/>
        <v>0</v>
      </c>
      <c r="AE85" s="1900">
        <f t="shared" si="73"/>
        <v>0</v>
      </c>
      <c r="AG85" s="1898" t="s">
        <v>2745</v>
      </c>
      <c r="AH85" s="1902" t="s">
        <v>2054</v>
      </c>
      <c r="AI85" s="1899" t="s">
        <v>2059</v>
      </c>
      <c r="AJ85" s="1901">
        <v>0.2</v>
      </c>
      <c r="AK85" s="1901">
        <v>0.2</v>
      </c>
      <c r="AL85" s="1901">
        <v>0.2</v>
      </c>
      <c r="AM85" s="1901">
        <v>0.2</v>
      </c>
      <c r="AN85" s="1901">
        <v>0.2</v>
      </c>
      <c r="AO85" s="1901">
        <v>0.2</v>
      </c>
      <c r="AP85" s="1901">
        <v>0.2</v>
      </c>
      <c r="AQ85" s="1901">
        <v>0.2</v>
      </c>
      <c r="AR85" s="1901">
        <v>0.2</v>
      </c>
      <c r="AS85" s="1904">
        <v>0.25</v>
      </c>
      <c r="AT85" s="1905">
        <v>0</v>
      </c>
      <c r="AU85" s="1904">
        <v>0</v>
      </c>
      <c r="AV85" s="1904">
        <v>0</v>
      </c>
      <c r="AX85" s="1898" t="s">
        <v>2745</v>
      </c>
      <c r="AY85" s="1902" t="s">
        <v>2054</v>
      </c>
      <c r="AZ85" s="1899" t="s">
        <v>2059</v>
      </c>
      <c r="BA85" s="1904">
        <v>0.2</v>
      </c>
      <c r="BB85" s="1904">
        <v>0.2</v>
      </c>
      <c r="BC85" s="1904">
        <v>0.2</v>
      </c>
      <c r="BD85" s="1904">
        <v>0.2</v>
      </c>
      <c r="BE85" s="1904">
        <v>0.2</v>
      </c>
      <c r="BF85" s="1904">
        <v>0.2</v>
      </c>
      <c r="BG85" s="1904">
        <v>0.2</v>
      </c>
      <c r="BH85" s="1904">
        <v>0.2</v>
      </c>
      <c r="BI85" s="1904">
        <v>0.2</v>
      </c>
      <c r="BJ85" s="1904">
        <v>0.2</v>
      </c>
      <c r="BK85" s="1905"/>
      <c r="BL85" s="1904"/>
      <c r="BM85" s="1904"/>
      <c r="BO85" s="1898" t="s">
        <v>2745</v>
      </c>
      <c r="BP85" s="1902" t="s">
        <v>2054</v>
      </c>
      <c r="BQ85" s="1899" t="s">
        <v>2059</v>
      </c>
      <c r="BR85" s="1904">
        <v>0.2</v>
      </c>
      <c r="BS85" s="1904">
        <v>0.2</v>
      </c>
      <c r="BT85" s="1904">
        <v>0.2</v>
      </c>
      <c r="BU85" s="1904">
        <v>0.2</v>
      </c>
      <c r="BV85" s="1904">
        <v>0.2</v>
      </c>
      <c r="BW85" s="1904">
        <v>0.2</v>
      </c>
      <c r="BX85" s="1904">
        <v>0.2</v>
      </c>
      <c r="BY85" s="1904">
        <v>0.2</v>
      </c>
      <c r="BZ85" s="1904">
        <v>0.2</v>
      </c>
      <c r="CA85" s="1904">
        <v>0.2</v>
      </c>
      <c r="CB85" s="1905"/>
      <c r="CC85" s="1904"/>
      <c r="CD85" s="1904"/>
      <c r="CE85" s="2278"/>
    </row>
    <row r="86" spans="1:84">
      <c r="B86" s="1872">
        <f t="shared" si="74"/>
        <v>2.2999999999999998</v>
      </c>
      <c r="C86" s="1949" t="str">
        <f t="shared" si="53"/>
        <v>適切な更新</v>
      </c>
      <c r="D86" s="1896">
        <f>IF(I$75=0,0,G86/I$75)</f>
        <v>0.25</v>
      </c>
      <c r="E86" s="1897">
        <f>IF(J$75=0,0,H86/J$75)</f>
        <v>0</v>
      </c>
      <c r="G86" s="1897">
        <f t="shared" si="54"/>
        <v>0.25</v>
      </c>
      <c r="H86" s="1897">
        <f t="shared" si="55"/>
        <v>0</v>
      </c>
      <c r="I86" s="1897">
        <f>G87+G88+G89</f>
        <v>1</v>
      </c>
      <c r="J86" s="1897">
        <f>H87+H88+H89</f>
        <v>0</v>
      </c>
      <c r="K86" s="1897">
        <f>IF(スコア!M86=0,0,1)</f>
        <v>1</v>
      </c>
      <c r="L86" s="1897">
        <f>IF(スコア!O90=0,0,1)</f>
        <v>0</v>
      </c>
      <c r="M86" s="1897">
        <f t="shared" si="56"/>
        <v>0.25</v>
      </c>
      <c r="N86" s="1897">
        <f t="shared" si="57"/>
        <v>0</v>
      </c>
      <c r="P86" s="1898">
        <f t="shared" si="58"/>
        <v>2.2999999999999998</v>
      </c>
      <c r="Q86" s="1898" t="str">
        <f t="shared" si="59"/>
        <v xml:space="preserve"> Q2 2</v>
      </c>
      <c r="R86" s="1899" t="str">
        <f t="shared" si="60"/>
        <v>適切な更新</v>
      </c>
      <c r="S86" s="1900">
        <f t="shared" si="61"/>
        <v>0.25</v>
      </c>
      <c r="T86" s="1900">
        <f t="shared" si="62"/>
        <v>0.25</v>
      </c>
      <c r="U86" s="1900">
        <f t="shared" si="63"/>
        <v>0.25</v>
      </c>
      <c r="V86" s="1900">
        <f t="shared" si="64"/>
        <v>0.25</v>
      </c>
      <c r="W86" s="1900">
        <f t="shared" si="65"/>
        <v>0.25</v>
      </c>
      <c r="X86" s="1900">
        <f t="shared" si="66"/>
        <v>0.25</v>
      </c>
      <c r="Y86" s="1900">
        <f t="shared" si="67"/>
        <v>0.25</v>
      </c>
      <c r="Z86" s="1908">
        <f t="shared" si="68"/>
        <v>0.25</v>
      </c>
      <c r="AA86" s="1900">
        <f t="shared" si="69"/>
        <v>0.25</v>
      </c>
      <c r="AB86" s="1900">
        <f t="shared" si="70"/>
        <v>0.25</v>
      </c>
      <c r="AC86" s="1901">
        <f t="shared" si="71"/>
        <v>0</v>
      </c>
      <c r="AD86" s="1900">
        <f t="shared" si="72"/>
        <v>0</v>
      </c>
      <c r="AE86" s="1900">
        <f t="shared" si="73"/>
        <v>0</v>
      </c>
      <c r="AG86" s="1898">
        <v>2.2999999999999998</v>
      </c>
      <c r="AH86" s="1898" t="s">
        <v>2746</v>
      </c>
      <c r="AI86" s="1902" t="s">
        <v>793</v>
      </c>
      <c r="AJ86" s="1900">
        <v>0.25</v>
      </c>
      <c r="AK86" s="1900">
        <v>0.25</v>
      </c>
      <c r="AL86" s="1900">
        <v>0.25</v>
      </c>
      <c r="AM86" s="1900">
        <v>0.25</v>
      </c>
      <c r="AN86" s="1900">
        <v>0.25</v>
      </c>
      <c r="AO86" s="1900">
        <v>0.25</v>
      </c>
      <c r="AP86" s="1900">
        <v>0.25</v>
      </c>
      <c r="AQ86" s="1908">
        <v>0.25</v>
      </c>
      <c r="AR86" s="1900">
        <v>0.25</v>
      </c>
      <c r="AS86" s="1904">
        <v>0.25</v>
      </c>
      <c r="AT86" s="1904"/>
      <c r="AU86" s="1905"/>
      <c r="AV86" s="1904"/>
      <c r="AX86" s="1922">
        <v>2.2999999999999998</v>
      </c>
      <c r="AY86" s="1950" t="s">
        <v>2050</v>
      </c>
      <c r="AZ86" s="1923" t="s">
        <v>2029</v>
      </c>
      <c r="BA86" s="1927">
        <v>0</v>
      </c>
      <c r="BB86" s="1927">
        <v>0</v>
      </c>
      <c r="BC86" s="1927">
        <v>0</v>
      </c>
      <c r="BD86" s="1927">
        <v>0</v>
      </c>
      <c r="BE86" s="1927">
        <v>0</v>
      </c>
      <c r="BF86" s="1927">
        <v>0</v>
      </c>
      <c r="BG86" s="1927">
        <v>0</v>
      </c>
      <c r="BH86" s="1927">
        <v>0</v>
      </c>
      <c r="BI86" s="1927">
        <v>0</v>
      </c>
      <c r="BJ86" s="1927">
        <v>0</v>
      </c>
      <c r="BK86" s="1929"/>
      <c r="BL86" s="1927"/>
      <c r="BM86" s="1927"/>
      <c r="BO86" s="1922">
        <v>2.2999999999999998</v>
      </c>
      <c r="BP86" s="1950" t="s">
        <v>2050</v>
      </c>
      <c r="BQ86" s="1923" t="s">
        <v>793</v>
      </c>
      <c r="BR86" s="1927">
        <v>0</v>
      </c>
      <c r="BS86" s="1927">
        <v>0</v>
      </c>
      <c r="BT86" s="1927">
        <v>0</v>
      </c>
      <c r="BU86" s="1927">
        <v>0</v>
      </c>
      <c r="BV86" s="1927">
        <v>0</v>
      </c>
      <c r="BW86" s="1927">
        <v>0</v>
      </c>
      <c r="BX86" s="1927">
        <v>0</v>
      </c>
      <c r="BY86" s="1927">
        <v>0</v>
      </c>
      <c r="BZ86" s="1927">
        <v>0</v>
      </c>
      <c r="CA86" s="1927">
        <v>0</v>
      </c>
      <c r="CB86" s="1927"/>
      <c r="CC86" s="1927"/>
      <c r="CD86" s="1927"/>
      <c r="CE86" s="2278"/>
    </row>
    <row r="87" spans="1:84">
      <c r="B87" s="1872" t="str">
        <f t="shared" si="74"/>
        <v>2.3.1</v>
      </c>
      <c r="C87" s="1949" t="str">
        <f t="shared" si="53"/>
        <v>屋上（屋根）・外壁仕上げ材の更新</v>
      </c>
      <c r="D87" s="1885">
        <f t="shared" ref="D87:E89" si="76">IF(I$79&gt;0,G87/I$79,0)</f>
        <v>0.39617486338797819</v>
      </c>
      <c r="E87" s="1897">
        <f t="shared" si="76"/>
        <v>0</v>
      </c>
      <c r="G87" s="1897">
        <f t="shared" si="54"/>
        <v>0.33333333333333337</v>
      </c>
      <c r="H87" s="1897">
        <f t="shared" si="55"/>
        <v>0</v>
      </c>
      <c r="I87" s="1897"/>
      <c r="J87" s="1897"/>
      <c r="K87" s="1897">
        <f>IF(スコア!M87=0,0,1)</f>
        <v>1</v>
      </c>
      <c r="L87" s="1897">
        <f>IF(スコア!O91=0,0,1)</f>
        <v>0</v>
      </c>
      <c r="M87" s="1897">
        <f t="shared" si="56"/>
        <v>0.33333333333333337</v>
      </c>
      <c r="N87" s="1897">
        <f t="shared" si="57"/>
        <v>0</v>
      </c>
      <c r="P87" s="1898" t="str">
        <f t="shared" si="58"/>
        <v>2.3.1</v>
      </c>
      <c r="Q87" s="1898" t="str">
        <f t="shared" si="59"/>
        <v xml:space="preserve"> Q2 2.3</v>
      </c>
      <c r="R87" s="1899" t="str">
        <f t="shared" si="60"/>
        <v>屋上（屋根）・外壁仕上げ材の更新</v>
      </c>
      <c r="S87" s="1900">
        <f t="shared" si="61"/>
        <v>0.33333333333333331</v>
      </c>
      <c r="T87" s="1900">
        <f t="shared" si="62"/>
        <v>0.33333333333333331</v>
      </c>
      <c r="U87" s="1900">
        <f t="shared" si="63"/>
        <v>0.33333333333333331</v>
      </c>
      <c r="V87" s="1900">
        <f t="shared" si="64"/>
        <v>0.33333333333333331</v>
      </c>
      <c r="W87" s="1900">
        <f t="shared" si="65"/>
        <v>0.33333333333333331</v>
      </c>
      <c r="X87" s="1900">
        <f t="shared" si="66"/>
        <v>0.33333333333333331</v>
      </c>
      <c r="Y87" s="1900">
        <f t="shared" si="67"/>
        <v>0.33333333333333331</v>
      </c>
      <c r="Z87" s="1908">
        <f t="shared" si="68"/>
        <v>0.33333333333333331</v>
      </c>
      <c r="AA87" s="1900">
        <f t="shared" si="69"/>
        <v>0.33333333333333331</v>
      </c>
      <c r="AB87" s="1900">
        <f t="shared" si="70"/>
        <v>0.33333333333333331</v>
      </c>
      <c r="AC87" s="1901">
        <f t="shared" si="71"/>
        <v>0</v>
      </c>
      <c r="AD87" s="1900">
        <f t="shared" si="72"/>
        <v>0</v>
      </c>
      <c r="AE87" s="1900">
        <f t="shared" si="73"/>
        <v>0</v>
      </c>
      <c r="AG87" s="1898" t="s">
        <v>2747</v>
      </c>
      <c r="AH87" s="1898" t="s">
        <v>2748</v>
      </c>
      <c r="AI87" s="1902" t="s">
        <v>77</v>
      </c>
      <c r="AJ87" s="1938">
        <v>0.33333333333333331</v>
      </c>
      <c r="AK87" s="1938">
        <v>0.33333333333333331</v>
      </c>
      <c r="AL87" s="1938">
        <v>0.33333333333333331</v>
      </c>
      <c r="AM87" s="1938">
        <v>0.33333333333333331</v>
      </c>
      <c r="AN87" s="1938">
        <v>0.33333333333333331</v>
      </c>
      <c r="AO87" s="1938">
        <v>0.33333333333333331</v>
      </c>
      <c r="AP87" s="1938">
        <v>0.33333333333333331</v>
      </c>
      <c r="AQ87" s="1938">
        <v>0.33333333333333331</v>
      </c>
      <c r="AR87" s="1938">
        <v>0.33333333333333331</v>
      </c>
      <c r="AS87" s="1904">
        <v>0.33333333333333331</v>
      </c>
      <c r="AT87" s="1904"/>
      <c r="AU87" s="1905"/>
      <c r="AV87" s="1904"/>
      <c r="AX87" s="1922" t="s">
        <v>2749</v>
      </c>
      <c r="AY87" s="704" t="s">
        <v>2060</v>
      </c>
      <c r="AZ87" s="1923" t="s">
        <v>2030</v>
      </c>
      <c r="BA87" s="1927">
        <v>0</v>
      </c>
      <c r="BB87" s="1927">
        <v>0</v>
      </c>
      <c r="BC87" s="1927">
        <v>0</v>
      </c>
      <c r="BD87" s="1927">
        <v>0</v>
      </c>
      <c r="BE87" s="1927">
        <v>0</v>
      </c>
      <c r="BF87" s="1927">
        <v>0</v>
      </c>
      <c r="BG87" s="1927">
        <v>0</v>
      </c>
      <c r="BH87" s="1927">
        <v>0</v>
      </c>
      <c r="BI87" s="1927">
        <v>0</v>
      </c>
      <c r="BJ87" s="1927">
        <v>0</v>
      </c>
      <c r="BK87" s="1929"/>
      <c r="BL87" s="1927"/>
      <c r="BM87" s="1927"/>
      <c r="BO87" s="1922" t="s">
        <v>2749</v>
      </c>
      <c r="BP87" s="704" t="s">
        <v>2060</v>
      </c>
      <c r="BQ87" s="1923" t="s">
        <v>77</v>
      </c>
      <c r="BR87" s="1927">
        <v>0</v>
      </c>
      <c r="BS87" s="1927">
        <v>0</v>
      </c>
      <c r="BT87" s="1927">
        <v>0</v>
      </c>
      <c r="BU87" s="1927">
        <v>0</v>
      </c>
      <c r="BV87" s="1927">
        <v>0</v>
      </c>
      <c r="BW87" s="1927">
        <v>0</v>
      </c>
      <c r="BX87" s="1927">
        <v>0</v>
      </c>
      <c r="BY87" s="1927">
        <v>0</v>
      </c>
      <c r="BZ87" s="1927">
        <v>0</v>
      </c>
      <c r="CA87" s="1927">
        <v>0</v>
      </c>
      <c r="CB87" s="1927"/>
      <c r="CC87" s="1927"/>
      <c r="CD87" s="1927"/>
      <c r="CE87" s="2278"/>
    </row>
    <row r="88" spans="1:84">
      <c r="B88" s="1872" t="str">
        <f t="shared" si="74"/>
        <v>2.3.2</v>
      </c>
      <c r="C88" s="1949" t="str">
        <f t="shared" si="53"/>
        <v>配管・配線材の更新</v>
      </c>
      <c r="D88" s="1885">
        <f t="shared" si="76"/>
        <v>0.39617486338797819</v>
      </c>
      <c r="E88" s="1897">
        <f t="shared" si="76"/>
        <v>0</v>
      </c>
      <c r="G88" s="1897">
        <f t="shared" si="54"/>
        <v>0.33333333333333337</v>
      </c>
      <c r="H88" s="1897">
        <f t="shared" si="55"/>
        <v>0</v>
      </c>
      <c r="I88" s="1897"/>
      <c r="J88" s="1897"/>
      <c r="K88" s="1897">
        <f>IF(スコア!M88=0,0,1)</f>
        <v>1</v>
      </c>
      <c r="L88" s="1897">
        <f>IF(スコア!O92=0,0,1)</f>
        <v>0</v>
      </c>
      <c r="M88" s="1897">
        <f t="shared" si="56"/>
        <v>0.33333333333333337</v>
      </c>
      <c r="N88" s="1897">
        <f t="shared" si="57"/>
        <v>0</v>
      </c>
      <c r="P88" s="1898" t="str">
        <f t="shared" si="58"/>
        <v>2.3.2</v>
      </c>
      <c r="Q88" s="1898" t="str">
        <f t="shared" si="59"/>
        <v xml:space="preserve"> Q2 2.3</v>
      </c>
      <c r="R88" s="1899" t="str">
        <f t="shared" si="60"/>
        <v>配管・配線材の更新</v>
      </c>
      <c r="S88" s="1900">
        <f t="shared" si="61"/>
        <v>0.33333333333333331</v>
      </c>
      <c r="T88" s="1900">
        <f t="shared" si="62"/>
        <v>0.33333333333333331</v>
      </c>
      <c r="U88" s="1900">
        <f t="shared" si="63"/>
        <v>0.33333333333333331</v>
      </c>
      <c r="V88" s="1900">
        <f t="shared" si="64"/>
        <v>0.33333333333333331</v>
      </c>
      <c r="W88" s="1900">
        <f t="shared" si="65"/>
        <v>0.33333333333333331</v>
      </c>
      <c r="X88" s="1900">
        <f t="shared" si="66"/>
        <v>0.33333333333333331</v>
      </c>
      <c r="Y88" s="1900">
        <f t="shared" si="67"/>
        <v>0.33333333333333331</v>
      </c>
      <c r="Z88" s="1908">
        <f t="shared" si="68"/>
        <v>0.33333333333333331</v>
      </c>
      <c r="AA88" s="1900">
        <f t="shared" si="69"/>
        <v>0.33333333333333331</v>
      </c>
      <c r="AB88" s="1900">
        <f t="shared" si="70"/>
        <v>0.33333333333333331</v>
      </c>
      <c r="AC88" s="1901">
        <f t="shared" si="71"/>
        <v>0</v>
      </c>
      <c r="AD88" s="1900">
        <f t="shared" si="72"/>
        <v>0</v>
      </c>
      <c r="AE88" s="1900">
        <f t="shared" si="73"/>
        <v>0</v>
      </c>
      <c r="AG88" s="1898" t="s">
        <v>2750</v>
      </c>
      <c r="AH88" s="1898" t="s">
        <v>2751</v>
      </c>
      <c r="AI88" s="1902" t="s">
        <v>78</v>
      </c>
      <c r="AJ88" s="1938">
        <v>0.33333333333333331</v>
      </c>
      <c r="AK88" s="1938">
        <v>0.33333333333333331</v>
      </c>
      <c r="AL88" s="1938">
        <v>0.33333333333333331</v>
      </c>
      <c r="AM88" s="1938">
        <v>0.33333333333333331</v>
      </c>
      <c r="AN88" s="1938">
        <v>0.33333333333333331</v>
      </c>
      <c r="AO88" s="1938">
        <v>0.33333333333333331</v>
      </c>
      <c r="AP88" s="1938">
        <v>0.33333333333333331</v>
      </c>
      <c r="AQ88" s="1938">
        <v>0.33333333333333331</v>
      </c>
      <c r="AR88" s="1938">
        <v>0.33333333333333331</v>
      </c>
      <c r="AS88" s="1904">
        <v>0.33333333333333331</v>
      </c>
      <c r="AT88" s="1904"/>
      <c r="AU88" s="1905"/>
      <c r="AV88" s="1904"/>
      <c r="AX88" s="1922" t="s">
        <v>1380</v>
      </c>
      <c r="AY88" s="704" t="s">
        <v>2060</v>
      </c>
      <c r="AZ88" s="1923" t="s">
        <v>2031</v>
      </c>
      <c r="BA88" s="1927">
        <v>0</v>
      </c>
      <c r="BB88" s="1927">
        <v>0</v>
      </c>
      <c r="BC88" s="1927">
        <v>0</v>
      </c>
      <c r="BD88" s="1927">
        <v>0</v>
      </c>
      <c r="BE88" s="1927">
        <v>0</v>
      </c>
      <c r="BF88" s="1927">
        <v>0</v>
      </c>
      <c r="BG88" s="1927">
        <v>0</v>
      </c>
      <c r="BH88" s="1927">
        <v>0</v>
      </c>
      <c r="BI88" s="1927">
        <v>0</v>
      </c>
      <c r="BJ88" s="1927">
        <v>0</v>
      </c>
      <c r="BK88" s="1929"/>
      <c r="BL88" s="1927"/>
      <c r="BM88" s="1927"/>
      <c r="BO88" s="1922" t="s">
        <v>1380</v>
      </c>
      <c r="BP88" s="704" t="s">
        <v>2060</v>
      </c>
      <c r="BQ88" s="1923" t="s">
        <v>78</v>
      </c>
      <c r="BR88" s="1927">
        <v>0</v>
      </c>
      <c r="BS88" s="1927">
        <v>0</v>
      </c>
      <c r="BT88" s="1927">
        <v>0</v>
      </c>
      <c r="BU88" s="1927">
        <v>0</v>
      </c>
      <c r="BV88" s="1927">
        <v>0</v>
      </c>
      <c r="BW88" s="1927">
        <v>0</v>
      </c>
      <c r="BX88" s="1927">
        <v>0</v>
      </c>
      <c r="BY88" s="1927">
        <v>0</v>
      </c>
      <c r="BZ88" s="1927">
        <v>0</v>
      </c>
      <c r="CA88" s="1927">
        <v>0</v>
      </c>
      <c r="CB88" s="1927"/>
      <c r="CC88" s="1927"/>
      <c r="CD88" s="1927"/>
      <c r="CE88" s="2278"/>
    </row>
    <row r="89" spans="1:84">
      <c r="B89" s="1872" t="str">
        <f t="shared" si="74"/>
        <v>2.3.3</v>
      </c>
      <c r="C89" s="1949" t="str">
        <f t="shared" si="53"/>
        <v>主要設備機器の更新</v>
      </c>
      <c r="D89" s="1885">
        <f t="shared" si="76"/>
        <v>0.39617486338797819</v>
      </c>
      <c r="E89" s="1897">
        <f t="shared" si="76"/>
        <v>0</v>
      </c>
      <c r="G89" s="1897">
        <f t="shared" si="54"/>
        <v>0.33333333333333337</v>
      </c>
      <c r="H89" s="1897">
        <f t="shared" si="55"/>
        <v>0</v>
      </c>
      <c r="I89" s="1897"/>
      <c r="J89" s="1897"/>
      <c r="K89" s="1897">
        <f>IF(スコア!M89=0,0,1)</f>
        <v>1</v>
      </c>
      <c r="L89" s="1897">
        <f>IF(スコア!O93=0,0,1)</f>
        <v>0</v>
      </c>
      <c r="M89" s="1897">
        <f t="shared" si="56"/>
        <v>0.33333333333333337</v>
      </c>
      <c r="N89" s="1897">
        <f t="shared" si="57"/>
        <v>0</v>
      </c>
      <c r="P89" s="1898" t="str">
        <f t="shared" si="58"/>
        <v>2.3.3</v>
      </c>
      <c r="Q89" s="1898" t="str">
        <f t="shared" si="59"/>
        <v xml:space="preserve"> Q2 2.3</v>
      </c>
      <c r="R89" s="1899" t="str">
        <f t="shared" si="60"/>
        <v>主要設備機器の更新</v>
      </c>
      <c r="S89" s="1900">
        <f t="shared" si="61"/>
        <v>0.33333333333333331</v>
      </c>
      <c r="T89" s="1900">
        <f t="shared" si="62"/>
        <v>0.33333333333333331</v>
      </c>
      <c r="U89" s="1900">
        <f t="shared" si="63"/>
        <v>0.33333333333333331</v>
      </c>
      <c r="V89" s="1900">
        <f t="shared" si="64"/>
        <v>0.33333333333333331</v>
      </c>
      <c r="W89" s="1900">
        <f t="shared" si="65"/>
        <v>0.33333333333333331</v>
      </c>
      <c r="X89" s="1900">
        <f t="shared" si="66"/>
        <v>0.33333333333333331</v>
      </c>
      <c r="Y89" s="1900">
        <f t="shared" si="67"/>
        <v>0.33333333333333331</v>
      </c>
      <c r="Z89" s="1908">
        <f t="shared" si="68"/>
        <v>0.33333333333333331</v>
      </c>
      <c r="AA89" s="1900">
        <f t="shared" si="69"/>
        <v>0.33333333333333331</v>
      </c>
      <c r="AB89" s="1900">
        <f t="shared" si="70"/>
        <v>0.33333333333333331</v>
      </c>
      <c r="AC89" s="1901">
        <f t="shared" si="71"/>
        <v>0</v>
      </c>
      <c r="AD89" s="1900">
        <f t="shared" si="72"/>
        <v>0</v>
      </c>
      <c r="AE89" s="1900">
        <f t="shared" si="73"/>
        <v>0</v>
      </c>
      <c r="AG89" s="1898" t="s">
        <v>1381</v>
      </c>
      <c r="AH89" s="1898" t="s">
        <v>1382</v>
      </c>
      <c r="AI89" s="1902" t="s">
        <v>2061</v>
      </c>
      <c r="AJ89" s="1938">
        <v>0.33333333333333331</v>
      </c>
      <c r="AK89" s="1938">
        <v>0.33333333333333331</v>
      </c>
      <c r="AL89" s="1938">
        <v>0.33333333333333331</v>
      </c>
      <c r="AM89" s="1938">
        <v>0.33333333333333331</v>
      </c>
      <c r="AN89" s="1938">
        <v>0.33333333333333331</v>
      </c>
      <c r="AO89" s="1938">
        <v>0.33333333333333331</v>
      </c>
      <c r="AP89" s="1938">
        <v>0.33333333333333331</v>
      </c>
      <c r="AQ89" s="1938">
        <v>0.33333333333333331</v>
      </c>
      <c r="AR89" s="1938">
        <v>0.33333333333333331</v>
      </c>
      <c r="AS89" s="1904">
        <v>0.33333333333333331</v>
      </c>
      <c r="AT89" s="1904"/>
      <c r="AU89" s="1905"/>
      <c r="AV89" s="1904"/>
      <c r="AX89" s="1922" t="s">
        <v>1383</v>
      </c>
      <c r="AY89" s="704" t="s">
        <v>2060</v>
      </c>
      <c r="AZ89" s="1923" t="s">
        <v>2032</v>
      </c>
      <c r="BA89" s="1927">
        <v>0</v>
      </c>
      <c r="BB89" s="1927">
        <v>0</v>
      </c>
      <c r="BC89" s="1927">
        <v>0</v>
      </c>
      <c r="BD89" s="1927">
        <v>0</v>
      </c>
      <c r="BE89" s="1927">
        <v>0</v>
      </c>
      <c r="BF89" s="1927">
        <v>0</v>
      </c>
      <c r="BG89" s="1927">
        <v>0</v>
      </c>
      <c r="BH89" s="1927">
        <v>0</v>
      </c>
      <c r="BI89" s="1927">
        <v>0</v>
      </c>
      <c r="BJ89" s="1927">
        <v>0</v>
      </c>
      <c r="BK89" s="1929"/>
      <c r="BL89" s="1927"/>
      <c r="BM89" s="1927"/>
      <c r="BO89" s="1922" t="s">
        <v>1383</v>
      </c>
      <c r="BP89" s="704" t="s">
        <v>2060</v>
      </c>
      <c r="BQ89" s="1923" t="s">
        <v>2061</v>
      </c>
      <c r="BR89" s="1927">
        <v>0</v>
      </c>
      <c r="BS89" s="1927">
        <v>0</v>
      </c>
      <c r="BT89" s="1927">
        <v>0</v>
      </c>
      <c r="BU89" s="1927">
        <v>0</v>
      </c>
      <c r="BV89" s="1927">
        <v>0</v>
      </c>
      <c r="BW89" s="1927">
        <v>0</v>
      </c>
      <c r="BX89" s="1927">
        <v>0</v>
      </c>
      <c r="BY89" s="1927">
        <v>0</v>
      </c>
      <c r="BZ89" s="1927">
        <v>0</v>
      </c>
      <c r="CA89" s="1927">
        <v>0</v>
      </c>
      <c r="CB89" s="1927"/>
      <c r="CC89" s="1927"/>
      <c r="CD89" s="1927"/>
      <c r="CE89" s="2278"/>
    </row>
    <row r="90" spans="1:84">
      <c r="B90" s="1872">
        <f t="shared" si="74"/>
        <v>2.4</v>
      </c>
      <c r="C90" s="1899" t="str">
        <f t="shared" si="53"/>
        <v>信頼性</v>
      </c>
      <c r="D90" s="1896">
        <f>IF(I$75=0,0,G90/I$75)</f>
        <v>0.25</v>
      </c>
      <c r="E90" s="1897">
        <f>IF(J$75=0,0,H90/J$75)</f>
        <v>0</v>
      </c>
      <c r="G90" s="1897">
        <f t="shared" si="54"/>
        <v>0.25</v>
      </c>
      <c r="H90" s="1897">
        <f t="shared" si="55"/>
        <v>0</v>
      </c>
      <c r="I90" s="1897">
        <f>SUM(G91:G95)</f>
        <v>1</v>
      </c>
      <c r="J90" s="1897">
        <f>SUM(H91:H95)</f>
        <v>0</v>
      </c>
      <c r="K90" s="1897">
        <f>IF(スコア!M90=0,0,1)</f>
        <v>1</v>
      </c>
      <c r="L90" s="1897">
        <f>IF(スコア!O90=0,0,1)</f>
        <v>0</v>
      </c>
      <c r="M90" s="1897">
        <f t="shared" si="56"/>
        <v>0.25</v>
      </c>
      <c r="N90" s="1897">
        <f t="shared" si="57"/>
        <v>0</v>
      </c>
      <c r="P90" s="1898">
        <f t="shared" si="58"/>
        <v>2.4</v>
      </c>
      <c r="Q90" s="1898" t="str">
        <f t="shared" si="59"/>
        <v xml:space="preserve"> Q2 2</v>
      </c>
      <c r="R90" s="1899" t="str">
        <f t="shared" si="60"/>
        <v>信頼性</v>
      </c>
      <c r="S90" s="1900">
        <f t="shared" si="61"/>
        <v>0.25</v>
      </c>
      <c r="T90" s="1900">
        <f t="shared" si="62"/>
        <v>0.25</v>
      </c>
      <c r="U90" s="1900">
        <f t="shared" si="63"/>
        <v>0.25</v>
      </c>
      <c r="V90" s="1900">
        <f t="shared" si="64"/>
        <v>0.25</v>
      </c>
      <c r="W90" s="1900">
        <f t="shared" si="65"/>
        <v>0.25</v>
      </c>
      <c r="X90" s="1900">
        <f t="shared" si="66"/>
        <v>0.25</v>
      </c>
      <c r="Y90" s="1900">
        <f t="shared" si="67"/>
        <v>0.25</v>
      </c>
      <c r="Z90" s="1908">
        <f t="shared" si="68"/>
        <v>0.25</v>
      </c>
      <c r="AA90" s="1900">
        <f t="shared" si="69"/>
        <v>0.25</v>
      </c>
      <c r="AB90" s="1900">
        <f t="shared" si="70"/>
        <v>0.25</v>
      </c>
      <c r="AC90" s="1901">
        <f t="shared" si="71"/>
        <v>0</v>
      </c>
      <c r="AD90" s="1900">
        <f t="shared" si="72"/>
        <v>0</v>
      </c>
      <c r="AE90" s="1900">
        <f t="shared" si="73"/>
        <v>0</v>
      </c>
      <c r="AG90" s="1898">
        <v>2.4</v>
      </c>
      <c r="AH90" s="1902" t="s">
        <v>2050</v>
      </c>
      <c r="AI90" s="1899" t="s">
        <v>79</v>
      </c>
      <c r="AJ90" s="1900">
        <v>0.25</v>
      </c>
      <c r="AK90" s="1900">
        <v>0.25</v>
      </c>
      <c r="AL90" s="1900">
        <v>0.25</v>
      </c>
      <c r="AM90" s="1900">
        <v>0.25</v>
      </c>
      <c r="AN90" s="1900">
        <v>0.25</v>
      </c>
      <c r="AO90" s="1900">
        <v>0.25</v>
      </c>
      <c r="AP90" s="1900">
        <v>0.25</v>
      </c>
      <c r="AQ90" s="1908">
        <v>0.25</v>
      </c>
      <c r="AR90" s="1900">
        <v>0.25</v>
      </c>
      <c r="AS90" s="1904">
        <v>0.25</v>
      </c>
      <c r="AT90" s="1905">
        <v>0</v>
      </c>
      <c r="AU90" s="1904">
        <v>0</v>
      </c>
      <c r="AV90" s="1904">
        <v>0</v>
      </c>
      <c r="AX90" s="1898">
        <v>2.4</v>
      </c>
      <c r="AY90" s="1902" t="s">
        <v>2050</v>
      </c>
      <c r="AZ90" s="1899" t="s">
        <v>2033</v>
      </c>
      <c r="BA90" s="1904">
        <v>0.2</v>
      </c>
      <c r="BB90" s="1904">
        <v>0.2</v>
      </c>
      <c r="BC90" s="1904">
        <v>0.2</v>
      </c>
      <c r="BD90" s="1904">
        <v>0.2</v>
      </c>
      <c r="BE90" s="1904">
        <v>0.2</v>
      </c>
      <c r="BF90" s="1904">
        <v>0.2</v>
      </c>
      <c r="BG90" s="1904">
        <v>0.2</v>
      </c>
      <c r="BH90" s="1911">
        <v>0.2</v>
      </c>
      <c r="BI90" s="1904">
        <v>0.2</v>
      </c>
      <c r="BJ90" s="1904">
        <v>0.2</v>
      </c>
      <c r="BK90" s="1905"/>
      <c r="BL90" s="1904"/>
      <c r="BM90" s="1904"/>
      <c r="BO90" s="1898">
        <v>2.4</v>
      </c>
      <c r="BP90" s="1902" t="s">
        <v>2050</v>
      </c>
      <c r="BQ90" s="1899" t="s">
        <v>79</v>
      </c>
      <c r="BR90" s="1904">
        <v>0.2</v>
      </c>
      <c r="BS90" s="1904">
        <v>0.2</v>
      </c>
      <c r="BT90" s="1904">
        <v>0.2</v>
      </c>
      <c r="BU90" s="1904">
        <v>0.2</v>
      </c>
      <c r="BV90" s="1904">
        <v>0.2</v>
      </c>
      <c r="BW90" s="1904">
        <v>0.2</v>
      </c>
      <c r="BX90" s="1904">
        <v>0.2</v>
      </c>
      <c r="BY90" s="1911">
        <v>0.2</v>
      </c>
      <c r="BZ90" s="1904">
        <v>0.2</v>
      </c>
      <c r="CA90" s="1904">
        <v>0.2</v>
      </c>
      <c r="CB90" s="1905"/>
      <c r="CC90" s="1904"/>
      <c r="CD90" s="1904"/>
      <c r="CE90" s="2278"/>
    </row>
    <row r="91" spans="1:84">
      <c r="B91" s="1872" t="str">
        <f t="shared" si="74"/>
        <v>2.4.1</v>
      </c>
      <c r="C91" s="1895" t="str">
        <f t="shared" si="53"/>
        <v>空調・換気設備</v>
      </c>
      <c r="D91" s="1885">
        <f t="shared" ref="D91:E95" si="77">IF(I$90&gt;0,G91/I$90,0)</f>
        <v>0.2</v>
      </c>
      <c r="E91" s="1897">
        <f t="shared" si="77"/>
        <v>0</v>
      </c>
      <c r="G91" s="1897">
        <f t="shared" si="54"/>
        <v>0.2</v>
      </c>
      <c r="H91" s="1897">
        <f t="shared" si="55"/>
        <v>0</v>
      </c>
      <c r="I91" s="1897"/>
      <c r="J91" s="1897"/>
      <c r="K91" s="1897">
        <f>IF(スコア!M91=0,0,1)</f>
        <v>1</v>
      </c>
      <c r="L91" s="1897">
        <f>IF(スコア!O91=0,0,1)</f>
        <v>0</v>
      </c>
      <c r="M91" s="1897">
        <f t="shared" si="56"/>
        <v>0.2</v>
      </c>
      <c r="N91" s="1897">
        <f t="shared" si="57"/>
        <v>0</v>
      </c>
      <c r="P91" s="1898" t="str">
        <f t="shared" si="58"/>
        <v>2.4.1</v>
      </c>
      <c r="Q91" s="1898" t="str">
        <f t="shared" si="59"/>
        <v xml:space="preserve"> Q2 2.4</v>
      </c>
      <c r="R91" s="1899" t="str">
        <f t="shared" si="60"/>
        <v>空調・換気設備</v>
      </c>
      <c r="S91" s="1900">
        <f t="shared" si="61"/>
        <v>0.2</v>
      </c>
      <c r="T91" s="1900">
        <f t="shared" si="62"/>
        <v>0.2</v>
      </c>
      <c r="U91" s="1900">
        <f t="shared" si="63"/>
        <v>0.2</v>
      </c>
      <c r="V91" s="1900">
        <f t="shared" si="64"/>
        <v>0.2</v>
      </c>
      <c r="W91" s="1900">
        <f t="shared" si="65"/>
        <v>0.2</v>
      </c>
      <c r="X91" s="1900">
        <f t="shared" si="66"/>
        <v>0.2</v>
      </c>
      <c r="Y91" s="1900">
        <f t="shared" si="67"/>
        <v>0.2</v>
      </c>
      <c r="Z91" s="1908">
        <f t="shared" si="68"/>
        <v>0.2</v>
      </c>
      <c r="AA91" s="1900">
        <f t="shared" si="69"/>
        <v>0.2</v>
      </c>
      <c r="AB91" s="1900">
        <f t="shared" si="70"/>
        <v>0.2</v>
      </c>
      <c r="AC91" s="1901">
        <f t="shared" si="71"/>
        <v>0</v>
      </c>
      <c r="AD91" s="1900">
        <f t="shared" si="72"/>
        <v>0</v>
      </c>
      <c r="AE91" s="1900">
        <f t="shared" si="73"/>
        <v>0</v>
      </c>
      <c r="AG91" s="1898" t="s">
        <v>1384</v>
      </c>
      <c r="AH91" s="1902" t="s">
        <v>2062</v>
      </c>
      <c r="AI91" s="1899" t="s">
        <v>2063</v>
      </c>
      <c r="AJ91" s="1900">
        <v>0.2</v>
      </c>
      <c r="AK91" s="1900">
        <v>0.2</v>
      </c>
      <c r="AL91" s="1900">
        <v>0.2</v>
      </c>
      <c r="AM91" s="1900">
        <v>0.2</v>
      </c>
      <c r="AN91" s="1900">
        <v>0.2</v>
      </c>
      <c r="AO91" s="1900">
        <v>0.2</v>
      </c>
      <c r="AP91" s="1900">
        <v>0.2</v>
      </c>
      <c r="AQ91" s="1908">
        <v>0.2</v>
      </c>
      <c r="AR91" s="1900">
        <v>0.2</v>
      </c>
      <c r="AS91" s="1904">
        <v>0.2</v>
      </c>
      <c r="AT91" s="1905">
        <v>0</v>
      </c>
      <c r="AU91" s="1904">
        <v>0</v>
      </c>
      <c r="AV91" s="1904">
        <v>0</v>
      </c>
      <c r="AX91" s="1898" t="s">
        <v>1384</v>
      </c>
      <c r="AY91" s="1902" t="s">
        <v>2062</v>
      </c>
      <c r="AZ91" s="1899" t="s">
        <v>2063</v>
      </c>
      <c r="BA91" s="1904">
        <v>0.2</v>
      </c>
      <c r="BB91" s="1904">
        <v>0.2</v>
      </c>
      <c r="BC91" s="1904">
        <v>0.2</v>
      </c>
      <c r="BD91" s="1904">
        <v>0.2</v>
      </c>
      <c r="BE91" s="1904">
        <v>0.2</v>
      </c>
      <c r="BF91" s="1904">
        <v>0.2</v>
      </c>
      <c r="BG91" s="1904">
        <v>0.2</v>
      </c>
      <c r="BH91" s="1911">
        <v>0.2</v>
      </c>
      <c r="BI91" s="1904">
        <v>0.2</v>
      </c>
      <c r="BJ91" s="1904">
        <v>0.2</v>
      </c>
      <c r="BK91" s="1905"/>
      <c r="BL91" s="1904"/>
      <c r="BM91" s="1904"/>
      <c r="BO91" s="1898" t="s">
        <v>1384</v>
      </c>
      <c r="BP91" s="1902" t="s">
        <v>2062</v>
      </c>
      <c r="BQ91" s="1899" t="s">
        <v>2063</v>
      </c>
      <c r="BR91" s="1904">
        <v>0.2</v>
      </c>
      <c r="BS91" s="1904">
        <v>0.2</v>
      </c>
      <c r="BT91" s="1904">
        <v>0.2</v>
      </c>
      <c r="BU91" s="1904">
        <v>0.2</v>
      </c>
      <c r="BV91" s="1904">
        <v>0.2</v>
      </c>
      <c r="BW91" s="1904">
        <v>0.2</v>
      </c>
      <c r="BX91" s="1904">
        <v>0.2</v>
      </c>
      <c r="BY91" s="1911">
        <v>0.2</v>
      </c>
      <c r="BZ91" s="1904">
        <v>0.2</v>
      </c>
      <c r="CA91" s="1904">
        <v>0.2</v>
      </c>
      <c r="CB91" s="1905"/>
      <c r="CC91" s="1904"/>
      <c r="CD91" s="1904"/>
      <c r="CE91" s="2278"/>
    </row>
    <row r="92" spans="1:84">
      <c r="B92" s="1872" t="str">
        <f t="shared" si="74"/>
        <v>2.4.2</v>
      </c>
      <c r="C92" s="1895" t="str">
        <f t="shared" si="53"/>
        <v>給排水・衛生設備</v>
      </c>
      <c r="D92" s="1885">
        <f t="shared" si="77"/>
        <v>0.2</v>
      </c>
      <c r="E92" s="1897">
        <f t="shared" si="77"/>
        <v>0</v>
      </c>
      <c r="G92" s="1897">
        <f t="shared" si="54"/>
        <v>0.2</v>
      </c>
      <c r="H92" s="1897">
        <f t="shared" si="55"/>
        <v>0</v>
      </c>
      <c r="I92" s="1897"/>
      <c r="J92" s="1897"/>
      <c r="K92" s="1897">
        <f>IF(スコア!M92=0,0,1)</f>
        <v>1</v>
      </c>
      <c r="L92" s="1897">
        <f>IF(スコア!O92=0,0,1)</f>
        <v>0</v>
      </c>
      <c r="M92" s="1897">
        <f t="shared" si="56"/>
        <v>0.2</v>
      </c>
      <c r="N92" s="1897">
        <f t="shared" si="57"/>
        <v>0</v>
      </c>
      <c r="P92" s="1898" t="str">
        <f t="shared" si="58"/>
        <v>2.4.2</v>
      </c>
      <c r="Q92" s="1898" t="str">
        <f t="shared" si="59"/>
        <v xml:space="preserve"> Q2 2.4</v>
      </c>
      <c r="R92" s="1899" t="str">
        <f t="shared" si="60"/>
        <v>給排水・衛生設備</v>
      </c>
      <c r="S92" s="1900">
        <f t="shared" si="61"/>
        <v>0.2</v>
      </c>
      <c r="T92" s="1900">
        <f t="shared" si="62"/>
        <v>0.2</v>
      </c>
      <c r="U92" s="1900">
        <f t="shared" si="63"/>
        <v>0.2</v>
      </c>
      <c r="V92" s="1900">
        <f t="shared" si="64"/>
        <v>0.2</v>
      </c>
      <c r="W92" s="1900">
        <f t="shared" si="65"/>
        <v>0.2</v>
      </c>
      <c r="X92" s="1900">
        <f t="shared" si="66"/>
        <v>0.2</v>
      </c>
      <c r="Y92" s="1900">
        <f t="shared" si="67"/>
        <v>0.2</v>
      </c>
      <c r="Z92" s="1908">
        <f t="shared" si="68"/>
        <v>0.2</v>
      </c>
      <c r="AA92" s="1900">
        <f t="shared" si="69"/>
        <v>0.2</v>
      </c>
      <c r="AB92" s="1900">
        <f t="shared" si="70"/>
        <v>0.2</v>
      </c>
      <c r="AC92" s="1901">
        <f t="shared" si="71"/>
        <v>0</v>
      </c>
      <c r="AD92" s="1900">
        <f t="shared" si="72"/>
        <v>0</v>
      </c>
      <c r="AE92" s="1900">
        <f t="shared" si="73"/>
        <v>0</v>
      </c>
      <c r="AG92" s="1898" t="s">
        <v>2064</v>
      </c>
      <c r="AH92" s="1902" t="s">
        <v>2062</v>
      </c>
      <c r="AI92" s="1899" t="s">
        <v>2065</v>
      </c>
      <c r="AJ92" s="1900">
        <v>0.2</v>
      </c>
      <c r="AK92" s="1900">
        <v>0.2</v>
      </c>
      <c r="AL92" s="1900">
        <v>0.2</v>
      </c>
      <c r="AM92" s="1900">
        <v>0.2</v>
      </c>
      <c r="AN92" s="1900">
        <v>0.2</v>
      </c>
      <c r="AO92" s="1900">
        <v>0.2</v>
      </c>
      <c r="AP92" s="1900">
        <v>0.2</v>
      </c>
      <c r="AQ92" s="1908">
        <v>0.2</v>
      </c>
      <c r="AR92" s="1900">
        <v>0.2</v>
      </c>
      <c r="AS92" s="1904">
        <v>0.2</v>
      </c>
      <c r="AT92" s="1905">
        <v>0</v>
      </c>
      <c r="AU92" s="1904">
        <v>0</v>
      </c>
      <c r="AV92" s="1904">
        <v>0</v>
      </c>
      <c r="AX92" s="1898" t="s">
        <v>2064</v>
      </c>
      <c r="AY92" s="1902" t="s">
        <v>2062</v>
      </c>
      <c r="AZ92" s="1899" t="s">
        <v>2065</v>
      </c>
      <c r="BA92" s="1904">
        <v>0.2</v>
      </c>
      <c r="BB92" s="1904">
        <v>0.2</v>
      </c>
      <c r="BC92" s="1904">
        <v>0.2</v>
      </c>
      <c r="BD92" s="1904">
        <v>0.2</v>
      </c>
      <c r="BE92" s="1904">
        <v>0.2</v>
      </c>
      <c r="BF92" s="1904">
        <v>0.2</v>
      </c>
      <c r="BG92" s="1904">
        <v>0.2</v>
      </c>
      <c r="BH92" s="1911">
        <v>0.2</v>
      </c>
      <c r="BI92" s="1904">
        <v>0.2</v>
      </c>
      <c r="BJ92" s="1904">
        <v>0.2</v>
      </c>
      <c r="BK92" s="1905"/>
      <c r="BL92" s="1904"/>
      <c r="BM92" s="1904"/>
      <c r="BO92" s="1898" t="s">
        <v>2064</v>
      </c>
      <c r="BP92" s="1902" t="s">
        <v>2062</v>
      </c>
      <c r="BQ92" s="1899" t="s">
        <v>2065</v>
      </c>
      <c r="BR92" s="1904">
        <v>0.2</v>
      </c>
      <c r="BS92" s="1904">
        <v>0.2</v>
      </c>
      <c r="BT92" s="1904">
        <v>0.2</v>
      </c>
      <c r="BU92" s="1904">
        <v>0.2</v>
      </c>
      <c r="BV92" s="1904">
        <v>0.2</v>
      </c>
      <c r="BW92" s="1904">
        <v>0.2</v>
      </c>
      <c r="BX92" s="1904">
        <v>0.2</v>
      </c>
      <c r="BY92" s="1911">
        <v>0.2</v>
      </c>
      <c r="BZ92" s="1904">
        <v>0.2</v>
      </c>
      <c r="CA92" s="1904">
        <v>0.2</v>
      </c>
      <c r="CB92" s="1905"/>
      <c r="CC92" s="1904"/>
      <c r="CD92" s="1904"/>
      <c r="CE92" s="2278"/>
    </row>
    <row r="93" spans="1:84">
      <c r="B93" s="1872" t="str">
        <f t="shared" si="74"/>
        <v>2.4.3</v>
      </c>
      <c r="C93" s="1895" t="str">
        <f t="shared" si="53"/>
        <v>電気設備</v>
      </c>
      <c r="D93" s="1885">
        <f t="shared" si="77"/>
        <v>0.2</v>
      </c>
      <c r="E93" s="1897">
        <f t="shared" si="77"/>
        <v>0</v>
      </c>
      <c r="G93" s="1897">
        <f t="shared" si="54"/>
        <v>0.2</v>
      </c>
      <c r="H93" s="1897">
        <f t="shared" si="55"/>
        <v>0</v>
      </c>
      <c r="I93" s="1897"/>
      <c r="J93" s="1897"/>
      <c r="K93" s="1897">
        <f>IF(スコア!M93=0,0,1)</f>
        <v>1</v>
      </c>
      <c r="L93" s="1897">
        <f>IF(スコア!O93=0,0,1)</f>
        <v>0</v>
      </c>
      <c r="M93" s="1897">
        <f t="shared" si="56"/>
        <v>0.2</v>
      </c>
      <c r="N93" s="1897">
        <f t="shared" si="57"/>
        <v>0</v>
      </c>
      <c r="P93" s="1898" t="str">
        <f t="shared" si="58"/>
        <v>2.4.3</v>
      </c>
      <c r="Q93" s="1898" t="str">
        <f t="shared" si="59"/>
        <v xml:space="preserve"> Q2 2.4</v>
      </c>
      <c r="R93" s="1899" t="str">
        <f t="shared" si="60"/>
        <v>電気設備</v>
      </c>
      <c r="S93" s="1900">
        <f t="shared" si="61"/>
        <v>0.2</v>
      </c>
      <c r="T93" s="1900">
        <f t="shared" si="62"/>
        <v>0.2</v>
      </c>
      <c r="U93" s="1900">
        <f t="shared" si="63"/>
        <v>0.2</v>
      </c>
      <c r="V93" s="1900">
        <f t="shared" si="64"/>
        <v>0.2</v>
      </c>
      <c r="W93" s="1900">
        <f t="shared" si="65"/>
        <v>0.2</v>
      </c>
      <c r="X93" s="1900">
        <f t="shared" si="66"/>
        <v>0.2</v>
      </c>
      <c r="Y93" s="1900">
        <f t="shared" si="67"/>
        <v>0.2</v>
      </c>
      <c r="Z93" s="1908">
        <f t="shared" si="68"/>
        <v>0.2</v>
      </c>
      <c r="AA93" s="1900">
        <f t="shared" si="69"/>
        <v>0.2</v>
      </c>
      <c r="AB93" s="1900">
        <f t="shared" si="70"/>
        <v>0.2</v>
      </c>
      <c r="AC93" s="1901">
        <f t="shared" si="71"/>
        <v>0</v>
      </c>
      <c r="AD93" s="1900">
        <f t="shared" si="72"/>
        <v>0</v>
      </c>
      <c r="AE93" s="1900">
        <f t="shared" si="73"/>
        <v>0</v>
      </c>
      <c r="AG93" s="1898" t="s">
        <v>2066</v>
      </c>
      <c r="AH93" s="1902" t="s">
        <v>2062</v>
      </c>
      <c r="AI93" s="1899" t="s">
        <v>2067</v>
      </c>
      <c r="AJ93" s="1900">
        <v>0.2</v>
      </c>
      <c r="AK93" s="1900">
        <v>0.2</v>
      </c>
      <c r="AL93" s="1900">
        <v>0.2</v>
      </c>
      <c r="AM93" s="1900">
        <v>0.2</v>
      </c>
      <c r="AN93" s="1900">
        <v>0.2</v>
      </c>
      <c r="AO93" s="1900">
        <v>0.2</v>
      </c>
      <c r="AP93" s="1900">
        <v>0.2</v>
      </c>
      <c r="AQ93" s="1908">
        <v>0.2</v>
      </c>
      <c r="AR93" s="1900">
        <v>0.2</v>
      </c>
      <c r="AS93" s="1904">
        <v>0.2</v>
      </c>
      <c r="AT93" s="1905">
        <v>0</v>
      </c>
      <c r="AU93" s="1904">
        <v>0</v>
      </c>
      <c r="AV93" s="1904">
        <v>0</v>
      </c>
      <c r="AX93" s="1898" t="s">
        <v>2066</v>
      </c>
      <c r="AY93" s="1902" t="s">
        <v>2062</v>
      </c>
      <c r="AZ93" s="1899" t="s">
        <v>2067</v>
      </c>
      <c r="BA93" s="1904">
        <v>0.2</v>
      </c>
      <c r="BB93" s="1904">
        <v>0.2</v>
      </c>
      <c r="BC93" s="1904">
        <v>0.2</v>
      </c>
      <c r="BD93" s="1904">
        <v>0.2</v>
      </c>
      <c r="BE93" s="1904">
        <v>0.2</v>
      </c>
      <c r="BF93" s="1904">
        <v>0.2</v>
      </c>
      <c r="BG93" s="1904">
        <v>0.2</v>
      </c>
      <c r="BH93" s="1911">
        <v>0.2</v>
      </c>
      <c r="BI93" s="1904">
        <v>0.2</v>
      </c>
      <c r="BJ93" s="1904">
        <v>0.2</v>
      </c>
      <c r="BK93" s="1905"/>
      <c r="BL93" s="1904"/>
      <c r="BM93" s="1904"/>
      <c r="BO93" s="1898" t="s">
        <v>2066</v>
      </c>
      <c r="BP93" s="1902" t="s">
        <v>2062</v>
      </c>
      <c r="BQ93" s="1899" t="s">
        <v>2067</v>
      </c>
      <c r="BR93" s="1904">
        <v>0.2</v>
      </c>
      <c r="BS93" s="1904">
        <v>0.2</v>
      </c>
      <c r="BT93" s="1904">
        <v>0.2</v>
      </c>
      <c r="BU93" s="1904">
        <v>0.2</v>
      </c>
      <c r="BV93" s="1904">
        <v>0.2</v>
      </c>
      <c r="BW93" s="1904">
        <v>0.2</v>
      </c>
      <c r="BX93" s="1904">
        <v>0.2</v>
      </c>
      <c r="BY93" s="1911">
        <v>0.2</v>
      </c>
      <c r="BZ93" s="1904">
        <v>0.2</v>
      </c>
      <c r="CA93" s="1904">
        <v>0.2</v>
      </c>
      <c r="CB93" s="1905"/>
      <c r="CC93" s="1904"/>
      <c r="CD93" s="1904"/>
      <c r="CE93" s="2278"/>
    </row>
    <row r="94" spans="1:84">
      <c r="B94" s="1872" t="str">
        <f t="shared" si="74"/>
        <v>2.4.4</v>
      </c>
      <c r="C94" s="1895" t="str">
        <f t="shared" si="53"/>
        <v>機械・配管支持方法</v>
      </c>
      <c r="D94" s="1885">
        <f t="shared" si="77"/>
        <v>0.2</v>
      </c>
      <c r="E94" s="1897">
        <f t="shared" si="77"/>
        <v>0</v>
      </c>
      <c r="G94" s="1897">
        <f t="shared" si="54"/>
        <v>0.2</v>
      </c>
      <c r="H94" s="1897">
        <f t="shared" si="55"/>
        <v>0</v>
      </c>
      <c r="I94" s="1897"/>
      <c r="J94" s="1897"/>
      <c r="K94" s="1897">
        <f>IF(スコア!M94=0,0,1)</f>
        <v>1</v>
      </c>
      <c r="L94" s="1897">
        <f>IF(スコア!O94=0,0,1)</f>
        <v>0</v>
      </c>
      <c r="M94" s="1897">
        <f t="shared" si="56"/>
        <v>0.2</v>
      </c>
      <c r="N94" s="1897">
        <f t="shared" si="57"/>
        <v>0</v>
      </c>
      <c r="P94" s="1898" t="str">
        <f t="shared" si="58"/>
        <v>2.4.4</v>
      </c>
      <c r="Q94" s="1898" t="str">
        <f t="shared" si="59"/>
        <v xml:space="preserve"> Q2 2.4</v>
      </c>
      <c r="R94" s="1899" t="str">
        <f t="shared" si="60"/>
        <v>機械・配管支持方法</v>
      </c>
      <c r="S94" s="1900">
        <f t="shared" si="61"/>
        <v>0.2</v>
      </c>
      <c r="T94" s="1900">
        <f t="shared" si="62"/>
        <v>0.2</v>
      </c>
      <c r="U94" s="1900">
        <f t="shared" si="63"/>
        <v>0.2</v>
      </c>
      <c r="V94" s="1900">
        <f t="shared" si="64"/>
        <v>0.2</v>
      </c>
      <c r="W94" s="1900">
        <f t="shared" si="65"/>
        <v>0.2</v>
      </c>
      <c r="X94" s="1900">
        <f t="shared" si="66"/>
        <v>0.2</v>
      </c>
      <c r="Y94" s="1900">
        <f t="shared" si="67"/>
        <v>0.2</v>
      </c>
      <c r="Z94" s="1908">
        <f t="shared" si="68"/>
        <v>0.2</v>
      </c>
      <c r="AA94" s="1900">
        <f t="shared" si="69"/>
        <v>0.2</v>
      </c>
      <c r="AB94" s="1900">
        <f t="shared" si="70"/>
        <v>0.2</v>
      </c>
      <c r="AC94" s="1901">
        <f t="shared" si="71"/>
        <v>0</v>
      </c>
      <c r="AD94" s="1900">
        <f t="shared" si="72"/>
        <v>0</v>
      </c>
      <c r="AE94" s="1900">
        <f t="shared" si="73"/>
        <v>0</v>
      </c>
      <c r="AG94" s="1898" t="s">
        <v>2068</v>
      </c>
      <c r="AH94" s="1902" t="s">
        <v>2062</v>
      </c>
      <c r="AI94" s="1899" t="s">
        <v>2069</v>
      </c>
      <c r="AJ94" s="1900">
        <v>0.2</v>
      </c>
      <c r="AK94" s="1900">
        <v>0.2</v>
      </c>
      <c r="AL94" s="1900">
        <v>0.2</v>
      </c>
      <c r="AM94" s="1900">
        <v>0.2</v>
      </c>
      <c r="AN94" s="1900">
        <v>0.2</v>
      </c>
      <c r="AO94" s="1900">
        <v>0.2</v>
      </c>
      <c r="AP94" s="1900">
        <v>0.2</v>
      </c>
      <c r="AQ94" s="1908">
        <v>0.2</v>
      </c>
      <c r="AR94" s="1900">
        <v>0.2</v>
      </c>
      <c r="AS94" s="1904">
        <v>0.2</v>
      </c>
      <c r="AT94" s="1905">
        <v>0</v>
      </c>
      <c r="AU94" s="1904">
        <v>0</v>
      </c>
      <c r="AV94" s="1904">
        <v>0</v>
      </c>
      <c r="AX94" s="1898" t="s">
        <v>2068</v>
      </c>
      <c r="AY94" s="1902" t="s">
        <v>2062</v>
      </c>
      <c r="AZ94" s="1899" t="s">
        <v>2069</v>
      </c>
      <c r="BA94" s="1904">
        <v>0.2</v>
      </c>
      <c r="BB94" s="1904">
        <v>0.2</v>
      </c>
      <c r="BC94" s="1904">
        <v>0.2</v>
      </c>
      <c r="BD94" s="1904">
        <v>0.2</v>
      </c>
      <c r="BE94" s="1904">
        <v>0.2</v>
      </c>
      <c r="BF94" s="1904">
        <v>0.2</v>
      </c>
      <c r="BG94" s="1904">
        <v>0.2</v>
      </c>
      <c r="BH94" s="1911">
        <v>0.2</v>
      </c>
      <c r="BI94" s="1904">
        <v>0.2</v>
      </c>
      <c r="BJ94" s="1904">
        <v>0.2</v>
      </c>
      <c r="BK94" s="1905"/>
      <c r="BL94" s="1904"/>
      <c r="BM94" s="1904"/>
      <c r="BO94" s="1898" t="s">
        <v>2068</v>
      </c>
      <c r="BP94" s="1902" t="s">
        <v>2062</v>
      </c>
      <c r="BQ94" s="1899" t="s">
        <v>2069</v>
      </c>
      <c r="BR94" s="1904">
        <v>0.2</v>
      </c>
      <c r="BS94" s="1904">
        <v>0.2</v>
      </c>
      <c r="BT94" s="1904">
        <v>0.2</v>
      </c>
      <c r="BU94" s="1904">
        <v>0.2</v>
      </c>
      <c r="BV94" s="1904">
        <v>0.2</v>
      </c>
      <c r="BW94" s="1904">
        <v>0.2</v>
      </c>
      <c r="BX94" s="1904">
        <v>0.2</v>
      </c>
      <c r="BY94" s="1911">
        <v>0.2</v>
      </c>
      <c r="BZ94" s="1904">
        <v>0.2</v>
      </c>
      <c r="CA94" s="1904">
        <v>0.2</v>
      </c>
      <c r="CB94" s="1905"/>
      <c r="CC94" s="1904"/>
      <c r="CD94" s="1904"/>
      <c r="CE94" s="2278"/>
    </row>
    <row r="95" spans="1:84">
      <c r="B95" s="1872" t="str">
        <f t="shared" si="74"/>
        <v>2.4.5</v>
      </c>
      <c r="C95" s="1895" t="str">
        <f t="shared" si="53"/>
        <v>通信・情報設備</v>
      </c>
      <c r="D95" s="1885">
        <f t="shared" si="77"/>
        <v>0.2</v>
      </c>
      <c r="E95" s="1897">
        <f t="shared" si="77"/>
        <v>0</v>
      </c>
      <c r="G95" s="1897">
        <f t="shared" si="54"/>
        <v>0.2</v>
      </c>
      <c r="H95" s="1897">
        <f t="shared" si="55"/>
        <v>0</v>
      </c>
      <c r="I95" s="1897"/>
      <c r="J95" s="1897"/>
      <c r="K95" s="1897">
        <f>IF(スコア!M95=0,0,1)</f>
        <v>1</v>
      </c>
      <c r="L95" s="1897">
        <f>IF(スコア!O95=0,0,1)</f>
        <v>0</v>
      </c>
      <c r="M95" s="1897">
        <f t="shared" si="56"/>
        <v>0.2</v>
      </c>
      <c r="N95" s="1897">
        <f t="shared" si="57"/>
        <v>0</v>
      </c>
      <c r="P95" s="1898" t="str">
        <f t="shared" si="58"/>
        <v>2.4.5</v>
      </c>
      <c r="Q95" s="1898" t="str">
        <f t="shared" si="59"/>
        <v xml:space="preserve"> Q2 2.4</v>
      </c>
      <c r="R95" s="1899" t="str">
        <f t="shared" si="60"/>
        <v>通信・情報設備</v>
      </c>
      <c r="S95" s="1900">
        <f t="shared" si="61"/>
        <v>0.2</v>
      </c>
      <c r="T95" s="1900">
        <f t="shared" si="62"/>
        <v>0.2</v>
      </c>
      <c r="U95" s="1900">
        <f t="shared" si="63"/>
        <v>0.2</v>
      </c>
      <c r="V95" s="1900">
        <f t="shared" si="64"/>
        <v>0.2</v>
      </c>
      <c r="W95" s="1900">
        <f t="shared" si="65"/>
        <v>0.2</v>
      </c>
      <c r="X95" s="1900">
        <f t="shared" si="66"/>
        <v>0.2</v>
      </c>
      <c r="Y95" s="1900">
        <f t="shared" si="67"/>
        <v>0.2</v>
      </c>
      <c r="Z95" s="1908">
        <f t="shared" si="68"/>
        <v>0.2</v>
      </c>
      <c r="AA95" s="1900">
        <f t="shared" si="69"/>
        <v>0.2</v>
      </c>
      <c r="AB95" s="1900">
        <f t="shared" si="70"/>
        <v>0.2</v>
      </c>
      <c r="AC95" s="1901">
        <f t="shared" si="71"/>
        <v>0</v>
      </c>
      <c r="AD95" s="1900">
        <f t="shared" si="72"/>
        <v>0</v>
      </c>
      <c r="AE95" s="1900">
        <f t="shared" si="73"/>
        <v>0</v>
      </c>
      <c r="AG95" s="1898" t="s">
        <v>2070</v>
      </c>
      <c r="AH95" s="1902" t="s">
        <v>2062</v>
      </c>
      <c r="AI95" s="1899" t="s">
        <v>2071</v>
      </c>
      <c r="AJ95" s="1900">
        <v>0.2</v>
      </c>
      <c r="AK95" s="1900">
        <v>0.2</v>
      </c>
      <c r="AL95" s="1900">
        <v>0.2</v>
      </c>
      <c r="AM95" s="1900">
        <v>0.2</v>
      </c>
      <c r="AN95" s="1900">
        <v>0.2</v>
      </c>
      <c r="AO95" s="1900">
        <v>0.2</v>
      </c>
      <c r="AP95" s="1900">
        <v>0.2</v>
      </c>
      <c r="AQ95" s="1908">
        <v>0.2</v>
      </c>
      <c r="AR95" s="1900">
        <v>0.2</v>
      </c>
      <c r="AS95" s="1904">
        <v>0.2</v>
      </c>
      <c r="AT95" s="1905">
        <v>0</v>
      </c>
      <c r="AU95" s="1904">
        <v>0</v>
      </c>
      <c r="AV95" s="1904">
        <v>0</v>
      </c>
      <c r="AX95" s="1898" t="s">
        <v>2070</v>
      </c>
      <c r="AY95" s="1902" t="s">
        <v>2062</v>
      </c>
      <c r="AZ95" s="1899" t="s">
        <v>2071</v>
      </c>
      <c r="BA95" s="1904">
        <v>0.2</v>
      </c>
      <c r="BB95" s="1904">
        <v>0.2</v>
      </c>
      <c r="BC95" s="1904">
        <v>0.2</v>
      </c>
      <c r="BD95" s="1904">
        <v>0.2</v>
      </c>
      <c r="BE95" s="1904">
        <v>0.2</v>
      </c>
      <c r="BF95" s="1904">
        <v>0.2</v>
      </c>
      <c r="BG95" s="1904">
        <v>0.2</v>
      </c>
      <c r="BH95" s="1911">
        <v>0.2</v>
      </c>
      <c r="BI95" s="1904">
        <v>0.2</v>
      </c>
      <c r="BJ95" s="1904">
        <v>0.2</v>
      </c>
      <c r="BK95" s="1905"/>
      <c r="BL95" s="1904"/>
      <c r="BM95" s="1904"/>
      <c r="BO95" s="1898" t="s">
        <v>2070</v>
      </c>
      <c r="BP95" s="1902" t="s">
        <v>2062</v>
      </c>
      <c r="BQ95" s="1899" t="s">
        <v>2071</v>
      </c>
      <c r="BR95" s="1904">
        <v>0.2</v>
      </c>
      <c r="BS95" s="1904">
        <v>0.2</v>
      </c>
      <c r="BT95" s="1904">
        <v>0.2</v>
      </c>
      <c r="BU95" s="1904">
        <v>0.2</v>
      </c>
      <c r="BV95" s="1904">
        <v>0.2</v>
      </c>
      <c r="BW95" s="1904">
        <v>0.2</v>
      </c>
      <c r="BX95" s="1904">
        <v>0.2</v>
      </c>
      <c r="BY95" s="1911">
        <v>0.2</v>
      </c>
      <c r="BZ95" s="1904">
        <v>0.2</v>
      </c>
      <c r="CA95" s="1904">
        <v>0.2</v>
      </c>
      <c r="CB95" s="1905"/>
      <c r="CC95" s="1904"/>
      <c r="CD95" s="1904"/>
      <c r="CE95" s="2278"/>
    </row>
    <row r="96" spans="1:84" hidden="1">
      <c r="B96" s="1872">
        <f t="shared" si="74"/>
        <v>0</v>
      </c>
      <c r="C96" s="1895">
        <f t="shared" si="53"/>
        <v>0</v>
      </c>
      <c r="D96" s="1885"/>
      <c r="E96" s="1897"/>
      <c r="G96" s="1897">
        <f t="shared" si="54"/>
        <v>0</v>
      </c>
      <c r="H96" s="1897">
        <f t="shared" si="55"/>
        <v>0</v>
      </c>
      <c r="I96" s="1897"/>
      <c r="J96" s="1897"/>
      <c r="K96" s="1897"/>
      <c r="L96" s="1897"/>
      <c r="M96" s="1897">
        <f t="shared" si="56"/>
        <v>0</v>
      </c>
      <c r="N96" s="1897"/>
      <c r="P96" s="1898">
        <f t="shared" si="58"/>
        <v>0</v>
      </c>
      <c r="Q96" s="1898" t="str">
        <f t="shared" si="59"/>
        <v xml:space="preserve"> Q</v>
      </c>
      <c r="R96" s="1899">
        <f t="shared" si="60"/>
        <v>0</v>
      </c>
      <c r="S96" s="1900">
        <f t="shared" si="61"/>
        <v>0</v>
      </c>
      <c r="T96" s="1900">
        <f t="shared" si="62"/>
        <v>0</v>
      </c>
      <c r="U96" s="1900">
        <f t="shared" si="63"/>
        <v>0</v>
      </c>
      <c r="V96" s="1900">
        <f t="shared" si="64"/>
        <v>0</v>
      </c>
      <c r="W96" s="1900">
        <f t="shared" si="65"/>
        <v>0</v>
      </c>
      <c r="X96" s="1900">
        <f t="shared" si="66"/>
        <v>0</v>
      </c>
      <c r="Y96" s="1900">
        <f t="shared" si="67"/>
        <v>0</v>
      </c>
      <c r="Z96" s="1908">
        <f t="shared" si="68"/>
        <v>0</v>
      </c>
      <c r="AA96" s="1900">
        <f t="shared" si="69"/>
        <v>0</v>
      </c>
      <c r="AB96" s="1900">
        <f t="shared" si="70"/>
        <v>0</v>
      </c>
      <c r="AC96" s="1901">
        <f t="shared" si="71"/>
        <v>0</v>
      </c>
      <c r="AD96" s="1900">
        <f t="shared" si="72"/>
        <v>0</v>
      </c>
      <c r="AE96" s="1900">
        <f t="shared" si="73"/>
        <v>0</v>
      </c>
      <c r="AG96" s="1898"/>
      <c r="AH96" s="1902" t="s">
        <v>940</v>
      </c>
      <c r="AI96" s="1899"/>
      <c r="AJ96" s="1909">
        <v>0</v>
      </c>
      <c r="AK96" s="1909">
        <v>0</v>
      </c>
      <c r="AL96" s="1909">
        <v>0</v>
      </c>
      <c r="AM96" s="1909">
        <v>0</v>
      </c>
      <c r="AN96" s="1909">
        <v>0</v>
      </c>
      <c r="AO96" s="1909">
        <v>0</v>
      </c>
      <c r="AP96" s="1909">
        <v>0</v>
      </c>
      <c r="AQ96" s="1924">
        <v>0</v>
      </c>
      <c r="AR96" s="1909">
        <v>0</v>
      </c>
      <c r="AS96" s="1904"/>
      <c r="AT96" s="1905">
        <v>0</v>
      </c>
      <c r="AU96" s="1904">
        <v>0</v>
      </c>
      <c r="AV96" s="1904">
        <v>0</v>
      </c>
      <c r="AX96" s="1898"/>
      <c r="AY96" s="1902" t="s">
        <v>940</v>
      </c>
      <c r="AZ96" s="1899"/>
      <c r="BA96" s="1904"/>
      <c r="BB96" s="1904"/>
      <c r="BC96" s="1904"/>
      <c r="BD96" s="1904"/>
      <c r="BE96" s="1904"/>
      <c r="BF96" s="1904"/>
      <c r="BG96" s="1904"/>
      <c r="BH96" s="1911"/>
      <c r="BI96" s="1904"/>
      <c r="BJ96" s="1904"/>
      <c r="BK96" s="1905"/>
      <c r="BL96" s="1904"/>
      <c r="BM96" s="1904"/>
      <c r="BO96" s="1898"/>
      <c r="BP96" s="1902" t="s">
        <v>940</v>
      </c>
      <c r="BQ96" s="1899"/>
      <c r="BR96" s="1904"/>
      <c r="BS96" s="1904"/>
      <c r="BT96" s="1904"/>
      <c r="BU96" s="1904"/>
      <c r="BV96" s="1904"/>
      <c r="BW96" s="1904"/>
      <c r="BX96" s="1904"/>
      <c r="BY96" s="1911"/>
      <c r="BZ96" s="1904"/>
      <c r="CA96" s="1904"/>
      <c r="CB96" s="1905"/>
      <c r="CC96" s="1904"/>
      <c r="CD96" s="1904"/>
      <c r="CE96" s="2278"/>
    </row>
    <row r="97" spans="1:84" s="1355" customFormat="1">
      <c r="A97"/>
      <c r="B97" s="1872">
        <f t="shared" si="74"/>
        <v>3</v>
      </c>
      <c r="C97" s="1882" t="str">
        <f t="shared" si="53"/>
        <v>対応性・更新性</v>
      </c>
      <c r="D97" s="1883">
        <f>IF(I$61=0,0,G97/I$61)</f>
        <v>0.3</v>
      </c>
      <c r="E97" s="1884">
        <f>IF(J$61=0,0,H97/J$61)</f>
        <v>0</v>
      </c>
      <c r="F97"/>
      <c r="G97" s="1884">
        <f t="shared" si="54"/>
        <v>0.3</v>
      </c>
      <c r="H97" s="1884">
        <f t="shared" si="55"/>
        <v>0</v>
      </c>
      <c r="I97" s="1884">
        <f>G98+G101+G102</f>
        <v>1</v>
      </c>
      <c r="J97" s="1884">
        <f>H98+H101+H102</f>
        <v>0.17241379310344829</v>
      </c>
      <c r="K97" s="1884">
        <f>IF(スコア!M97=0,0,1)</f>
        <v>1</v>
      </c>
      <c r="L97" s="1884">
        <f>IF(スコア!O97=0,0,1)</f>
        <v>1</v>
      </c>
      <c r="M97" s="1884">
        <f t="shared" si="56"/>
        <v>0.3</v>
      </c>
      <c r="N97" s="1884">
        <f t="shared" ref="N97:N114" si="78">(AC$7*AC97)+(AD$7*AD97)+(AE$7*AE97)</f>
        <v>0</v>
      </c>
      <c r="O97"/>
      <c r="P97" s="1886">
        <f t="shared" si="58"/>
        <v>3</v>
      </c>
      <c r="Q97" s="1886" t="str">
        <f t="shared" si="59"/>
        <v xml:space="preserve"> Q2</v>
      </c>
      <c r="R97" s="1887" t="str">
        <f t="shared" si="60"/>
        <v>対応性・更新性</v>
      </c>
      <c r="S97" s="1888">
        <f t="shared" si="61"/>
        <v>0.3</v>
      </c>
      <c r="T97" s="1888">
        <f t="shared" si="62"/>
        <v>0.3</v>
      </c>
      <c r="U97" s="1888">
        <f t="shared" si="63"/>
        <v>0.3</v>
      </c>
      <c r="V97" s="1888">
        <f t="shared" si="64"/>
        <v>0.3</v>
      </c>
      <c r="W97" s="1888">
        <f t="shared" si="65"/>
        <v>0.3</v>
      </c>
      <c r="X97" s="1888">
        <f t="shared" si="66"/>
        <v>0.3</v>
      </c>
      <c r="Y97" s="1888">
        <f t="shared" si="67"/>
        <v>0.3</v>
      </c>
      <c r="Z97" s="1947">
        <f t="shared" si="68"/>
        <v>0.3</v>
      </c>
      <c r="AA97" s="1888">
        <f t="shared" si="69"/>
        <v>0.3</v>
      </c>
      <c r="AB97" s="1888">
        <f t="shared" si="70"/>
        <v>0.3</v>
      </c>
      <c r="AC97" s="1890">
        <f t="shared" si="71"/>
        <v>0</v>
      </c>
      <c r="AD97" s="1888">
        <f t="shared" si="72"/>
        <v>0</v>
      </c>
      <c r="AE97" s="1888">
        <f t="shared" si="73"/>
        <v>0</v>
      </c>
      <c r="AF97"/>
      <c r="AG97" s="1886">
        <v>3</v>
      </c>
      <c r="AH97" s="1891" t="s">
        <v>2566</v>
      </c>
      <c r="AI97" s="1887" t="s">
        <v>147</v>
      </c>
      <c r="AJ97" s="1888">
        <v>0.3</v>
      </c>
      <c r="AK97" s="1888">
        <v>0.3</v>
      </c>
      <c r="AL97" s="1888">
        <v>0.3</v>
      </c>
      <c r="AM97" s="1888">
        <v>0.3</v>
      </c>
      <c r="AN97" s="1888">
        <v>0.3</v>
      </c>
      <c r="AO97" s="1888">
        <v>0.3</v>
      </c>
      <c r="AP97" s="1888">
        <v>0.3</v>
      </c>
      <c r="AQ97" s="1947">
        <v>0.3</v>
      </c>
      <c r="AR97" s="1888">
        <v>0.3</v>
      </c>
      <c r="AS97" s="1892">
        <v>0.3</v>
      </c>
      <c r="AT97" s="1893"/>
      <c r="AU97" s="1892"/>
      <c r="AV97" s="1892"/>
      <c r="AW97"/>
      <c r="AX97" s="1886">
        <v>3</v>
      </c>
      <c r="AY97" s="1891" t="s">
        <v>2566</v>
      </c>
      <c r="AZ97" s="1887" t="s">
        <v>147</v>
      </c>
      <c r="BA97" s="1892">
        <v>0.3</v>
      </c>
      <c r="BB97" s="1892">
        <v>0.3</v>
      </c>
      <c r="BC97" s="1892">
        <v>0.3</v>
      </c>
      <c r="BD97" s="1892">
        <v>0.3</v>
      </c>
      <c r="BE97" s="1892">
        <v>0.3</v>
      </c>
      <c r="BF97" s="1892">
        <v>0.3</v>
      </c>
      <c r="BG97" s="1892">
        <v>0.3</v>
      </c>
      <c r="BH97" s="1948">
        <v>0.3</v>
      </c>
      <c r="BI97" s="1892">
        <v>0.3</v>
      </c>
      <c r="BJ97" s="1892">
        <v>0.3</v>
      </c>
      <c r="BK97" s="1893"/>
      <c r="BL97" s="1892"/>
      <c r="BM97" s="1892"/>
      <c r="BN97"/>
      <c r="BO97" s="1886">
        <v>3</v>
      </c>
      <c r="BP97" s="1891" t="s">
        <v>2566</v>
      </c>
      <c r="BQ97" s="1887" t="s">
        <v>147</v>
      </c>
      <c r="BR97" s="1892">
        <v>0.3</v>
      </c>
      <c r="BS97" s="1892">
        <v>0.3</v>
      </c>
      <c r="BT97" s="1892">
        <v>0.3</v>
      </c>
      <c r="BU97" s="1892">
        <v>0.3</v>
      </c>
      <c r="BV97" s="1892">
        <v>0.3</v>
      </c>
      <c r="BW97" s="1892">
        <v>0.3</v>
      </c>
      <c r="BX97" s="1892">
        <v>0.3</v>
      </c>
      <c r="BY97" s="1948">
        <v>0.3</v>
      </c>
      <c r="BZ97" s="1892">
        <v>0.3</v>
      </c>
      <c r="CA97" s="1892">
        <v>0.3</v>
      </c>
      <c r="CB97" s="1893"/>
      <c r="CC97" s="1892"/>
      <c r="CD97" s="1892"/>
      <c r="CE97" s="2277"/>
      <c r="CF97"/>
    </row>
    <row r="98" spans="1:84">
      <c r="B98" s="1872">
        <f t="shared" si="74"/>
        <v>3.1</v>
      </c>
      <c r="C98" s="1899" t="str">
        <f t="shared" si="53"/>
        <v>空間のゆとり</v>
      </c>
      <c r="D98" s="1896">
        <f>IF(I$97=0,0,G98/I$97)</f>
        <v>0.24827586206896551</v>
      </c>
      <c r="E98" s="1897">
        <f>IF(J$97=0,0,H98/J$97)</f>
        <v>0.5</v>
      </c>
      <c r="G98" s="1897">
        <f t="shared" si="54"/>
        <v>0.24827586206896551</v>
      </c>
      <c r="H98" s="1897">
        <f t="shared" si="55"/>
        <v>8.6206896551724144E-2</v>
      </c>
      <c r="I98" s="1897">
        <f>SUM(G99:G100)</f>
        <v>0.82758620689655171</v>
      </c>
      <c r="J98" s="1897">
        <f>SUM(H99:H100)</f>
        <v>0.17241379310344829</v>
      </c>
      <c r="K98" s="1897">
        <f>IF(スコア!M98=0,0,1)</f>
        <v>1</v>
      </c>
      <c r="L98" s="1897">
        <f>IF(スコア!O98=0,0,1)</f>
        <v>1</v>
      </c>
      <c r="M98" s="1897">
        <f t="shared" si="56"/>
        <v>0.24827586206896551</v>
      </c>
      <c r="N98" s="1897">
        <f t="shared" si="78"/>
        <v>8.6206896551724144E-2</v>
      </c>
      <c r="P98" s="1898">
        <f t="shared" si="58"/>
        <v>3.1</v>
      </c>
      <c r="Q98" s="1898" t="str">
        <f t="shared" si="59"/>
        <v xml:space="preserve"> Q2 3</v>
      </c>
      <c r="R98" s="1899" t="str">
        <f t="shared" si="60"/>
        <v>空間のゆとり</v>
      </c>
      <c r="S98" s="1900">
        <f t="shared" si="61"/>
        <v>0.3</v>
      </c>
      <c r="T98" s="1900">
        <f t="shared" si="62"/>
        <v>0.3</v>
      </c>
      <c r="U98" s="1900">
        <f t="shared" si="63"/>
        <v>0.3</v>
      </c>
      <c r="V98" s="1900">
        <f t="shared" si="64"/>
        <v>0.3</v>
      </c>
      <c r="W98" s="1900">
        <f t="shared" si="65"/>
        <v>0.3</v>
      </c>
      <c r="X98" s="1900">
        <f t="shared" si="66"/>
        <v>0</v>
      </c>
      <c r="Y98" s="1900">
        <f t="shared" si="67"/>
        <v>0</v>
      </c>
      <c r="Z98" s="1908">
        <f t="shared" si="68"/>
        <v>0.3</v>
      </c>
      <c r="AA98" s="1900">
        <f t="shared" si="69"/>
        <v>0.3</v>
      </c>
      <c r="AB98" s="1900">
        <f t="shared" si="70"/>
        <v>0.3</v>
      </c>
      <c r="AC98" s="1901">
        <f t="shared" si="71"/>
        <v>0.5</v>
      </c>
      <c r="AD98" s="1900">
        <f t="shared" si="72"/>
        <v>0.5</v>
      </c>
      <c r="AE98" s="1900">
        <f t="shared" si="73"/>
        <v>0.5</v>
      </c>
      <c r="AG98" s="1898">
        <v>3.1</v>
      </c>
      <c r="AH98" s="1902" t="s">
        <v>148</v>
      </c>
      <c r="AI98" s="1899" t="s">
        <v>1241</v>
      </c>
      <c r="AJ98" s="1900">
        <v>0.3</v>
      </c>
      <c r="AK98" s="1900">
        <v>0.3</v>
      </c>
      <c r="AL98" s="1900">
        <v>0.3</v>
      </c>
      <c r="AM98" s="1900">
        <v>0.3</v>
      </c>
      <c r="AN98" s="1900">
        <v>0.3</v>
      </c>
      <c r="AO98" s="1900"/>
      <c r="AP98" s="1900"/>
      <c r="AQ98" s="1908">
        <v>0.3</v>
      </c>
      <c r="AR98" s="1900">
        <v>0.3</v>
      </c>
      <c r="AS98" s="1904">
        <v>0.3</v>
      </c>
      <c r="AT98" s="1905">
        <v>0.5</v>
      </c>
      <c r="AU98" s="1904">
        <v>0.5</v>
      </c>
      <c r="AV98" s="1904">
        <v>0.5</v>
      </c>
      <c r="AX98" s="1898">
        <v>3.1</v>
      </c>
      <c r="AY98" s="1902" t="s">
        <v>148</v>
      </c>
      <c r="AZ98" s="1899" t="s">
        <v>1241</v>
      </c>
      <c r="BA98" s="1904">
        <v>0.3</v>
      </c>
      <c r="BB98" s="1904">
        <v>0.3</v>
      </c>
      <c r="BC98" s="1904">
        <v>0.3</v>
      </c>
      <c r="BD98" s="1904">
        <v>0.3</v>
      </c>
      <c r="BE98" s="1904">
        <v>0.3</v>
      </c>
      <c r="BF98" s="1904"/>
      <c r="BG98" s="1904"/>
      <c r="BH98" s="1911">
        <v>0.3</v>
      </c>
      <c r="BI98" s="1904">
        <v>0.3</v>
      </c>
      <c r="BJ98" s="1904">
        <v>0.3</v>
      </c>
      <c r="BK98" s="1905">
        <v>0.5</v>
      </c>
      <c r="BL98" s="1904">
        <v>0.5</v>
      </c>
      <c r="BM98" s="1904">
        <v>0.5</v>
      </c>
      <c r="BO98" s="1898">
        <v>3.1</v>
      </c>
      <c r="BP98" s="1902" t="s">
        <v>148</v>
      </c>
      <c r="BQ98" s="1899" t="s">
        <v>1241</v>
      </c>
      <c r="BR98" s="1904">
        <v>0.3</v>
      </c>
      <c r="BS98" s="1904">
        <v>0.3</v>
      </c>
      <c r="BT98" s="1904">
        <v>0.3</v>
      </c>
      <c r="BU98" s="1904">
        <v>0.3</v>
      </c>
      <c r="BV98" s="1904">
        <v>0.3</v>
      </c>
      <c r="BW98" s="1904"/>
      <c r="BX98" s="1904"/>
      <c r="BY98" s="1911">
        <v>0.3</v>
      </c>
      <c r="BZ98" s="1904">
        <v>0.3</v>
      </c>
      <c r="CA98" s="1904">
        <v>0.3</v>
      </c>
      <c r="CB98" s="1905">
        <v>0.5</v>
      </c>
      <c r="CC98" s="1904">
        <v>0.5</v>
      </c>
      <c r="CD98" s="1904">
        <v>0.5</v>
      </c>
      <c r="CE98" s="2278"/>
    </row>
    <row r="99" spans="1:84">
      <c r="B99" s="1872" t="str">
        <f t="shared" si="74"/>
        <v>3.1.1</v>
      </c>
      <c r="C99" s="1895" t="str">
        <f t="shared" si="53"/>
        <v>階高のゆとり</v>
      </c>
      <c r="D99" s="1885">
        <f>IF(I$98&gt;0,G99/I$98,0)</f>
        <v>0.44999999999999996</v>
      </c>
      <c r="E99" s="1897">
        <f>IF(J$98&gt;0,H99/J$98,0)</f>
        <v>0.6</v>
      </c>
      <c r="G99" s="1897">
        <f t="shared" si="54"/>
        <v>0.37241379310344824</v>
      </c>
      <c r="H99" s="1897">
        <f t="shared" si="55"/>
        <v>0.10344827586206896</v>
      </c>
      <c r="I99" s="1897"/>
      <c r="J99" s="1897"/>
      <c r="K99" s="1897">
        <f>IF(スコア!M99=0,0,1)</f>
        <v>1</v>
      </c>
      <c r="L99" s="1897">
        <f>IF(スコア!O99=0,0,1)</f>
        <v>1</v>
      </c>
      <c r="M99" s="1897">
        <f t="shared" si="56"/>
        <v>0.37241379310344824</v>
      </c>
      <c r="N99" s="1897">
        <f t="shared" si="78"/>
        <v>0.10344827586206896</v>
      </c>
      <c r="P99" s="1898" t="str">
        <f t="shared" si="58"/>
        <v>3.1.1</v>
      </c>
      <c r="Q99" s="1898" t="str">
        <f t="shared" si="59"/>
        <v xml:space="preserve"> Q2 3.1</v>
      </c>
      <c r="R99" s="1899" t="str">
        <f t="shared" si="60"/>
        <v>階高のゆとり</v>
      </c>
      <c r="S99" s="1900">
        <f t="shared" si="61"/>
        <v>0.6</v>
      </c>
      <c r="T99" s="1900">
        <f t="shared" si="62"/>
        <v>0.6</v>
      </c>
      <c r="U99" s="1900">
        <f t="shared" si="63"/>
        <v>0.6</v>
      </c>
      <c r="V99" s="1900">
        <f t="shared" si="64"/>
        <v>0.6</v>
      </c>
      <c r="W99" s="1900">
        <f t="shared" si="65"/>
        <v>0.6</v>
      </c>
      <c r="X99" s="1900">
        <f t="shared" si="66"/>
        <v>0</v>
      </c>
      <c r="Y99" s="1900">
        <f t="shared" si="67"/>
        <v>0</v>
      </c>
      <c r="Z99" s="1908">
        <f t="shared" si="68"/>
        <v>0</v>
      </c>
      <c r="AA99" s="1900">
        <f t="shared" si="69"/>
        <v>0.6</v>
      </c>
      <c r="AB99" s="1900">
        <f t="shared" si="70"/>
        <v>0.6</v>
      </c>
      <c r="AC99" s="1901">
        <f t="shared" si="71"/>
        <v>0.6</v>
      </c>
      <c r="AD99" s="1900">
        <f t="shared" si="72"/>
        <v>0.6</v>
      </c>
      <c r="AE99" s="1900">
        <f t="shared" si="73"/>
        <v>0.6</v>
      </c>
      <c r="AG99" s="1898" t="s">
        <v>1385</v>
      </c>
      <c r="AH99" s="1902" t="s">
        <v>149</v>
      </c>
      <c r="AI99" s="1899" t="s">
        <v>150</v>
      </c>
      <c r="AJ99" s="1900">
        <v>0.6</v>
      </c>
      <c r="AK99" s="1900">
        <v>0.6</v>
      </c>
      <c r="AL99" s="1900">
        <v>0.6</v>
      </c>
      <c r="AM99" s="1900">
        <v>0.6</v>
      </c>
      <c r="AN99" s="1900">
        <v>0.6</v>
      </c>
      <c r="AO99" s="1900"/>
      <c r="AP99" s="1900"/>
      <c r="AQ99" s="1908">
        <v>0</v>
      </c>
      <c r="AR99" s="1900">
        <v>0.6</v>
      </c>
      <c r="AS99" s="1904">
        <v>0.6</v>
      </c>
      <c r="AT99" s="1905">
        <v>0.6</v>
      </c>
      <c r="AU99" s="1904">
        <v>0.6</v>
      </c>
      <c r="AV99" s="1904">
        <v>0.6</v>
      </c>
      <c r="AX99" s="1898" t="s">
        <v>1385</v>
      </c>
      <c r="AY99" s="1902" t="s">
        <v>149</v>
      </c>
      <c r="AZ99" s="1899" t="s">
        <v>150</v>
      </c>
      <c r="BA99" s="1904">
        <v>0.6</v>
      </c>
      <c r="BB99" s="1904">
        <v>0.6</v>
      </c>
      <c r="BC99" s="1904">
        <v>0.6</v>
      </c>
      <c r="BD99" s="1904">
        <v>0.6</v>
      </c>
      <c r="BE99" s="1904">
        <v>0.6</v>
      </c>
      <c r="BF99" s="1904"/>
      <c r="BG99" s="1904"/>
      <c r="BH99" s="1911">
        <v>0</v>
      </c>
      <c r="BI99" s="1904">
        <v>0.6</v>
      </c>
      <c r="BJ99" s="1904">
        <v>0.6</v>
      </c>
      <c r="BK99" s="1905">
        <v>0.6</v>
      </c>
      <c r="BL99" s="1904">
        <v>0.6</v>
      </c>
      <c r="BM99" s="1904">
        <v>0.6</v>
      </c>
      <c r="BO99" s="1898" t="s">
        <v>1385</v>
      </c>
      <c r="BP99" s="1902" t="s">
        <v>149</v>
      </c>
      <c r="BQ99" s="1899" t="s">
        <v>150</v>
      </c>
      <c r="BR99" s="1904">
        <v>0.6</v>
      </c>
      <c r="BS99" s="1904">
        <v>0.6</v>
      </c>
      <c r="BT99" s="1904">
        <v>0.6</v>
      </c>
      <c r="BU99" s="1904">
        <v>0.6</v>
      </c>
      <c r="BV99" s="1904">
        <v>0.6</v>
      </c>
      <c r="BW99" s="1904"/>
      <c r="BX99" s="1904"/>
      <c r="BY99" s="1911">
        <v>0</v>
      </c>
      <c r="BZ99" s="1904">
        <v>0.6</v>
      </c>
      <c r="CA99" s="1904">
        <v>0.6</v>
      </c>
      <c r="CB99" s="1905">
        <v>0.6</v>
      </c>
      <c r="CC99" s="1904">
        <v>0.6</v>
      </c>
      <c r="CD99" s="1904">
        <v>0.6</v>
      </c>
      <c r="CE99" s="2278"/>
    </row>
    <row r="100" spans="1:84">
      <c r="B100" s="1872" t="str">
        <f t="shared" si="74"/>
        <v>3.1.2</v>
      </c>
      <c r="C100" s="1895" t="str">
        <f t="shared" si="53"/>
        <v>空間の形状・自由さ</v>
      </c>
      <c r="D100" s="1885">
        <f>IF(I$98&gt;0,G100/I$98,0)</f>
        <v>0.55000000000000004</v>
      </c>
      <c r="E100" s="1897">
        <f>IF(J$98&gt;0,H100/J$98,0)</f>
        <v>0.4</v>
      </c>
      <c r="G100" s="1897">
        <f t="shared" si="54"/>
        <v>0.45517241379310347</v>
      </c>
      <c r="H100" s="1897">
        <f t="shared" si="55"/>
        <v>6.8965517241379323E-2</v>
      </c>
      <c r="I100" s="1897"/>
      <c r="J100" s="1897"/>
      <c r="K100" s="1897">
        <f>IF(スコア!M100=0,0,1)</f>
        <v>1</v>
      </c>
      <c r="L100" s="1897">
        <f>IF(スコア!O100=0,0,1)</f>
        <v>1</v>
      </c>
      <c r="M100" s="1897">
        <f t="shared" si="56"/>
        <v>0.45517241379310347</v>
      </c>
      <c r="N100" s="1897">
        <f t="shared" si="78"/>
        <v>6.8965517241379323E-2</v>
      </c>
      <c r="P100" s="1898" t="str">
        <f t="shared" si="58"/>
        <v>3.1.2</v>
      </c>
      <c r="Q100" s="1898" t="str">
        <f t="shared" si="59"/>
        <v xml:space="preserve"> Q2 3.1</v>
      </c>
      <c r="R100" s="1899" t="str">
        <f t="shared" si="60"/>
        <v>空間の形状・自由さ</v>
      </c>
      <c r="S100" s="1900">
        <f t="shared" si="61"/>
        <v>0.4</v>
      </c>
      <c r="T100" s="1900">
        <f t="shared" si="62"/>
        <v>0.4</v>
      </c>
      <c r="U100" s="1900">
        <f t="shared" si="63"/>
        <v>0.4</v>
      </c>
      <c r="V100" s="1900">
        <f t="shared" si="64"/>
        <v>0.4</v>
      </c>
      <c r="W100" s="1900">
        <f t="shared" si="65"/>
        <v>0.4</v>
      </c>
      <c r="X100" s="1900">
        <f t="shared" si="66"/>
        <v>0</v>
      </c>
      <c r="Y100" s="1900">
        <f t="shared" si="67"/>
        <v>0</v>
      </c>
      <c r="Z100" s="1908">
        <f t="shared" si="68"/>
        <v>1</v>
      </c>
      <c r="AA100" s="1900">
        <f t="shared" si="69"/>
        <v>0.4</v>
      </c>
      <c r="AB100" s="1900">
        <f t="shared" si="70"/>
        <v>0.4</v>
      </c>
      <c r="AC100" s="1901">
        <f t="shared" si="71"/>
        <v>0.4</v>
      </c>
      <c r="AD100" s="1900">
        <f t="shared" si="72"/>
        <v>0.4</v>
      </c>
      <c r="AE100" s="1900">
        <f t="shared" si="73"/>
        <v>0.4</v>
      </c>
      <c r="AG100" s="1898" t="s">
        <v>1386</v>
      </c>
      <c r="AH100" s="1902" t="s">
        <v>149</v>
      </c>
      <c r="AI100" s="1899" t="s">
        <v>151</v>
      </c>
      <c r="AJ100" s="1900">
        <v>0.4</v>
      </c>
      <c r="AK100" s="1900">
        <v>0.4</v>
      </c>
      <c r="AL100" s="1900">
        <v>0.4</v>
      </c>
      <c r="AM100" s="1900">
        <v>0.4</v>
      </c>
      <c r="AN100" s="1900">
        <v>0.4</v>
      </c>
      <c r="AO100" s="1900"/>
      <c r="AP100" s="1900"/>
      <c r="AQ100" s="1908">
        <v>1</v>
      </c>
      <c r="AR100" s="1900">
        <v>0.4</v>
      </c>
      <c r="AS100" s="1904">
        <v>0.4</v>
      </c>
      <c r="AT100" s="1905">
        <v>0.4</v>
      </c>
      <c r="AU100" s="1904">
        <v>0.4</v>
      </c>
      <c r="AV100" s="1904">
        <v>0.4</v>
      </c>
      <c r="AX100" s="1898" t="s">
        <v>1386</v>
      </c>
      <c r="AY100" s="1902" t="s">
        <v>149</v>
      </c>
      <c r="AZ100" s="1899" t="s">
        <v>151</v>
      </c>
      <c r="BA100" s="1904">
        <v>0.4</v>
      </c>
      <c r="BB100" s="1904">
        <v>0.4</v>
      </c>
      <c r="BC100" s="1904">
        <v>0.4</v>
      </c>
      <c r="BD100" s="1904">
        <v>0.4</v>
      </c>
      <c r="BE100" s="1904">
        <v>0.4</v>
      </c>
      <c r="BF100" s="1904"/>
      <c r="BG100" s="1904"/>
      <c r="BH100" s="1911">
        <v>1</v>
      </c>
      <c r="BI100" s="1904">
        <v>0.4</v>
      </c>
      <c r="BJ100" s="1904">
        <v>0.4</v>
      </c>
      <c r="BK100" s="1905">
        <v>0.4</v>
      </c>
      <c r="BL100" s="1904">
        <v>0.4</v>
      </c>
      <c r="BM100" s="1904">
        <v>0.4</v>
      </c>
      <c r="BO100" s="1898" t="s">
        <v>1386</v>
      </c>
      <c r="BP100" s="1902" t="s">
        <v>149</v>
      </c>
      <c r="BQ100" s="1899" t="s">
        <v>151</v>
      </c>
      <c r="BR100" s="1904">
        <v>0.4</v>
      </c>
      <c r="BS100" s="1904">
        <v>0.4</v>
      </c>
      <c r="BT100" s="1904">
        <v>0.4</v>
      </c>
      <c r="BU100" s="1904">
        <v>0.4</v>
      </c>
      <c r="BV100" s="1904">
        <v>0.4</v>
      </c>
      <c r="BW100" s="1904"/>
      <c r="BX100" s="1904"/>
      <c r="BY100" s="1911">
        <v>1</v>
      </c>
      <c r="BZ100" s="1904">
        <v>0.4</v>
      </c>
      <c r="CA100" s="1904">
        <v>0.4</v>
      </c>
      <c r="CB100" s="1905">
        <v>0.4</v>
      </c>
      <c r="CC100" s="1904">
        <v>0.4</v>
      </c>
      <c r="CD100" s="1904">
        <v>0.4</v>
      </c>
      <c r="CE100" s="2278"/>
    </row>
    <row r="101" spans="1:84">
      <c r="B101" s="1872">
        <f t="shared" si="74"/>
        <v>3.2</v>
      </c>
      <c r="C101" s="1899" t="str">
        <f t="shared" si="53"/>
        <v>荷重のゆとり</v>
      </c>
      <c r="D101" s="1896">
        <f>IF(I$97=0,0,G101/I$97)</f>
        <v>0.24827586206896551</v>
      </c>
      <c r="E101" s="1897">
        <f>IF(J$97=0,0,H101/J$97)</f>
        <v>0.5</v>
      </c>
      <c r="G101" s="1897">
        <f t="shared" si="54"/>
        <v>0.24827586206896551</v>
      </c>
      <c r="H101" s="1897">
        <f t="shared" si="55"/>
        <v>8.6206896551724144E-2</v>
      </c>
      <c r="I101" s="1897"/>
      <c r="J101" s="1897"/>
      <c r="K101" s="1897">
        <f>IF(スコア!M101=0,0,1)</f>
        <v>1</v>
      </c>
      <c r="L101" s="1897">
        <f>IF(スコア!O101=0,0,1)</f>
        <v>1</v>
      </c>
      <c r="M101" s="1897">
        <f t="shared" si="56"/>
        <v>0.24827586206896551</v>
      </c>
      <c r="N101" s="1897">
        <f t="shared" si="78"/>
        <v>8.6206896551724144E-2</v>
      </c>
      <c r="P101" s="1898">
        <f t="shared" si="58"/>
        <v>3.2</v>
      </c>
      <c r="Q101" s="1898" t="str">
        <f t="shared" si="59"/>
        <v xml:space="preserve"> Q2 3</v>
      </c>
      <c r="R101" s="1899" t="str">
        <f t="shared" si="60"/>
        <v>荷重のゆとり</v>
      </c>
      <c r="S101" s="1900">
        <f t="shared" si="61"/>
        <v>0.3</v>
      </c>
      <c r="T101" s="1900">
        <f t="shared" si="62"/>
        <v>0.3</v>
      </c>
      <c r="U101" s="1900">
        <f t="shared" si="63"/>
        <v>0.3</v>
      </c>
      <c r="V101" s="1900">
        <f t="shared" si="64"/>
        <v>0.3</v>
      </c>
      <c r="W101" s="1900">
        <f t="shared" si="65"/>
        <v>0.3</v>
      </c>
      <c r="X101" s="1900">
        <f t="shared" si="66"/>
        <v>0</v>
      </c>
      <c r="Y101" s="1900">
        <f t="shared" si="67"/>
        <v>0</v>
      </c>
      <c r="Z101" s="1908">
        <f t="shared" si="68"/>
        <v>0.3</v>
      </c>
      <c r="AA101" s="1900">
        <f t="shared" si="69"/>
        <v>0.3</v>
      </c>
      <c r="AB101" s="1900">
        <f t="shared" si="70"/>
        <v>0.3</v>
      </c>
      <c r="AC101" s="1901">
        <f t="shared" si="71"/>
        <v>0.5</v>
      </c>
      <c r="AD101" s="1900">
        <f t="shared" si="72"/>
        <v>0.5</v>
      </c>
      <c r="AE101" s="1900">
        <f t="shared" si="73"/>
        <v>0.5</v>
      </c>
      <c r="AG101" s="1898">
        <v>3.2</v>
      </c>
      <c r="AH101" s="1902" t="s">
        <v>148</v>
      </c>
      <c r="AI101" s="1899" t="s">
        <v>1244</v>
      </c>
      <c r="AJ101" s="1900">
        <v>0.3</v>
      </c>
      <c r="AK101" s="1900">
        <v>0.3</v>
      </c>
      <c r="AL101" s="1900">
        <v>0.3</v>
      </c>
      <c r="AM101" s="1900">
        <v>0.3</v>
      </c>
      <c r="AN101" s="1900">
        <v>0.3</v>
      </c>
      <c r="AO101" s="1900"/>
      <c r="AP101" s="1900"/>
      <c r="AQ101" s="1908">
        <v>0.3</v>
      </c>
      <c r="AR101" s="1900">
        <v>0.3</v>
      </c>
      <c r="AS101" s="1904">
        <v>0.3</v>
      </c>
      <c r="AT101" s="1905">
        <v>0.5</v>
      </c>
      <c r="AU101" s="1904">
        <v>0.5</v>
      </c>
      <c r="AV101" s="1904">
        <v>0.5</v>
      </c>
      <c r="AX101" s="1898">
        <v>3.2</v>
      </c>
      <c r="AY101" s="1902" t="s">
        <v>148</v>
      </c>
      <c r="AZ101" s="1899" t="s">
        <v>1244</v>
      </c>
      <c r="BA101" s="1904">
        <v>0.3</v>
      </c>
      <c r="BB101" s="1904">
        <v>0.3</v>
      </c>
      <c r="BC101" s="1904">
        <v>0.3</v>
      </c>
      <c r="BD101" s="1904">
        <v>0.3</v>
      </c>
      <c r="BE101" s="1904">
        <v>0.3</v>
      </c>
      <c r="BF101" s="1904"/>
      <c r="BG101" s="1904"/>
      <c r="BH101" s="1911">
        <v>0.3</v>
      </c>
      <c r="BI101" s="1904">
        <v>0.3</v>
      </c>
      <c r="BJ101" s="1904">
        <v>0.3</v>
      </c>
      <c r="BK101" s="1905">
        <v>0.5</v>
      </c>
      <c r="BL101" s="1904">
        <v>0.5</v>
      </c>
      <c r="BM101" s="1904">
        <v>0.5</v>
      </c>
      <c r="BO101" s="1898">
        <v>3.2</v>
      </c>
      <c r="BP101" s="1902" t="s">
        <v>148</v>
      </c>
      <c r="BQ101" s="1899" t="s">
        <v>1244</v>
      </c>
      <c r="BR101" s="1904">
        <v>0.3</v>
      </c>
      <c r="BS101" s="1904">
        <v>0.3</v>
      </c>
      <c r="BT101" s="1904">
        <v>0.3</v>
      </c>
      <c r="BU101" s="1904">
        <v>0.3</v>
      </c>
      <c r="BV101" s="1904">
        <v>0.3</v>
      </c>
      <c r="BW101" s="1904"/>
      <c r="BX101" s="1904"/>
      <c r="BY101" s="1911">
        <v>0.3</v>
      </c>
      <c r="BZ101" s="1904">
        <v>0.3</v>
      </c>
      <c r="CA101" s="1904">
        <v>0.3</v>
      </c>
      <c r="CB101" s="1905">
        <v>0.5</v>
      </c>
      <c r="CC101" s="1904">
        <v>0.5</v>
      </c>
      <c r="CD101" s="1904">
        <v>0.5</v>
      </c>
      <c r="CE101" s="2278"/>
    </row>
    <row r="102" spans="1:84">
      <c r="B102" s="1872">
        <f t="shared" si="74"/>
        <v>3.3</v>
      </c>
      <c r="C102" s="1899" t="str">
        <f t="shared" si="53"/>
        <v>設備の更新性</v>
      </c>
      <c r="D102" s="1896">
        <f>IF(I$97=0,0,G102/I$97)</f>
        <v>0.50344827586206908</v>
      </c>
      <c r="E102" s="1897">
        <f>IF(J$97=0,0,H102/J$97)</f>
        <v>0</v>
      </c>
      <c r="G102" s="1897">
        <f t="shared" si="54"/>
        <v>0.50344827586206908</v>
      </c>
      <c r="H102" s="1897">
        <f t="shared" si="55"/>
        <v>0</v>
      </c>
      <c r="I102" s="1897">
        <f>SUM(G103:G108)</f>
        <v>1</v>
      </c>
      <c r="J102" s="1897">
        <f>SUM(H103:H108)</f>
        <v>0</v>
      </c>
      <c r="K102" s="1897">
        <f>IF(スコア!M102=0,0,1)</f>
        <v>1</v>
      </c>
      <c r="L102" s="1897">
        <f>IF(スコア!O102=0,0,1)</f>
        <v>0</v>
      </c>
      <c r="M102" s="1897">
        <f t="shared" si="56"/>
        <v>0.50344827586206908</v>
      </c>
      <c r="N102" s="1897">
        <f t="shared" si="78"/>
        <v>0</v>
      </c>
      <c r="P102" s="1898">
        <f t="shared" si="58"/>
        <v>3.3</v>
      </c>
      <c r="Q102" s="1898" t="str">
        <f t="shared" si="59"/>
        <v xml:space="preserve"> Q2 3</v>
      </c>
      <c r="R102" s="1899" t="str">
        <f t="shared" si="60"/>
        <v>設備の更新性</v>
      </c>
      <c r="S102" s="1900">
        <f t="shared" si="61"/>
        <v>0.4</v>
      </c>
      <c r="T102" s="1900">
        <f t="shared" si="62"/>
        <v>0.4</v>
      </c>
      <c r="U102" s="1900">
        <f t="shared" si="63"/>
        <v>0.4</v>
      </c>
      <c r="V102" s="1900">
        <f t="shared" si="64"/>
        <v>0.4</v>
      </c>
      <c r="W102" s="1900">
        <f t="shared" si="65"/>
        <v>0.4</v>
      </c>
      <c r="X102" s="1900">
        <f t="shared" si="66"/>
        <v>1</v>
      </c>
      <c r="Y102" s="1900">
        <f t="shared" si="67"/>
        <v>1</v>
      </c>
      <c r="Z102" s="1908">
        <f t="shared" si="68"/>
        <v>0.4</v>
      </c>
      <c r="AA102" s="1900">
        <f t="shared" si="69"/>
        <v>0.4</v>
      </c>
      <c r="AB102" s="1900">
        <f t="shared" si="70"/>
        <v>0.4</v>
      </c>
      <c r="AC102" s="1901">
        <f t="shared" si="71"/>
        <v>0</v>
      </c>
      <c r="AD102" s="1900">
        <f t="shared" si="72"/>
        <v>0</v>
      </c>
      <c r="AE102" s="1900">
        <f t="shared" si="73"/>
        <v>0</v>
      </c>
      <c r="AG102" s="1898">
        <v>3.3</v>
      </c>
      <c r="AH102" s="1902" t="s">
        <v>148</v>
      </c>
      <c r="AI102" s="1899" t="s">
        <v>1245</v>
      </c>
      <c r="AJ102" s="1900">
        <v>0.4</v>
      </c>
      <c r="AK102" s="1900">
        <v>0.4</v>
      </c>
      <c r="AL102" s="1900">
        <v>0.4</v>
      </c>
      <c r="AM102" s="1900">
        <v>0.4</v>
      </c>
      <c r="AN102" s="1900">
        <v>0.4</v>
      </c>
      <c r="AO102" s="1900">
        <v>1</v>
      </c>
      <c r="AP102" s="1900">
        <v>1</v>
      </c>
      <c r="AQ102" s="1908">
        <v>0.4</v>
      </c>
      <c r="AR102" s="1900">
        <v>0.4</v>
      </c>
      <c r="AS102" s="1904">
        <v>0.4</v>
      </c>
      <c r="AT102" s="1905"/>
      <c r="AU102" s="1904"/>
      <c r="AV102" s="1904"/>
      <c r="AX102" s="1898">
        <v>3.3</v>
      </c>
      <c r="AY102" s="1902" t="s">
        <v>148</v>
      </c>
      <c r="AZ102" s="1899" t="s">
        <v>1245</v>
      </c>
      <c r="BA102" s="1904">
        <v>0.4</v>
      </c>
      <c r="BB102" s="1904">
        <v>0.4</v>
      </c>
      <c r="BC102" s="1904">
        <v>0.4</v>
      </c>
      <c r="BD102" s="1904">
        <v>0.4</v>
      </c>
      <c r="BE102" s="1904">
        <v>0.4</v>
      </c>
      <c r="BF102" s="1904">
        <v>1</v>
      </c>
      <c r="BG102" s="1904">
        <v>1</v>
      </c>
      <c r="BH102" s="1911">
        <v>0.4</v>
      </c>
      <c r="BI102" s="1904">
        <v>0.4</v>
      </c>
      <c r="BJ102" s="1904">
        <v>0.4</v>
      </c>
      <c r="BK102" s="1905"/>
      <c r="BL102" s="1904"/>
      <c r="BM102" s="1904"/>
      <c r="BO102" s="1898">
        <v>3.3</v>
      </c>
      <c r="BP102" s="1902" t="s">
        <v>148</v>
      </c>
      <c r="BQ102" s="1899" t="s">
        <v>1245</v>
      </c>
      <c r="BR102" s="1904">
        <v>0.4</v>
      </c>
      <c r="BS102" s="1904">
        <v>0.4</v>
      </c>
      <c r="BT102" s="1904">
        <v>0.4</v>
      </c>
      <c r="BU102" s="1904">
        <v>0.4</v>
      </c>
      <c r="BV102" s="1904">
        <v>0.4</v>
      </c>
      <c r="BW102" s="1904">
        <v>1</v>
      </c>
      <c r="BX102" s="1904">
        <v>1</v>
      </c>
      <c r="BY102" s="1911">
        <v>0.4</v>
      </c>
      <c r="BZ102" s="1904">
        <v>0.4</v>
      </c>
      <c r="CA102" s="1904">
        <v>0.4</v>
      </c>
      <c r="CB102" s="1905"/>
      <c r="CC102" s="1904"/>
      <c r="CD102" s="1904"/>
      <c r="CE102" s="2278"/>
    </row>
    <row r="103" spans="1:84">
      <c r="B103" s="1872" t="str">
        <f t="shared" si="74"/>
        <v>3.3.1</v>
      </c>
      <c r="C103" s="1895" t="str">
        <f t="shared" si="53"/>
        <v>空調配管の更新性</v>
      </c>
      <c r="D103" s="1885">
        <f t="shared" ref="D103:E108" si="79">IF(I$102&gt;0,G103/I$102,0)</f>
        <v>0.2</v>
      </c>
      <c r="E103" s="1897">
        <f t="shared" si="79"/>
        <v>0</v>
      </c>
      <c r="G103" s="1897">
        <f t="shared" si="54"/>
        <v>0.2</v>
      </c>
      <c r="H103" s="1897">
        <f t="shared" si="55"/>
        <v>0</v>
      </c>
      <c r="I103" s="1897"/>
      <c r="J103" s="1897"/>
      <c r="K103" s="1897">
        <f>IF(スコア!M103=0,0,1)</f>
        <v>1</v>
      </c>
      <c r="L103" s="1897">
        <f>IF(スコア!O103=0,0,1)</f>
        <v>0</v>
      </c>
      <c r="M103" s="1897">
        <f t="shared" si="56"/>
        <v>0.2</v>
      </c>
      <c r="N103" s="1897">
        <f t="shared" si="78"/>
        <v>0</v>
      </c>
      <c r="P103" s="1898" t="str">
        <f t="shared" si="58"/>
        <v>3.3.1</v>
      </c>
      <c r="Q103" s="1898" t="str">
        <f t="shared" si="59"/>
        <v xml:space="preserve"> Q2 3.3</v>
      </c>
      <c r="R103" s="1899" t="str">
        <f t="shared" si="60"/>
        <v>空調配管の更新性</v>
      </c>
      <c r="S103" s="1900">
        <f t="shared" si="61"/>
        <v>0.2</v>
      </c>
      <c r="T103" s="1900">
        <f t="shared" si="62"/>
        <v>0.2</v>
      </c>
      <c r="U103" s="1900">
        <f t="shared" si="63"/>
        <v>0.2</v>
      </c>
      <c r="V103" s="1900">
        <f t="shared" si="64"/>
        <v>0.2</v>
      </c>
      <c r="W103" s="1900">
        <f t="shared" si="65"/>
        <v>0.2</v>
      </c>
      <c r="X103" s="1900">
        <f t="shared" si="66"/>
        <v>0.2</v>
      </c>
      <c r="Y103" s="1900">
        <f t="shared" si="67"/>
        <v>0.2</v>
      </c>
      <c r="Z103" s="1908">
        <f t="shared" si="68"/>
        <v>0.2</v>
      </c>
      <c r="AA103" s="1900">
        <f t="shared" si="69"/>
        <v>0.2</v>
      </c>
      <c r="AB103" s="1900">
        <f t="shared" si="70"/>
        <v>0.2</v>
      </c>
      <c r="AC103" s="1901">
        <f t="shared" si="71"/>
        <v>0</v>
      </c>
      <c r="AD103" s="1900">
        <f t="shared" si="72"/>
        <v>0</v>
      </c>
      <c r="AE103" s="1900">
        <f t="shared" si="73"/>
        <v>0</v>
      </c>
      <c r="AG103" s="1898" t="s">
        <v>1387</v>
      </c>
      <c r="AH103" s="1902" t="s">
        <v>152</v>
      </c>
      <c r="AI103" s="1899" t="s">
        <v>153</v>
      </c>
      <c r="AJ103" s="1900">
        <v>0.2</v>
      </c>
      <c r="AK103" s="1900">
        <v>0.2</v>
      </c>
      <c r="AL103" s="1900">
        <v>0.2</v>
      </c>
      <c r="AM103" s="1900">
        <v>0.2</v>
      </c>
      <c r="AN103" s="1900">
        <v>0.2</v>
      </c>
      <c r="AO103" s="1900">
        <v>0.2</v>
      </c>
      <c r="AP103" s="1900">
        <v>0.2</v>
      </c>
      <c r="AQ103" s="1908">
        <v>0.2</v>
      </c>
      <c r="AR103" s="1900">
        <v>0.2</v>
      </c>
      <c r="AS103" s="1904">
        <v>0.2</v>
      </c>
      <c r="AT103" s="1905"/>
      <c r="AU103" s="1904"/>
      <c r="AV103" s="1904"/>
      <c r="AX103" s="1898" t="s">
        <v>1387</v>
      </c>
      <c r="AY103" s="1902" t="s">
        <v>152</v>
      </c>
      <c r="AZ103" s="1899" t="s">
        <v>153</v>
      </c>
      <c r="BA103" s="1904">
        <v>0.2</v>
      </c>
      <c r="BB103" s="1904">
        <v>0.2</v>
      </c>
      <c r="BC103" s="1904">
        <v>0.2</v>
      </c>
      <c r="BD103" s="1904">
        <v>0.2</v>
      </c>
      <c r="BE103" s="1904">
        <v>0.2</v>
      </c>
      <c r="BF103" s="1904">
        <v>0.2</v>
      </c>
      <c r="BG103" s="1904">
        <v>0.2</v>
      </c>
      <c r="BH103" s="1911">
        <v>0.2</v>
      </c>
      <c r="BI103" s="1904">
        <v>0.2</v>
      </c>
      <c r="BJ103" s="1904">
        <v>0.2</v>
      </c>
      <c r="BK103" s="1905"/>
      <c r="BL103" s="1904"/>
      <c r="BM103" s="1904"/>
      <c r="BO103" s="1898" t="s">
        <v>1387</v>
      </c>
      <c r="BP103" s="1902" t="s">
        <v>152</v>
      </c>
      <c r="BQ103" s="1899" t="s">
        <v>153</v>
      </c>
      <c r="BR103" s="1904">
        <v>0.2</v>
      </c>
      <c r="BS103" s="1904">
        <v>0.2</v>
      </c>
      <c r="BT103" s="1904">
        <v>0.2</v>
      </c>
      <c r="BU103" s="1904">
        <v>0.2</v>
      </c>
      <c r="BV103" s="1904">
        <v>0.2</v>
      </c>
      <c r="BW103" s="1904">
        <v>0.2</v>
      </c>
      <c r="BX103" s="1904">
        <v>0.2</v>
      </c>
      <c r="BY103" s="1911">
        <v>0.2</v>
      </c>
      <c r="BZ103" s="1904">
        <v>0.2</v>
      </c>
      <c r="CA103" s="1904">
        <v>0.2</v>
      </c>
      <c r="CB103" s="1905"/>
      <c r="CC103" s="1904"/>
      <c r="CD103" s="1904"/>
      <c r="CE103" s="2278"/>
    </row>
    <row r="104" spans="1:84">
      <c r="B104" s="1872" t="str">
        <f t="shared" si="74"/>
        <v>3.3.2</v>
      </c>
      <c r="C104" s="1895" t="str">
        <f t="shared" si="53"/>
        <v>給排水管の更新性</v>
      </c>
      <c r="D104" s="1885">
        <f t="shared" si="79"/>
        <v>0.2</v>
      </c>
      <c r="E104" s="1897">
        <f t="shared" si="79"/>
        <v>0</v>
      </c>
      <c r="G104" s="1897">
        <f t="shared" si="54"/>
        <v>0.2</v>
      </c>
      <c r="H104" s="1897">
        <f t="shared" si="55"/>
        <v>0</v>
      </c>
      <c r="I104" s="1897"/>
      <c r="J104" s="1897"/>
      <c r="K104" s="1897">
        <f>IF(スコア!M104=0,0,1)</f>
        <v>1</v>
      </c>
      <c r="L104" s="1897">
        <f>IF(スコア!O104=0,0,1)</f>
        <v>0</v>
      </c>
      <c r="M104" s="1897">
        <f t="shared" si="56"/>
        <v>0.2</v>
      </c>
      <c r="N104" s="1897">
        <f t="shared" si="78"/>
        <v>0</v>
      </c>
      <c r="P104" s="1898" t="str">
        <f t="shared" si="58"/>
        <v>3.3.2</v>
      </c>
      <c r="Q104" s="1898" t="str">
        <f t="shared" si="59"/>
        <v xml:space="preserve"> Q2 3.3</v>
      </c>
      <c r="R104" s="1899" t="str">
        <f t="shared" si="60"/>
        <v>給排水管の更新性</v>
      </c>
      <c r="S104" s="1900">
        <f t="shared" si="61"/>
        <v>0.2</v>
      </c>
      <c r="T104" s="1900">
        <f t="shared" si="62"/>
        <v>0.2</v>
      </c>
      <c r="U104" s="1900">
        <f t="shared" si="63"/>
        <v>0.2</v>
      </c>
      <c r="V104" s="1900">
        <f t="shared" si="64"/>
        <v>0.2</v>
      </c>
      <c r="W104" s="1900">
        <f t="shared" si="65"/>
        <v>0.2</v>
      </c>
      <c r="X104" s="1900">
        <f t="shared" si="66"/>
        <v>0.2</v>
      </c>
      <c r="Y104" s="1900">
        <f t="shared" si="67"/>
        <v>0.2</v>
      </c>
      <c r="Z104" s="1908">
        <f t="shared" si="68"/>
        <v>0.2</v>
      </c>
      <c r="AA104" s="1900">
        <f t="shared" si="69"/>
        <v>0.2</v>
      </c>
      <c r="AB104" s="1900">
        <f t="shared" si="70"/>
        <v>0.2</v>
      </c>
      <c r="AC104" s="1901">
        <f t="shared" si="71"/>
        <v>0</v>
      </c>
      <c r="AD104" s="1900">
        <f t="shared" si="72"/>
        <v>0</v>
      </c>
      <c r="AE104" s="1900">
        <f t="shared" si="73"/>
        <v>0</v>
      </c>
      <c r="AG104" s="1898" t="s">
        <v>1388</v>
      </c>
      <c r="AH104" s="1902" t="s">
        <v>152</v>
      </c>
      <c r="AI104" s="1899" t="s">
        <v>154</v>
      </c>
      <c r="AJ104" s="1900">
        <v>0.2</v>
      </c>
      <c r="AK104" s="1900">
        <v>0.2</v>
      </c>
      <c r="AL104" s="1900">
        <v>0.2</v>
      </c>
      <c r="AM104" s="1900">
        <v>0.2</v>
      </c>
      <c r="AN104" s="1900">
        <v>0.2</v>
      </c>
      <c r="AO104" s="1900">
        <v>0.2</v>
      </c>
      <c r="AP104" s="1900">
        <v>0.2</v>
      </c>
      <c r="AQ104" s="1908">
        <v>0.2</v>
      </c>
      <c r="AR104" s="1900">
        <v>0.2</v>
      </c>
      <c r="AS104" s="1904">
        <v>0.2</v>
      </c>
      <c r="AT104" s="1905"/>
      <c r="AU104" s="1904"/>
      <c r="AV104" s="1904"/>
      <c r="AX104" s="1898" t="s">
        <v>1388</v>
      </c>
      <c r="AY104" s="1902" t="s">
        <v>152</v>
      </c>
      <c r="AZ104" s="1899" t="s">
        <v>154</v>
      </c>
      <c r="BA104" s="1904">
        <v>0.2</v>
      </c>
      <c r="BB104" s="1904">
        <v>0.2</v>
      </c>
      <c r="BC104" s="1904">
        <v>0.2</v>
      </c>
      <c r="BD104" s="1904">
        <v>0.2</v>
      </c>
      <c r="BE104" s="1904">
        <v>0.2</v>
      </c>
      <c r="BF104" s="1904">
        <v>0.2</v>
      </c>
      <c r="BG104" s="1904">
        <v>0.2</v>
      </c>
      <c r="BH104" s="1911">
        <v>0.2</v>
      </c>
      <c r="BI104" s="1904">
        <v>0.2</v>
      </c>
      <c r="BJ104" s="1904">
        <v>0.2</v>
      </c>
      <c r="BK104" s="1905"/>
      <c r="BL104" s="1904"/>
      <c r="BM104" s="1904"/>
      <c r="BO104" s="1898" t="s">
        <v>1388</v>
      </c>
      <c r="BP104" s="1902" t="s">
        <v>152</v>
      </c>
      <c r="BQ104" s="1899" t="s">
        <v>154</v>
      </c>
      <c r="BR104" s="1904">
        <v>0.2</v>
      </c>
      <c r="BS104" s="1904">
        <v>0.2</v>
      </c>
      <c r="BT104" s="1904">
        <v>0.2</v>
      </c>
      <c r="BU104" s="1904">
        <v>0.2</v>
      </c>
      <c r="BV104" s="1904">
        <v>0.2</v>
      </c>
      <c r="BW104" s="1904">
        <v>0.2</v>
      </c>
      <c r="BX104" s="1904">
        <v>0.2</v>
      </c>
      <c r="BY104" s="1911">
        <v>0.2</v>
      </c>
      <c r="BZ104" s="1904">
        <v>0.2</v>
      </c>
      <c r="CA104" s="1904">
        <v>0.2</v>
      </c>
      <c r="CB104" s="1905"/>
      <c r="CC104" s="1904"/>
      <c r="CD104" s="1904"/>
      <c r="CE104" s="2278"/>
    </row>
    <row r="105" spans="1:84">
      <c r="B105" s="1872" t="str">
        <f t="shared" si="74"/>
        <v>3.3.3</v>
      </c>
      <c r="C105" s="1895" t="str">
        <f t="shared" ref="C105:C140" si="80">R105</f>
        <v>電気配線の更新性</v>
      </c>
      <c r="D105" s="1885">
        <f t="shared" si="79"/>
        <v>0.1</v>
      </c>
      <c r="E105" s="1897">
        <f t="shared" si="79"/>
        <v>0</v>
      </c>
      <c r="G105" s="1897">
        <f t="shared" ref="G105:G140" si="81">K105*M105</f>
        <v>0.1</v>
      </c>
      <c r="H105" s="1897">
        <f t="shared" ref="H105:H140" si="82">L105*N105</f>
        <v>0</v>
      </c>
      <c r="I105" s="1897"/>
      <c r="J105" s="1897"/>
      <c r="K105" s="1897">
        <f>IF(スコア!M105=0,0,1)</f>
        <v>1</v>
      </c>
      <c r="L105" s="1897">
        <f>IF(スコア!O105=0,0,1)</f>
        <v>0</v>
      </c>
      <c r="M105" s="1897">
        <f t="shared" ref="M105:M140" si="83">SUMPRODUCT($S$7:$AB$7,S105:AB105)</f>
        <v>0.1</v>
      </c>
      <c r="N105" s="1897">
        <f t="shared" si="78"/>
        <v>0</v>
      </c>
      <c r="P105" s="1898" t="str">
        <f t="shared" ref="P105:P136" si="84">IF($P$3=1,AX105,IF($P$3=2,BO105,AG105))</f>
        <v>3.3.3</v>
      </c>
      <c r="Q105" s="1898" t="str">
        <f t="shared" ref="Q105:Q136" si="85">IF($P$3=1,AY105,IF($P$3=2,BP105,AH105))</f>
        <v xml:space="preserve"> Q2 3.3</v>
      </c>
      <c r="R105" s="1899" t="str">
        <f t="shared" ref="R105:R136" si="86">IF($P$3=1,AZ105,IF($P$3=2,BQ105,AI105))</f>
        <v>電気配線の更新性</v>
      </c>
      <c r="S105" s="1900">
        <f t="shared" ref="S105:S136" si="87">IF($P$3=1,BA105,IF($P$3=2,BR105,AJ105))</f>
        <v>0.1</v>
      </c>
      <c r="T105" s="1900">
        <f t="shared" ref="T105:T136" si="88">IF($P$3=1,BB105,IF($P$3=2,BS105,AK105))</f>
        <v>0.1</v>
      </c>
      <c r="U105" s="1900">
        <f t="shared" ref="U105:U136" si="89">IF($P$3=1,BC105,IF($P$3=2,BT105,AL105))</f>
        <v>0.1</v>
      </c>
      <c r="V105" s="1900">
        <f t="shared" ref="V105:V136" si="90">IF($P$3=1,BD105,IF($P$3=2,BU105,AM105))</f>
        <v>0.1</v>
      </c>
      <c r="W105" s="1900">
        <f t="shared" ref="W105:W136" si="91">IF($P$3=1,BE105,IF($P$3=2,BV105,AN105))</f>
        <v>0.1</v>
      </c>
      <c r="X105" s="1900">
        <f t="shared" ref="X105:X136" si="92">IF($P$3=1,BF105,IF($P$3=2,BW105,AO105))</f>
        <v>0.1</v>
      </c>
      <c r="Y105" s="1900">
        <f t="shared" ref="Y105:Y136" si="93">IF($P$3=1,BG105,IF($P$3=2,BX105,AP105))</f>
        <v>0.1</v>
      </c>
      <c r="Z105" s="1908">
        <f t="shared" ref="Z105:Z136" si="94">IF($P$3=1,BH105,IF($P$3=2,BY105,AQ105))</f>
        <v>0.1</v>
      </c>
      <c r="AA105" s="1900">
        <f t="shared" ref="AA105:AA121" si="95">IF($P$3=1,BI105,IF($P$3=2,BZ105,AR105))</f>
        <v>0.1</v>
      </c>
      <c r="AB105" s="1900">
        <f t="shared" ref="AB105:AB121" si="96">IF($P$3=1,BJ105,IF($P$3=2,CA105,AS105))</f>
        <v>0.1</v>
      </c>
      <c r="AC105" s="1901">
        <f t="shared" ref="AC105:AC119" si="97">IF($P$3=1,BK105,IF($P$3=2,CB105,AT105))</f>
        <v>0</v>
      </c>
      <c r="AD105" s="1900">
        <f t="shared" ref="AD105:AD119" si="98">IF($P$3=1,BL105,IF($P$3=2,CC105,AU105))</f>
        <v>0</v>
      </c>
      <c r="AE105" s="1900">
        <f t="shared" ref="AE105:AE119" si="99">IF($P$3=1,BM105,IF($P$3=2,CD105,AV105))</f>
        <v>0</v>
      </c>
      <c r="AG105" s="1898" t="s">
        <v>1389</v>
      </c>
      <c r="AH105" s="1902" t="s">
        <v>152</v>
      </c>
      <c r="AI105" s="1899" t="s">
        <v>155</v>
      </c>
      <c r="AJ105" s="1900">
        <v>0.1</v>
      </c>
      <c r="AK105" s="1900">
        <v>0.1</v>
      </c>
      <c r="AL105" s="1900">
        <v>0.1</v>
      </c>
      <c r="AM105" s="1900">
        <v>0.1</v>
      </c>
      <c r="AN105" s="1900">
        <v>0.1</v>
      </c>
      <c r="AO105" s="1900">
        <v>0.1</v>
      </c>
      <c r="AP105" s="1900">
        <v>0.1</v>
      </c>
      <c r="AQ105" s="1908">
        <v>0.1</v>
      </c>
      <c r="AR105" s="1900">
        <v>0.1</v>
      </c>
      <c r="AS105" s="1904">
        <v>0.1</v>
      </c>
      <c r="AT105" s="1905"/>
      <c r="AU105" s="1904"/>
      <c r="AV105" s="1904"/>
      <c r="AX105" s="1898" t="s">
        <v>1389</v>
      </c>
      <c r="AY105" s="1902" t="s">
        <v>152</v>
      </c>
      <c r="AZ105" s="1899" t="s">
        <v>155</v>
      </c>
      <c r="BA105" s="1904">
        <v>0.1</v>
      </c>
      <c r="BB105" s="1904">
        <v>0.1</v>
      </c>
      <c r="BC105" s="1904">
        <v>0.1</v>
      </c>
      <c r="BD105" s="1904">
        <v>0.1</v>
      </c>
      <c r="BE105" s="1904">
        <v>0.1</v>
      </c>
      <c r="BF105" s="1904">
        <v>0.1</v>
      </c>
      <c r="BG105" s="1904">
        <v>0.1</v>
      </c>
      <c r="BH105" s="1911">
        <v>0.1</v>
      </c>
      <c r="BI105" s="1904">
        <v>0.1</v>
      </c>
      <c r="BJ105" s="1904">
        <v>0.1</v>
      </c>
      <c r="BK105" s="1905"/>
      <c r="BL105" s="1904"/>
      <c r="BM105" s="1904"/>
      <c r="BO105" s="1898" t="s">
        <v>1389</v>
      </c>
      <c r="BP105" s="1902" t="s">
        <v>152</v>
      </c>
      <c r="BQ105" s="1899" t="s">
        <v>155</v>
      </c>
      <c r="BR105" s="1904">
        <v>0.1</v>
      </c>
      <c r="BS105" s="1904">
        <v>0.1</v>
      </c>
      <c r="BT105" s="1904">
        <v>0.1</v>
      </c>
      <c r="BU105" s="1904">
        <v>0.1</v>
      </c>
      <c r="BV105" s="1904">
        <v>0.1</v>
      </c>
      <c r="BW105" s="1904">
        <v>0.1</v>
      </c>
      <c r="BX105" s="1904">
        <v>0.1</v>
      </c>
      <c r="BY105" s="1911">
        <v>0.1</v>
      </c>
      <c r="BZ105" s="1904">
        <v>0.1</v>
      </c>
      <c r="CA105" s="1904">
        <v>0.1</v>
      </c>
      <c r="CB105" s="1905"/>
      <c r="CC105" s="1904"/>
      <c r="CD105" s="1904"/>
      <c r="CE105" s="2278"/>
    </row>
    <row r="106" spans="1:84">
      <c r="B106" s="1872" t="str">
        <f t="shared" si="74"/>
        <v>3.3.4</v>
      </c>
      <c r="C106" s="1895" t="str">
        <f t="shared" si="80"/>
        <v>通信配線の更新性</v>
      </c>
      <c r="D106" s="1885">
        <f t="shared" si="79"/>
        <v>0.1</v>
      </c>
      <c r="E106" s="1897">
        <f t="shared" si="79"/>
        <v>0</v>
      </c>
      <c r="G106" s="1897">
        <f t="shared" si="81"/>
        <v>0.1</v>
      </c>
      <c r="H106" s="1897">
        <f t="shared" si="82"/>
        <v>0</v>
      </c>
      <c r="I106" s="1897"/>
      <c r="J106" s="1897"/>
      <c r="K106" s="1897">
        <f>IF(スコア!M106=0,0,1)</f>
        <v>1</v>
      </c>
      <c r="L106" s="1897">
        <f>IF(スコア!O106=0,0,1)</f>
        <v>0</v>
      </c>
      <c r="M106" s="1897">
        <f t="shared" si="83"/>
        <v>0.1</v>
      </c>
      <c r="N106" s="1897">
        <f t="shared" si="78"/>
        <v>0</v>
      </c>
      <c r="P106" s="1898" t="str">
        <f t="shared" si="84"/>
        <v>3.3.4</v>
      </c>
      <c r="Q106" s="1898" t="str">
        <f t="shared" si="85"/>
        <v xml:space="preserve"> Q2 3.3</v>
      </c>
      <c r="R106" s="1899" t="str">
        <f t="shared" si="86"/>
        <v>通信配線の更新性</v>
      </c>
      <c r="S106" s="1900">
        <f t="shared" si="87"/>
        <v>0.1</v>
      </c>
      <c r="T106" s="1900">
        <f t="shared" si="88"/>
        <v>0.1</v>
      </c>
      <c r="U106" s="1900">
        <f t="shared" si="89"/>
        <v>0.1</v>
      </c>
      <c r="V106" s="1900">
        <f t="shared" si="90"/>
        <v>0.1</v>
      </c>
      <c r="W106" s="1900">
        <f t="shared" si="91"/>
        <v>0.1</v>
      </c>
      <c r="X106" s="1900">
        <f t="shared" si="92"/>
        <v>0.1</v>
      </c>
      <c r="Y106" s="1900">
        <f t="shared" si="93"/>
        <v>0.1</v>
      </c>
      <c r="Z106" s="1908">
        <f t="shared" si="94"/>
        <v>0.1</v>
      </c>
      <c r="AA106" s="1900">
        <f t="shared" si="95"/>
        <v>0.1</v>
      </c>
      <c r="AB106" s="1900">
        <f t="shared" si="96"/>
        <v>0.1</v>
      </c>
      <c r="AC106" s="1901">
        <f t="shared" si="97"/>
        <v>0</v>
      </c>
      <c r="AD106" s="1900">
        <f t="shared" si="98"/>
        <v>0</v>
      </c>
      <c r="AE106" s="1900">
        <f t="shared" si="99"/>
        <v>0</v>
      </c>
      <c r="AG106" s="1898" t="s">
        <v>1390</v>
      </c>
      <c r="AH106" s="1902" t="s">
        <v>152</v>
      </c>
      <c r="AI106" s="1899" t="s">
        <v>156</v>
      </c>
      <c r="AJ106" s="1900">
        <v>0.1</v>
      </c>
      <c r="AK106" s="1900">
        <v>0.1</v>
      </c>
      <c r="AL106" s="1900">
        <v>0.1</v>
      </c>
      <c r="AM106" s="1900">
        <v>0.1</v>
      </c>
      <c r="AN106" s="1900">
        <v>0.1</v>
      </c>
      <c r="AO106" s="1900">
        <v>0.1</v>
      </c>
      <c r="AP106" s="1900">
        <v>0.1</v>
      </c>
      <c r="AQ106" s="1908">
        <v>0.1</v>
      </c>
      <c r="AR106" s="1900">
        <v>0.1</v>
      </c>
      <c r="AS106" s="1904">
        <v>0.1</v>
      </c>
      <c r="AT106" s="1905"/>
      <c r="AU106" s="1904"/>
      <c r="AV106" s="1904"/>
      <c r="AX106" s="1898" t="s">
        <v>1390</v>
      </c>
      <c r="AY106" s="1902" t="s">
        <v>152</v>
      </c>
      <c r="AZ106" s="1899" t="s">
        <v>156</v>
      </c>
      <c r="BA106" s="1904">
        <v>0.1</v>
      </c>
      <c r="BB106" s="1904">
        <v>0.1</v>
      </c>
      <c r="BC106" s="1904">
        <v>0.1</v>
      </c>
      <c r="BD106" s="1904">
        <v>0.1</v>
      </c>
      <c r="BE106" s="1904">
        <v>0.1</v>
      </c>
      <c r="BF106" s="1904">
        <v>0.1</v>
      </c>
      <c r="BG106" s="1904">
        <v>0.1</v>
      </c>
      <c r="BH106" s="1911">
        <v>0.1</v>
      </c>
      <c r="BI106" s="1904">
        <v>0.1</v>
      </c>
      <c r="BJ106" s="1904">
        <v>0.1</v>
      </c>
      <c r="BK106" s="1905"/>
      <c r="BL106" s="1904"/>
      <c r="BM106" s="1904"/>
      <c r="BO106" s="1898" t="s">
        <v>1390</v>
      </c>
      <c r="BP106" s="1902" t="s">
        <v>152</v>
      </c>
      <c r="BQ106" s="1899" t="s">
        <v>156</v>
      </c>
      <c r="BR106" s="1904">
        <v>0.1</v>
      </c>
      <c r="BS106" s="1904">
        <v>0.1</v>
      </c>
      <c r="BT106" s="1904">
        <v>0.1</v>
      </c>
      <c r="BU106" s="1904">
        <v>0.1</v>
      </c>
      <c r="BV106" s="1904">
        <v>0.1</v>
      </c>
      <c r="BW106" s="1904">
        <v>0.1</v>
      </c>
      <c r="BX106" s="1904">
        <v>0.1</v>
      </c>
      <c r="BY106" s="1911">
        <v>0.1</v>
      </c>
      <c r="BZ106" s="1904">
        <v>0.1</v>
      </c>
      <c r="CA106" s="1904">
        <v>0.1</v>
      </c>
      <c r="CB106" s="1905"/>
      <c r="CC106" s="1904"/>
      <c r="CD106" s="1904"/>
      <c r="CE106" s="2278"/>
    </row>
    <row r="107" spans="1:84">
      <c r="B107" s="1872" t="str">
        <f t="shared" ref="B107:B142" si="100">P107</f>
        <v>3.3.5</v>
      </c>
      <c r="C107" s="1895" t="str">
        <f t="shared" si="80"/>
        <v>設備機器の更新性</v>
      </c>
      <c r="D107" s="1885">
        <f t="shared" si="79"/>
        <v>0.2</v>
      </c>
      <c r="E107" s="1897">
        <f t="shared" si="79"/>
        <v>0</v>
      </c>
      <c r="G107" s="1897">
        <f t="shared" si="81"/>
        <v>0.2</v>
      </c>
      <c r="H107" s="1897">
        <f t="shared" si="82"/>
        <v>0</v>
      </c>
      <c r="I107" s="1897"/>
      <c r="J107" s="1897"/>
      <c r="K107" s="1897">
        <f>IF(スコア!M107=0,0,1)</f>
        <v>1</v>
      </c>
      <c r="L107" s="1897">
        <f>IF(スコア!O107=0,0,1)</f>
        <v>0</v>
      </c>
      <c r="M107" s="1897">
        <f t="shared" si="83"/>
        <v>0.2</v>
      </c>
      <c r="N107" s="1897">
        <f t="shared" si="78"/>
        <v>0</v>
      </c>
      <c r="P107" s="1898" t="str">
        <f t="shared" si="84"/>
        <v>3.3.5</v>
      </c>
      <c r="Q107" s="1898" t="str">
        <f t="shared" si="85"/>
        <v xml:space="preserve"> Q2 3.3</v>
      </c>
      <c r="R107" s="1899" t="str">
        <f t="shared" si="86"/>
        <v>設備機器の更新性</v>
      </c>
      <c r="S107" s="1900">
        <f t="shared" si="87"/>
        <v>0.2</v>
      </c>
      <c r="T107" s="1900">
        <f t="shared" si="88"/>
        <v>0.2</v>
      </c>
      <c r="U107" s="1900">
        <f t="shared" si="89"/>
        <v>0.2</v>
      </c>
      <c r="V107" s="1900">
        <f t="shared" si="90"/>
        <v>0.2</v>
      </c>
      <c r="W107" s="1900">
        <f t="shared" si="91"/>
        <v>0.2</v>
      </c>
      <c r="X107" s="1900">
        <f t="shared" si="92"/>
        <v>0.2</v>
      </c>
      <c r="Y107" s="1900">
        <f t="shared" si="93"/>
        <v>0.2</v>
      </c>
      <c r="Z107" s="1908">
        <f t="shared" si="94"/>
        <v>0.2</v>
      </c>
      <c r="AA107" s="1900">
        <f t="shared" si="95"/>
        <v>0.2</v>
      </c>
      <c r="AB107" s="1900">
        <f t="shared" si="96"/>
        <v>0.2</v>
      </c>
      <c r="AC107" s="1901">
        <f t="shared" si="97"/>
        <v>0</v>
      </c>
      <c r="AD107" s="1900">
        <f t="shared" si="98"/>
        <v>0</v>
      </c>
      <c r="AE107" s="1900">
        <f t="shared" si="99"/>
        <v>0</v>
      </c>
      <c r="AG107" s="1898" t="s">
        <v>1391</v>
      </c>
      <c r="AH107" s="1902" t="s">
        <v>152</v>
      </c>
      <c r="AI107" s="1899" t="s">
        <v>157</v>
      </c>
      <c r="AJ107" s="1900">
        <v>0.2</v>
      </c>
      <c r="AK107" s="1900">
        <v>0.2</v>
      </c>
      <c r="AL107" s="1900">
        <v>0.2</v>
      </c>
      <c r="AM107" s="1900">
        <v>0.2</v>
      </c>
      <c r="AN107" s="1900">
        <v>0.2</v>
      </c>
      <c r="AO107" s="1900">
        <v>0.2</v>
      </c>
      <c r="AP107" s="1900">
        <v>0.2</v>
      </c>
      <c r="AQ107" s="1908">
        <v>0.2</v>
      </c>
      <c r="AR107" s="1900">
        <v>0.2</v>
      </c>
      <c r="AS107" s="1904">
        <v>0.2</v>
      </c>
      <c r="AT107" s="1905"/>
      <c r="AU107" s="1904"/>
      <c r="AV107" s="1904"/>
      <c r="AX107" s="1898" t="s">
        <v>1391</v>
      </c>
      <c r="AY107" s="1902" t="s">
        <v>152</v>
      </c>
      <c r="AZ107" s="1899" t="s">
        <v>157</v>
      </c>
      <c r="BA107" s="1904">
        <v>0.2</v>
      </c>
      <c r="BB107" s="1904">
        <v>0.2</v>
      </c>
      <c r="BC107" s="1904">
        <v>0.2</v>
      </c>
      <c r="BD107" s="1904">
        <v>0.2</v>
      </c>
      <c r="BE107" s="1904">
        <v>0.2</v>
      </c>
      <c r="BF107" s="1904">
        <v>0.2</v>
      </c>
      <c r="BG107" s="1904">
        <v>0.2</v>
      </c>
      <c r="BH107" s="1911">
        <v>0.2</v>
      </c>
      <c r="BI107" s="1904">
        <v>0.2</v>
      </c>
      <c r="BJ107" s="1904">
        <v>0.2</v>
      </c>
      <c r="BK107" s="1905"/>
      <c r="BL107" s="1904"/>
      <c r="BM107" s="1904"/>
      <c r="BO107" s="1898" t="s">
        <v>1391</v>
      </c>
      <c r="BP107" s="1902" t="s">
        <v>152</v>
      </c>
      <c r="BQ107" s="1899" t="s">
        <v>157</v>
      </c>
      <c r="BR107" s="1904">
        <v>0.2</v>
      </c>
      <c r="BS107" s="1904">
        <v>0.2</v>
      </c>
      <c r="BT107" s="1904">
        <v>0.2</v>
      </c>
      <c r="BU107" s="1904">
        <v>0.2</v>
      </c>
      <c r="BV107" s="1904">
        <v>0.2</v>
      </c>
      <c r="BW107" s="1904">
        <v>0.2</v>
      </c>
      <c r="BX107" s="1904">
        <v>0.2</v>
      </c>
      <c r="BY107" s="1911">
        <v>0.2</v>
      </c>
      <c r="BZ107" s="1904">
        <v>0.2</v>
      </c>
      <c r="CA107" s="1904">
        <v>0.2</v>
      </c>
      <c r="CB107" s="1905"/>
      <c r="CC107" s="1904"/>
      <c r="CD107" s="1904"/>
      <c r="CE107" s="2278"/>
    </row>
    <row r="108" spans="1:84">
      <c r="B108" s="1872" t="str">
        <f t="shared" si="100"/>
        <v>3.3.6</v>
      </c>
      <c r="C108" s="1895" t="str">
        <f t="shared" si="80"/>
        <v>バックアップスペースの確保</v>
      </c>
      <c r="D108" s="1885">
        <f t="shared" si="79"/>
        <v>0.2</v>
      </c>
      <c r="E108" s="1897">
        <f t="shared" si="79"/>
        <v>0</v>
      </c>
      <c r="G108" s="1897">
        <f t="shared" si="81"/>
        <v>0.2</v>
      </c>
      <c r="H108" s="1897">
        <f t="shared" si="82"/>
        <v>0</v>
      </c>
      <c r="I108" s="1897"/>
      <c r="J108" s="1897"/>
      <c r="K108" s="1897">
        <f>IF(スコア!M108=0,0,1)</f>
        <v>1</v>
      </c>
      <c r="L108" s="1897">
        <f>IF(スコア!O108=0,0,1)</f>
        <v>0</v>
      </c>
      <c r="M108" s="1897">
        <f t="shared" si="83"/>
        <v>0.2</v>
      </c>
      <c r="N108" s="1897">
        <f t="shared" si="78"/>
        <v>0</v>
      </c>
      <c r="P108" s="1898" t="str">
        <f t="shared" si="84"/>
        <v>3.3.6</v>
      </c>
      <c r="Q108" s="1898" t="str">
        <f t="shared" si="85"/>
        <v xml:space="preserve"> Q2 3.3</v>
      </c>
      <c r="R108" s="1899" t="str">
        <f t="shared" si="86"/>
        <v>バックアップスペースの確保</v>
      </c>
      <c r="S108" s="1900">
        <f t="shared" si="87"/>
        <v>0.2</v>
      </c>
      <c r="T108" s="1900">
        <f t="shared" si="88"/>
        <v>0.2</v>
      </c>
      <c r="U108" s="1900">
        <f t="shared" si="89"/>
        <v>0.2</v>
      </c>
      <c r="V108" s="1900">
        <f t="shared" si="90"/>
        <v>0.2</v>
      </c>
      <c r="W108" s="1900">
        <f t="shared" si="91"/>
        <v>0.2</v>
      </c>
      <c r="X108" s="1900">
        <f t="shared" si="92"/>
        <v>0.2</v>
      </c>
      <c r="Y108" s="1900">
        <f t="shared" si="93"/>
        <v>0.2</v>
      </c>
      <c r="Z108" s="1908">
        <f t="shared" si="94"/>
        <v>0.2</v>
      </c>
      <c r="AA108" s="1900">
        <f t="shared" si="95"/>
        <v>0.2</v>
      </c>
      <c r="AB108" s="1900">
        <f t="shared" si="96"/>
        <v>0.2</v>
      </c>
      <c r="AC108" s="1901">
        <f t="shared" si="97"/>
        <v>0</v>
      </c>
      <c r="AD108" s="1900">
        <f t="shared" si="98"/>
        <v>0</v>
      </c>
      <c r="AE108" s="1900">
        <f t="shared" si="99"/>
        <v>0</v>
      </c>
      <c r="AG108" s="1898" t="s">
        <v>1392</v>
      </c>
      <c r="AH108" s="1902" t="s">
        <v>152</v>
      </c>
      <c r="AI108" s="1899" t="s">
        <v>1250</v>
      </c>
      <c r="AJ108" s="1900">
        <v>0.2</v>
      </c>
      <c r="AK108" s="1900">
        <v>0.2</v>
      </c>
      <c r="AL108" s="1900">
        <v>0.2</v>
      </c>
      <c r="AM108" s="1900">
        <v>0.2</v>
      </c>
      <c r="AN108" s="1900">
        <v>0.2</v>
      </c>
      <c r="AO108" s="1900">
        <v>0.2</v>
      </c>
      <c r="AP108" s="1900">
        <v>0.2</v>
      </c>
      <c r="AQ108" s="1908">
        <v>0.2</v>
      </c>
      <c r="AR108" s="1900">
        <v>0.2</v>
      </c>
      <c r="AS108" s="1904">
        <v>0.2</v>
      </c>
      <c r="AT108" s="1905"/>
      <c r="AU108" s="1904"/>
      <c r="AV108" s="1904"/>
      <c r="AX108" s="1898" t="s">
        <v>1392</v>
      </c>
      <c r="AY108" s="1902" t="s">
        <v>152</v>
      </c>
      <c r="AZ108" s="1899" t="s">
        <v>2034</v>
      </c>
      <c r="BA108" s="1904">
        <v>0.2</v>
      </c>
      <c r="BB108" s="1904">
        <v>0.2</v>
      </c>
      <c r="BC108" s="1904">
        <v>0.2</v>
      </c>
      <c r="BD108" s="1904">
        <v>0.2</v>
      </c>
      <c r="BE108" s="1904">
        <v>0.2</v>
      </c>
      <c r="BF108" s="1904">
        <v>0.2</v>
      </c>
      <c r="BG108" s="1904">
        <v>0.2</v>
      </c>
      <c r="BH108" s="1911">
        <v>0.2</v>
      </c>
      <c r="BI108" s="1904">
        <v>0.2</v>
      </c>
      <c r="BJ108" s="1904">
        <v>0.2</v>
      </c>
      <c r="BK108" s="1905"/>
      <c r="BL108" s="1904"/>
      <c r="BM108" s="1904"/>
      <c r="BO108" s="1898" t="s">
        <v>1392</v>
      </c>
      <c r="BP108" s="1902" t="s">
        <v>152</v>
      </c>
      <c r="BQ108" s="1899" t="s">
        <v>1250</v>
      </c>
      <c r="BR108" s="1904">
        <v>0.2</v>
      </c>
      <c r="BS108" s="1904">
        <v>0.2</v>
      </c>
      <c r="BT108" s="1904">
        <v>0.2</v>
      </c>
      <c r="BU108" s="1904">
        <v>0.2</v>
      </c>
      <c r="BV108" s="1904">
        <v>0.2</v>
      </c>
      <c r="BW108" s="1904">
        <v>0.2</v>
      </c>
      <c r="BX108" s="1904">
        <v>0.2</v>
      </c>
      <c r="BY108" s="1911">
        <v>0.2</v>
      </c>
      <c r="BZ108" s="1904">
        <v>0.2</v>
      </c>
      <c r="CA108" s="1904">
        <v>0.2</v>
      </c>
      <c r="CB108" s="1905"/>
      <c r="CC108" s="1904"/>
      <c r="CD108" s="1904"/>
      <c r="CE108" s="2278"/>
    </row>
    <row r="109" spans="1:84" s="1355" customFormat="1">
      <c r="A109"/>
      <c r="B109" s="1872" t="str">
        <f t="shared" si="100"/>
        <v>Q3</v>
      </c>
      <c r="C109" s="1876" t="str">
        <f t="shared" si="80"/>
        <v>室外環境（敷地内）</v>
      </c>
      <c r="D109" s="1874">
        <f>IF(I$8=0,0,G109/I$8)</f>
        <v>0.3</v>
      </c>
      <c r="E109" s="1875">
        <f>IF(J$8=0,0,H109/J$8)</f>
        <v>0</v>
      </c>
      <c r="F109"/>
      <c r="G109" s="1875">
        <f t="shared" si="81"/>
        <v>0.3</v>
      </c>
      <c r="H109" s="1875">
        <f t="shared" si="82"/>
        <v>0</v>
      </c>
      <c r="I109" s="1875">
        <f>G110+G111+G112</f>
        <v>1</v>
      </c>
      <c r="J109" s="1875">
        <f>H110+H111+H112</f>
        <v>0</v>
      </c>
      <c r="K109" s="1875">
        <f>IF(スコア!Q109=0,0,1)</f>
        <v>1</v>
      </c>
      <c r="L109" s="1875">
        <f>IF(スコア!O109=0,0,1)</f>
        <v>0</v>
      </c>
      <c r="M109" s="1875">
        <f t="shared" si="83"/>
        <v>0.3</v>
      </c>
      <c r="N109" s="1875">
        <f t="shared" si="78"/>
        <v>0</v>
      </c>
      <c r="O109"/>
      <c r="P109" s="1872" t="str">
        <f t="shared" si="84"/>
        <v>Q3</v>
      </c>
      <c r="Q109" s="1872" t="str">
        <f t="shared" si="85"/>
        <v xml:space="preserve"> Q</v>
      </c>
      <c r="R109" s="1876" t="str">
        <f t="shared" si="86"/>
        <v>室外環境（敷地内）</v>
      </c>
      <c r="S109" s="1877">
        <f t="shared" si="87"/>
        <v>0.3</v>
      </c>
      <c r="T109" s="1877">
        <f t="shared" si="88"/>
        <v>0.3</v>
      </c>
      <c r="U109" s="1877">
        <f t="shared" si="89"/>
        <v>0.3</v>
      </c>
      <c r="V109" s="1877">
        <f t="shared" si="90"/>
        <v>0.3</v>
      </c>
      <c r="W109" s="1877">
        <f t="shared" si="91"/>
        <v>0.3</v>
      </c>
      <c r="X109" s="1877">
        <f t="shared" si="92"/>
        <v>0.3</v>
      </c>
      <c r="Y109" s="1877">
        <f t="shared" si="93"/>
        <v>0.3</v>
      </c>
      <c r="Z109" s="1877">
        <f t="shared" si="94"/>
        <v>0.3</v>
      </c>
      <c r="AA109" s="1877">
        <f t="shared" si="95"/>
        <v>0.4</v>
      </c>
      <c r="AB109" s="1877">
        <f t="shared" si="96"/>
        <v>0.3</v>
      </c>
      <c r="AC109" s="1878">
        <f t="shared" si="97"/>
        <v>0</v>
      </c>
      <c r="AD109" s="1877">
        <f t="shared" si="98"/>
        <v>0</v>
      </c>
      <c r="AE109" s="1877">
        <f t="shared" si="99"/>
        <v>0</v>
      </c>
      <c r="AF109"/>
      <c r="AG109" s="1872" t="s">
        <v>1393</v>
      </c>
      <c r="AH109" s="1879" t="s">
        <v>940</v>
      </c>
      <c r="AI109" s="1876" t="s">
        <v>1394</v>
      </c>
      <c r="AJ109" s="1877">
        <v>0.3</v>
      </c>
      <c r="AK109" s="1877">
        <v>0.3</v>
      </c>
      <c r="AL109" s="1877">
        <v>0.3</v>
      </c>
      <c r="AM109" s="1877">
        <v>0.3</v>
      </c>
      <c r="AN109" s="1877">
        <v>0.3</v>
      </c>
      <c r="AO109" s="1877">
        <v>0.3</v>
      </c>
      <c r="AP109" s="1877">
        <v>0.3</v>
      </c>
      <c r="AQ109" s="1877">
        <v>0.3</v>
      </c>
      <c r="AR109" s="1877">
        <v>0.4</v>
      </c>
      <c r="AS109" s="1880">
        <v>0.3</v>
      </c>
      <c r="AT109" s="1881">
        <v>0</v>
      </c>
      <c r="AU109" s="1880">
        <v>0</v>
      </c>
      <c r="AV109" s="1880">
        <v>0</v>
      </c>
      <c r="AW109"/>
      <c r="AX109" s="1872" t="s">
        <v>1393</v>
      </c>
      <c r="AY109" s="1879" t="s">
        <v>940</v>
      </c>
      <c r="AZ109" s="1876" t="s">
        <v>1394</v>
      </c>
      <c r="BA109" s="1880">
        <v>0.3</v>
      </c>
      <c r="BB109" s="1880">
        <v>0.3</v>
      </c>
      <c r="BC109" s="1880">
        <v>0.3</v>
      </c>
      <c r="BD109" s="1880">
        <v>0.3</v>
      </c>
      <c r="BE109" s="1880">
        <v>0.3</v>
      </c>
      <c r="BF109" s="1880">
        <v>0.3</v>
      </c>
      <c r="BG109" s="1880">
        <v>0.3</v>
      </c>
      <c r="BH109" s="1880">
        <v>0.3</v>
      </c>
      <c r="BI109" s="1880">
        <v>0.4</v>
      </c>
      <c r="BJ109" s="1880">
        <v>0.3</v>
      </c>
      <c r="BK109" s="1881"/>
      <c r="BL109" s="1880"/>
      <c r="BM109" s="1880"/>
      <c r="BN109"/>
      <c r="BO109" s="1872" t="s">
        <v>1393</v>
      </c>
      <c r="BP109" s="1879" t="s">
        <v>940</v>
      </c>
      <c r="BQ109" s="1876" t="s">
        <v>1394</v>
      </c>
      <c r="BR109" s="1880">
        <v>0.3</v>
      </c>
      <c r="BS109" s="1880">
        <v>0.3</v>
      </c>
      <c r="BT109" s="1880">
        <v>0.3</v>
      </c>
      <c r="BU109" s="1880">
        <v>0.3</v>
      </c>
      <c r="BV109" s="1880">
        <v>0.3</v>
      </c>
      <c r="BW109" s="1880">
        <v>0.3</v>
      </c>
      <c r="BX109" s="1880">
        <v>0.3</v>
      </c>
      <c r="BY109" s="1880">
        <v>0.3</v>
      </c>
      <c r="BZ109" s="1880">
        <v>0.4</v>
      </c>
      <c r="CA109" s="1880">
        <v>0.3</v>
      </c>
      <c r="CB109" s="1881"/>
      <c r="CC109" s="1880"/>
      <c r="CD109" s="1880"/>
      <c r="CE109" s="2276"/>
      <c r="CF109"/>
    </row>
    <row r="110" spans="1:84" s="1355" customFormat="1">
      <c r="A110"/>
      <c r="B110" s="1872">
        <f t="shared" si="100"/>
        <v>1</v>
      </c>
      <c r="C110" s="1882" t="str">
        <f t="shared" si="80"/>
        <v>生物資源の保全と創出</v>
      </c>
      <c r="D110" s="1883">
        <f t="shared" ref="D110:E112" si="101">IF(I$109=0,0,G110/I$109)</f>
        <v>0.3</v>
      </c>
      <c r="E110" s="1884">
        <f t="shared" si="101"/>
        <v>0</v>
      </c>
      <c r="F110"/>
      <c r="G110" s="1884">
        <f t="shared" si="81"/>
        <v>0.3</v>
      </c>
      <c r="H110" s="1884">
        <f t="shared" si="82"/>
        <v>0</v>
      </c>
      <c r="I110" s="1884"/>
      <c r="J110" s="1884"/>
      <c r="K110" s="1884">
        <f>IF(スコア!M110=0,0,1)</f>
        <v>1</v>
      </c>
      <c r="L110" s="1884">
        <f>IF(スコア!O110=0,0,1)</f>
        <v>0</v>
      </c>
      <c r="M110" s="1884">
        <f t="shared" si="83"/>
        <v>0.3</v>
      </c>
      <c r="N110" s="1884">
        <f t="shared" si="78"/>
        <v>0</v>
      </c>
      <c r="O110"/>
      <c r="P110" s="1886">
        <f t="shared" si="84"/>
        <v>1</v>
      </c>
      <c r="Q110" s="1886" t="str">
        <f t="shared" si="85"/>
        <v xml:space="preserve"> Q3</v>
      </c>
      <c r="R110" s="1887" t="str">
        <f t="shared" si="86"/>
        <v>生物資源の保全と創出</v>
      </c>
      <c r="S110" s="1888">
        <f t="shared" si="87"/>
        <v>0.3</v>
      </c>
      <c r="T110" s="1888">
        <f t="shared" si="88"/>
        <v>0.3</v>
      </c>
      <c r="U110" s="1888">
        <f t="shared" si="89"/>
        <v>0.3</v>
      </c>
      <c r="V110" s="1888">
        <f t="shared" si="90"/>
        <v>0.3</v>
      </c>
      <c r="W110" s="1888">
        <f t="shared" si="91"/>
        <v>0.3</v>
      </c>
      <c r="X110" s="1888">
        <f t="shared" si="92"/>
        <v>0.3</v>
      </c>
      <c r="Y110" s="1888">
        <f t="shared" si="93"/>
        <v>0.3</v>
      </c>
      <c r="Z110" s="1947">
        <f t="shared" si="94"/>
        <v>0.3</v>
      </c>
      <c r="AA110" s="1888">
        <f t="shared" si="95"/>
        <v>0.3</v>
      </c>
      <c r="AB110" s="1888">
        <f t="shared" si="96"/>
        <v>0.3</v>
      </c>
      <c r="AC110" s="1890">
        <f t="shared" si="97"/>
        <v>0</v>
      </c>
      <c r="AD110" s="1888">
        <f t="shared" si="98"/>
        <v>0</v>
      </c>
      <c r="AE110" s="1888">
        <f t="shared" si="99"/>
        <v>0</v>
      </c>
      <c r="AF110"/>
      <c r="AG110" s="1886">
        <v>1</v>
      </c>
      <c r="AH110" s="1891" t="s">
        <v>158</v>
      </c>
      <c r="AI110" s="1887" t="s">
        <v>159</v>
      </c>
      <c r="AJ110" s="1888">
        <v>0.3</v>
      </c>
      <c r="AK110" s="1888">
        <v>0.3</v>
      </c>
      <c r="AL110" s="1888">
        <v>0.3</v>
      </c>
      <c r="AM110" s="1888">
        <v>0.3</v>
      </c>
      <c r="AN110" s="1888">
        <v>0.3</v>
      </c>
      <c r="AO110" s="1888">
        <v>0.3</v>
      </c>
      <c r="AP110" s="1888">
        <v>0.3</v>
      </c>
      <c r="AQ110" s="1947">
        <v>0.3</v>
      </c>
      <c r="AR110" s="1888">
        <v>0.3</v>
      </c>
      <c r="AS110" s="1892">
        <v>0.3</v>
      </c>
      <c r="AT110" s="1893">
        <v>0</v>
      </c>
      <c r="AU110" s="1892">
        <v>0</v>
      </c>
      <c r="AV110" s="1892">
        <v>0</v>
      </c>
      <c r="AW110"/>
      <c r="AX110" s="1886">
        <v>1</v>
      </c>
      <c r="AY110" s="1891" t="s">
        <v>158</v>
      </c>
      <c r="AZ110" s="1887" t="s">
        <v>159</v>
      </c>
      <c r="BA110" s="1892">
        <v>0.3</v>
      </c>
      <c r="BB110" s="1892">
        <v>0.3</v>
      </c>
      <c r="BC110" s="1892">
        <v>0.3</v>
      </c>
      <c r="BD110" s="1892">
        <v>0.3</v>
      </c>
      <c r="BE110" s="1892">
        <v>0.3</v>
      </c>
      <c r="BF110" s="1892">
        <v>0.3</v>
      </c>
      <c r="BG110" s="1892">
        <v>0.3</v>
      </c>
      <c r="BH110" s="1948">
        <v>0.3</v>
      </c>
      <c r="BI110" s="1892">
        <v>0.3</v>
      </c>
      <c r="BJ110" s="1892">
        <v>0.3</v>
      </c>
      <c r="BK110" s="1893"/>
      <c r="BL110" s="1892"/>
      <c r="BM110" s="1892"/>
      <c r="BN110"/>
      <c r="BO110" s="1886">
        <v>1</v>
      </c>
      <c r="BP110" s="1891" t="s">
        <v>158</v>
      </c>
      <c r="BQ110" s="1887" t="s">
        <v>159</v>
      </c>
      <c r="BR110" s="1892">
        <v>0.3</v>
      </c>
      <c r="BS110" s="1892">
        <v>0.3</v>
      </c>
      <c r="BT110" s="1892">
        <v>0.3</v>
      </c>
      <c r="BU110" s="1892">
        <v>0.3</v>
      </c>
      <c r="BV110" s="1892">
        <v>0.3</v>
      </c>
      <c r="BW110" s="1892">
        <v>0.3</v>
      </c>
      <c r="BX110" s="1892">
        <v>0.3</v>
      </c>
      <c r="BY110" s="1948">
        <v>0.3</v>
      </c>
      <c r="BZ110" s="1892">
        <v>0.3</v>
      </c>
      <c r="CA110" s="1892">
        <v>0.3</v>
      </c>
      <c r="CB110" s="1893"/>
      <c r="CC110" s="1892"/>
      <c r="CD110" s="1892"/>
      <c r="CE110" s="2277"/>
      <c r="CF110"/>
    </row>
    <row r="111" spans="1:84" s="1355" customFormat="1">
      <c r="A111"/>
      <c r="B111" s="1872">
        <f t="shared" si="100"/>
        <v>2</v>
      </c>
      <c r="C111" s="1882" t="str">
        <f t="shared" si="80"/>
        <v>まちなみ・景観への配慮</v>
      </c>
      <c r="D111" s="1883">
        <f t="shared" si="101"/>
        <v>0.4</v>
      </c>
      <c r="E111" s="1884">
        <f t="shared" si="101"/>
        <v>0</v>
      </c>
      <c r="F111"/>
      <c r="G111" s="1884">
        <f t="shared" si="81"/>
        <v>0.4</v>
      </c>
      <c r="H111" s="1884">
        <f t="shared" si="82"/>
        <v>0</v>
      </c>
      <c r="I111" s="1884"/>
      <c r="J111" s="1884"/>
      <c r="K111" s="1884">
        <f>IF(スコア!M111=0,0,1)</f>
        <v>1</v>
      </c>
      <c r="L111" s="1884">
        <f>IF(スコア!O111=0,0,1)</f>
        <v>0</v>
      </c>
      <c r="M111" s="1884">
        <f t="shared" si="83"/>
        <v>0.4</v>
      </c>
      <c r="N111" s="1884">
        <f t="shared" si="78"/>
        <v>0</v>
      </c>
      <c r="O111"/>
      <c r="P111" s="1886">
        <f t="shared" si="84"/>
        <v>2</v>
      </c>
      <c r="Q111" s="1886" t="str">
        <f t="shared" si="85"/>
        <v xml:space="preserve"> Q3</v>
      </c>
      <c r="R111" s="1887" t="str">
        <f t="shared" si="86"/>
        <v>まちなみ・景観への配慮</v>
      </c>
      <c r="S111" s="1888">
        <f t="shared" si="87"/>
        <v>0.4</v>
      </c>
      <c r="T111" s="1888">
        <f t="shared" si="88"/>
        <v>0.4</v>
      </c>
      <c r="U111" s="1888">
        <f t="shared" si="89"/>
        <v>0.4</v>
      </c>
      <c r="V111" s="1888">
        <f t="shared" si="90"/>
        <v>0.4</v>
      </c>
      <c r="W111" s="1888">
        <f t="shared" si="91"/>
        <v>0.4</v>
      </c>
      <c r="X111" s="1888">
        <f t="shared" si="92"/>
        <v>0.4</v>
      </c>
      <c r="Y111" s="1888">
        <f t="shared" si="93"/>
        <v>0.4</v>
      </c>
      <c r="Z111" s="1947">
        <f t="shared" si="94"/>
        <v>0.4</v>
      </c>
      <c r="AA111" s="1888">
        <f t="shared" si="95"/>
        <v>0.4</v>
      </c>
      <c r="AB111" s="1888">
        <f t="shared" si="96"/>
        <v>0.4</v>
      </c>
      <c r="AC111" s="1890">
        <f t="shared" si="97"/>
        <v>0</v>
      </c>
      <c r="AD111" s="1888">
        <f t="shared" si="98"/>
        <v>0</v>
      </c>
      <c r="AE111" s="1888">
        <f t="shared" si="99"/>
        <v>0</v>
      </c>
      <c r="AF111"/>
      <c r="AG111" s="1886">
        <v>2</v>
      </c>
      <c r="AH111" s="1891" t="s">
        <v>158</v>
      </c>
      <c r="AI111" s="1887" t="s">
        <v>1395</v>
      </c>
      <c r="AJ111" s="1888">
        <v>0.4</v>
      </c>
      <c r="AK111" s="1888">
        <v>0.4</v>
      </c>
      <c r="AL111" s="1888">
        <v>0.4</v>
      </c>
      <c r="AM111" s="1888">
        <v>0.4</v>
      </c>
      <c r="AN111" s="1888">
        <v>0.4</v>
      </c>
      <c r="AO111" s="1888">
        <v>0.4</v>
      </c>
      <c r="AP111" s="1888">
        <v>0.4</v>
      </c>
      <c r="AQ111" s="1947">
        <v>0.4</v>
      </c>
      <c r="AR111" s="1888">
        <v>0.4</v>
      </c>
      <c r="AS111" s="1892">
        <v>0.4</v>
      </c>
      <c r="AT111" s="1893">
        <v>0</v>
      </c>
      <c r="AU111" s="1892">
        <v>0</v>
      </c>
      <c r="AV111" s="1892">
        <v>0</v>
      </c>
      <c r="AW111"/>
      <c r="AX111" s="1886">
        <v>2</v>
      </c>
      <c r="AY111" s="1891" t="s">
        <v>158</v>
      </c>
      <c r="AZ111" s="1887" t="s">
        <v>1395</v>
      </c>
      <c r="BA111" s="1892">
        <v>0.4</v>
      </c>
      <c r="BB111" s="1892">
        <v>0.4</v>
      </c>
      <c r="BC111" s="1892">
        <v>0.4</v>
      </c>
      <c r="BD111" s="1892">
        <v>0.4</v>
      </c>
      <c r="BE111" s="1892">
        <v>0.4</v>
      </c>
      <c r="BF111" s="1892">
        <v>0.4</v>
      </c>
      <c r="BG111" s="1892">
        <v>0.4</v>
      </c>
      <c r="BH111" s="1948">
        <v>0.4</v>
      </c>
      <c r="BI111" s="1892">
        <v>0.4</v>
      </c>
      <c r="BJ111" s="1892">
        <v>0.4</v>
      </c>
      <c r="BK111" s="1893"/>
      <c r="BL111" s="1892"/>
      <c r="BM111" s="1892"/>
      <c r="BN111"/>
      <c r="BO111" s="1886">
        <v>2</v>
      </c>
      <c r="BP111" s="1891" t="s">
        <v>158</v>
      </c>
      <c r="BQ111" s="1887" t="s">
        <v>1395</v>
      </c>
      <c r="BR111" s="1892">
        <v>0.4</v>
      </c>
      <c r="BS111" s="1892">
        <v>0.4</v>
      </c>
      <c r="BT111" s="1892">
        <v>0.4</v>
      </c>
      <c r="BU111" s="1892">
        <v>0.4</v>
      </c>
      <c r="BV111" s="1892">
        <v>0.4</v>
      </c>
      <c r="BW111" s="1892">
        <v>0.4</v>
      </c>
      <c r="BX111" s="1892">
        <v>0.4</v>
      </c>
      <c r="BY111" s="1948">
        <v>0.4</v>
      </c>
      <c r="BZ111" s="1892">
        <v>0.4</v>
      </c>
      <c r="CA111" s="1892">
        <v>0.4</v>
      </c>
      <c r="CB111" s="1893"/>
      <c r="CC111" s="1892"/>
      <c r="CD111" s="1892"/>
      <c r="CE111" s="2277"/>
      <c r="CF111"/>
    </row>
    <row r="112" spans="1:84" s="1355" customFormat="1">
      <c r="A112"/>
      <c r="B112" s="1872">
        <f t="shared" si="100"/>
        <v>3</v>
      </c>
      <c r="C112" s="1882" t="str">
        <f t="shared" si="80"/>
        <v>地域性・アメニティへの配慮</v>
      </c>
      <c r="D112" s="1883">
        <f t="shared" si="101"/>
        <v>0.3</v>
      </c>
      <c r="E112" s="1884">
        <f t="shared" si="101"/>
        <v>0</v>
      </c>
      <c r="F112"/>
      <c r="G112" s="1884">
        <f t="shared" si="81"/>
        <v>0.3</v>
      </c>
      <c r="H112" s="1884">
        <f t="shared" si="82"/>
        <v>0</v>
      </c>
      <c r="I112" s="1951">
        <f>SUM(G113:G114)</f>
        <v>1</v>
      </c>
      <c r="J112" s="1951">
        <f>SUM(H113:H114)</f>
        <v>0</v>
      </c>
      <c r="K112" s="1884">
        <f>IF(スコア!M112=0,0,1)</f>
        <v>1</v>
      </c>
      <c r="L112" s="1884">
        <f>IF(スコア!O112=0,0,1)</f>
        <v>0</v>
      </c>
      <c r="M112" s="1884">
        <f t="shared" si="83"/>
        <v>0.3</v>
      </c>
      <c r="N112" s="1884">
        <f t="shared" si="78"/>
        <v>0</v>
      </c>
      <c r="O112"/>
      <c r="P112" s="1886">
        <f t="shared" si="84"/>
        <v>3</v>
      </c>
      <c r="Q112" s="1886" t="str">
        <f t="shared" si="85"/>
        <v xml:space="preserve"> Q3</v>
      </c>
      <c r="R112" s="1887" t="str">
        <f t="shared" si="86"/>
        <v>地域性・アメニティへの配慮</v>
      </c>
      <c r="S112" s="1888">
        <f t="shared" si="87"/>
        <v>0.3</v>
      </c>
      <c r="T112" s="1888">
        <f t="shared" si="88"/>
        <v>0.3</v>
      </c>
      <c r="U112" s="1888">
        <f t="shared" si="89"/>
        <v>0.3</v>
      </c>
      <c r="V112" s="1888">
        <f t="shared" si="90"/>
        <v>0.3</v>
      </c>
      <c r="W112" s="1888">
        <f t="shared" si="91"/>
        <v>0.3</v>
      </c>
      <c r="X112" s="1888">
        <f t="shared" si="92"/>
        <v>0.3</v>
      </c>
      <c r="Y112" s="1888">
        <f t="shared" si="93"/>
        <v>0.3</v>
      </c>
      <c r="Z112" s="1947">
        <f t="shared" si="94"/>
        <v>0.3</v>
      </c>
      <c r="AA112" s="1888">
        <f t="shared" si="95"/>
        <v>0.3</v>
      </c>
      <c r="AB112" s="1888">
        <f t="shared" si="96"/>
        <v>0.3</v>
      </c>
      <c r="AC112" s="1890">
        <f t="shared" si="97"/>
        <v>0</v>
      </c>
      <c r="AD112" s="1888">
        <f t="shared" si="98"/>
        <v>0</v>
      </c>
      <c r="AE112" s="1888">
        <f t="shared" si="99"/>
        <v>0</v>
      </c>
      <c r="AF112"/>
      <c r="AG112" s="1886">
        <v>3</v>
      </c>
      <c r="AH112" s="1891" t="s">
        <v>158</v>
      </c>
      <c r="AI112" s="1887" t="s">
        <v>1396</v>
      </c>
      <c r="AJ112" s="1888">
        <v>0.3</v>
      </c>
      <c r="AK112" s="1888">
        <v>0.3</v>
      </c>
      <c r="AL112" s="1888">
        <v>0.3</v>
      </c>
      <c r="AM112" s="1888">
        <v>0.3</v>
      </c>
      <c r="AN112" s="1888">
        <v>0.3</v>
      </c>
      <c r="AO112" s="1888">
        <v>0.3</v>
      </c>
      <c r="AP112" s="1888">
        <v>0.3</v>
      </c>
      <c r="AQ112" s="1947">
        <v>0.3</v>
      </c>
      <c r="AR112" s="1888">
        <v>0.3</v>
      </c>
      <c r="AS112" s="1892">
        <v>0.3</v>
      </c>
      <c r="AT112" s="1893">
        <v>0</v>
      </c>
      <c r="AU112" s="1892">
        <v>0</v>
      </c>
      <c r="AV112" s="1892">
        <v>0</v>
      </c>
      <c r="AW112"/>
      <c r="AX112" s="1886">
        <v>3</v>
      </c>
      <c r="AY112" s="1891" t="s">
        <v>158</v>
      </c>
      <c r="AZ112" s="1887" t="s">
        <v>1396</v>
      </c>
      <c r="BA112" s="1892">
        <v>0.3</v>
      </c>
      <c r="BB112" s="1892">
        <v>0.3</v>
      </c>
      <c r="BC112" s="1892">
        <v>0.3</v>
      </c>
      <c r="BD112" s="1892">
        <v>0.3</v>
      </c>
      <c r="BE112" s="1892">
        <v>0.3</v>
      </c>
      <c r="BF112" s="1892">
        <v>0.3</v>
      </c>
      <c r="BG112" s="1892">
        <v>0.3</v>
      </c>
      <c r="BH112" s="1948">
        <v>0.3</v>
      </c>
      <c r="BI112" s="1892">
        <v>0.3</v>
      </c>
      <c r="BJ112" s="1892">
        <v>0.3</v>
      </c>
      <c r="BK112" s="1893"/>
      <c r="BL112" s="1892"/>
      <c r="BM112" s="1892"/>
      <c r="BN112"/>
      <c r="BO112" s="1886">
        <v>3</v>
      </c>
      <c r="BP112" s="1891" t="s">
        <v>158</v>
      </c>
      <c r="BQ112" s="1887" t="s">
        <v>1396</v>
      </c>
      <c r="BR112" s="1892">
        <v>0.3</v>
      </c>
      <c r="BS112" s="1892">
        <v>0.3</v>
      </c>
      <c r="BT112" s="1892">
        <v>0.3</v>
      </c>
      <c r="BU112" s="1892">
        <v>0.3</v>
      </c>
      <c r="BV112" s="1892">
        <v>0.3</v>
      </c>
      <c r="BW112" s="1892">
        <v>0.3</v>
      </c>
      <c r="BX112" s="1892">
        <v>0.3</v>
      </c>
      <c r="BY112" s="1948">
        <v>0.3</v>
      </c>
      <c r="BZ112" s="1892">
        <v>0.3</v>
      </c>
      <c r="CA112" s="1892">
        <v>0.3</v>
      </c>
      <c r="CB112" s="1893"/>
      <c r="CC112" s="1892"/>
      <c r="CD112" s="1892"/>
      <c r="CE112" s="2277"/>
      <c r="CF112"/>
    </row>
    <row r="113" spans="1:84" s="1355" customFormat="1">
      <c r="A113"/>
      <c r="B113" s="1872" t="str">
        <f t="shared" si="100"/>
        <v>3.1</v>
      </c>
      <c r="C113" s="1952" t="str">
        <f t="shared" si="80"/>
        <v>地域性への配慮、快適性の向上</v>
      </c>
      <c r="D113" s="1896">
        <f>IF(I$112=0,0,G113/I$112)</f>
        <v>0.5</v>
      </c>
      <c r="E113" s="1897">
        <f>IF(J$112=0,0,H113/J$112)</f>
        <v>0</v>
      </c>
      <c r="F113"/>
      <c r="G113" s="1897">
        <f t="shared" si="81"/>
        <v>0.5</v>
      </c>
      <c r="H113" s="1897">
        <f t="shared" si="82"/>
        <v>0</v>
      </c>
      <c r="I113" s="919"/>
      <c r="J113" s="1897"/>
      <c r="K113" s="1897">
        <f>IF(スコア!M113=0,0,1)</f>
        <v>1</v>
      </c>
      <c r="L113" s="1897">
        <f>IF(スコア!O113=0,0,1)</f>
        <v>0</v>
      </c>
      <c r="M113" s="1897">
        <f t="shared" si="83"/>
        <v>0.5</v>
      </c>
      <c r="N113" s="1897">
        <f t="shared" si="78"/>
        <v>0</v>
      </c>
      <c r="O113"/>
      <c r="P113" s="1898" t="str">
        <f t="shared" si="84"/>
        <v>3.1</v>
      </c>
      <c r="Q113" s="1898" t="str">
        <f t="shared" si="85"/>
        <v xml:space="preserve"> Q3 3</v>
      </c>
      <c r="R113" s="1899" t="str">
        <f t="shared" si="86"/>
        <v>地域性への配慮、快適性の向上</v>
      </c>
      <c r="S113" s="1953">
        <f t="shared" si="87"/>
        <v>0.5</v>
      </c>
      <c r="T113" s="1953">
        <f t="shared" si="88"/>
        <v>0.5</v>
      </c>
      <c r="U113" s="1953">
        <f t="shared" si="89"/>
        <v>0.5</v>
      </c>
      <c r="V113" s="1953">
        <f t="shared" si="90"/>
        <v>0.5</v>
      </c>
      <c r="W113" s="1953">
        <f t="shared" si="91"/>
        <v>0.5</v>
      </c>
      <c r="X113" s="1953">
        <f t="shared" si="92"/>
        <v>0.5</v>
      </c>
      <c r="Y113" s="1953">
        <f t="shared" si="93"/>
        <v>0.5</v>
      </c>
      <c r="Z113" s="1953">
        <f t="shared" si="94"/>
        <v>0.5</v>
      </c>
      <c r="AA113" s="1953">
        <f t="shared" si="95"/>
        <v>0.5</v>
      </c>
      <c r="AB113" s="1953">
        <f t="shared" si="96"/>
        <v>0.5</v>
      </c>
      <c r="AC113" s="1954">
        <f t="shared" si="97"/>
        <v>0</v>
      </c>
      <c r="AD113" s="1953">
        <f t="shared" si="98"/>
        <v>0</v>
      </c>
      <c r="AE113" s="1953">
        <f t="shared" si="99"/>
        <v>0</v>
      </c>
      <c r="AF113"/>
      <c r="AG113" s="1898" t="s">
        <v>1397</v>
      </c>
      <c r="AH113" s="1902" t="s">
        <v>160</v>
      </c>
      <c r="AI113" s="1952" t="s">
        <v>1398</v>
      </c>
      <c r="AJ113" s="1953">
        <v>0.5</v>
      </c>
      <c r="AK113" s="1953">
        <v>0.5</v>
      </c>
      <c r="AL113" s="1953">
        <v>0.5</v>
      </c>
      <c r="AM113" s="1953">
        <v>0.5</v>
      </c>
      <c r="AN113" s="1953">
        <v>0.5</v>
      </c>
      <c r="AO113" s="1953">
        <v>0.5</v>
      </c>
      <c r="AP113" s="1953">
        <v>0.5</v>
      </c>
      <c r="AQ113" s="1953">
        <v>0.5</v>
      </c>
      <c r="AR113" s="1953">
        <v>0.5</v>
      </c>
      <c r="AS113" s="1955">
        <v>0.5</v>
      </c>
      <c r="AT113" s="1956">
        <v>0</v>
      </c>
      <c r="AU113" s="1955">
        <v>0</v>
      </c>
      <c r="AV113" s="1955">
        <v>0</v>
      </c>
      <c r="AW113"/>
      <c r="AX113" s="1898" t="s">
        <v>1397</v>
      </c>
      <c r="AY113" s="1902" t="s">
        <v>160</v>
      </c>
      <c r="AZ113" s="1952" t="s">
        <v>1398</v>
      </c>
      <c r="BA113" s="1955">
        <v>0.5</v>
      </c>
      <c r="BB113" s="1955">
        <v>0.5</v>
      </c>
      <c r="BC113" s="1955">
        <v>0.5</v>
      </c>
      <c r="BD113" s="1955">
        <v>0.5</v>
      </c>
      <c r="BE113" s="1955">
        <v>0.5</v>
      </c>
      <c r="BF113" s="1955">
        <v>0.5</v>
      </c>
      <c r="BG113" s="1955">
        <v>0.5</v>
      </c>
      <c r="BH113" s="1955">
        <v>0.5</v>
      </c>
      <c r="BI113" s="1955">
        <v>0.5</v>
      </c>
      <c r="BJ113" s="1955">
        <v>0.5</v>
      </c>
      <c r="BK113" s="1956"/>
      <c r="BL113" s="1955"/>
      <c r="BM113" s="1955"/>
      <c r="BN113"/>
      <c r="BO113" s="1898" t="s">
        <v>1397</v>
      </c>
      <c r="BP113" s="1902" t="s">
        <v>160</v>
      </c>
      <c r="BQ113" s="1952" t="s">
        <v>1398</v>
      </c>
      <c r="BR113" s="1955">
        <v>0.5</v>
      </c>
      <c r="BS113" s="1955">
        <v>0.5</v>
      </c>
      <c r="BT113" s="1955">
        <v>0.5</v>
      </c>
      <c r="BU113" s="1955">
        <v>0.5</v>
      </c>
      <c r="BV113" s="1955">
        <v>0.5</v>
      </c>
      <c r="BW113" s="1955">
        <v>0.5</v>
      </c>
      <c r="BX113" s="1955">
        <v>0.5</v>
      </c>
      <c r="BY113" s="1955">
        <v>0.5</v>
      </c>
      <c r="BZ113" s="1955">
        <v>0.5</v>
      </c>
      <c r="CA113" s="1955">
        <v>0.5</v>
      </c>
      <c r="CB113" s="1956"/>
      <c r="CC113" s="1955"/>
      <c r="CD113" s="1955"/>
      <c r="CE113" s="2281"/>
      <c r="CF113"/>
    </row>
    <row r="114" spans="1:84" s="1355" customFormat="1">
      <c r="A114"/>
      <c r="B114" s="1872" t="str">
        <f t="shared" si="100"/>
        <v>3.2</v>
      </c>
      <c r="C114" s="1952" t="str">
        <f t="shared" si="80"/>
        <v>敷地内温熱環境の向上</v>
      </c>
      <c r="D114" s="1896">
        <f>IF(I$112=0,0,G114/I$112)</f>
        <v>0.5</v>
      </c>
      <c r="E114" s="1897">
        <f>IF(J$112=0,0,H114/J$112)</f>
        <v>0</v>
      </c>
      <c r="F114"/>
      <c r="G114" s="1897">
        <f t="shared" si="81"/>
        <v>0.5</v>
      </c>
      <c r="H114" s="1897">
        <f t="shared" si="82"/>
        <v>0</v>
      </c>
      <c r="I114" s="919"/>
      <c r="J114" s="1897"/>
      <c r="K114" s="1897">
        <f>IF(スコア!M114=0,0,1)</f>
        <v>1</v>
      </c>
      <c r="L114" s="1897">
        <f>IF(スコア!O114=0,0,1)</f>
        <v>0</v>
      </c>
      <c r="M114" s="1897">
        <f t="shared" si="83"/>
        <v>0.5</v>
      </c>
      <c r="N114" s="1897">
        <f t="shared" si="78"/>
        <v>0</v>
      </c>
      <c r="O114"/>
      <c r="P114" s="1898" t="str">
        <f t="shared" si="84"/>
        <v>3.2</v>
      </c>
      <c r="Q114" s="1898" t="str">
        <f t="shared" si="85"/>
        <v xml:space="preserve"> Q3 3</v>
      </c>
      <c r="R114" s="1899" t="str">
        <f t="shared" si="86"/>
        <v>敷地内温熱環境の向上</v>
      </c>
      <c r="S114" s="1953">
        <f t="shared" si="87"/>
        <v>0.5</v>
      </c>
      <c r="T114" s="1953">
        <f t="shared" si="88"/>
        <v>0.5</v>
      </c>
      <c r="U114" s="1953">
        <f t="shared" si="89"/>
        <v>0.5</v>
      </c>
      <c r="V114" s="1953">
        <f t="shared" si="90"/>
        <v>0.5</v>
      </c>
      <c r="W114" s="1953">
        <f t="shared" si="91"/>
        <v>0.5</v>
      </c>
      <c r="X114" s="1953">
        <f t="shared" si="92"/>
        <v>0.5</v>
      </c>
      <c r="Y114" s="1953">
        <f t="shared" si="93"/>
        <v>0.5</v>
      </c>
      <c r="Z114" s="1953">
        <f t="shared" si="94"/>
        <v>0.5</v>
      </c>
      <c r="AA114" s="1953">
        <f t="shared" si="95"/>
        <v>0.5</v>
      </c>
      <c r="AB114" s="1953">
        <f t="shared" si="96"/>
        <v>0.5</v>
      </c>
      <c r="AC114" s="1954">
        <f t="shared" si="97"/>
        <v>0</v>
      </c>
      <c r="AD114" s="1953">
        <f t="shared" si="98"/>
        <v>0</v>
      </c>
      <c r="AE114" s="1953">
        <f t="shared" si="99"/>
        <v>0</v>
      </c>
      <c r="AF114"/>
      <c r="AG114" s="1898" t="s">
        <v>1399</v>
      </c>
      <c r="AH114" s="1902" t="s">
        <v>160</v>
      </c>
      <c r="AI114" s="1952" t="s">
        <v>1400</v>
      </c>
      <c r="AJ114" s="1953">
        <v>0.5</v>
      </c>
      <c r="AK114" s="1953">
        <v>0.5</v>
      </c>
      <c r="AL114" s="1953">
        <v>0.5</v>
      </c>
      <c r="AM114" s="1953">
        <v>0.5</v>
      </c>
      <c r="AN114" s="1953">
        <v>0.5</v>
      </c>
      <c r="AO114" s="1953">
        <v>0.5</v>
      </c>
      <c r="AP114" s="1953">
        <v>0.5</v>
      </c>
      <c r="AQ114" s="1953">
        <v>0.5</v>
      </c>
      <c r="AR114" s="1953">
        <v>0.5</v>
      </c>
      <c r="AS114" s="1955">
        <v>0.5</v>
      </c>
      <c r="AT114" s="1956">
        <v>0</v>
      </c>
      <c r="AU114" s="1955">
        <v>0</v>
      </c>
      <c r="AV114" s="1955">
        <v>0</v>
      </c>
      <c r="AW114"/>
      <c r="AX114" s="1898" t="s">
        <v>1399</v>
      </c>
      <c r="AY114" s="1902" t="s">
        <v>160</v>
      </c>
      <c r="AZ114" s="1952" t="s">
        <v>1400</v>
      </c>
      <c r="BA114" s="1955">
        <v>0.5</v>
      </c>
      <c r="BB114" s="1955">
        <v>0.5</v>
      </c>
      <c r="BC114" s="1955">
        <v>0.5</v>
      </c>
      <c r="BD114" s="1955">
        <v>0.5</v>
      </c>
      <c r="BE114" s="1955">
        <v>0.5</v>
      </c>
      <c r="BF114" s="1955">
        <v>0.5</v>
      </c>
      <c r="BG114" s="1955">
        <v>0.5</v>
      </c>
      <c r="BH114" s="1955">
        <v>0.5</v>
      </c>
      <c r="BI114" s="1955">
        <v>0.5</v>
      </c>
      <c r="BJ114" s="1955">
        <v>0.5</v>
      </c>
      <c r="BK114" s="1956"/>
      <c r="BL114" s="1955"/>
      <c r="BM114" s="1955"/>
      <c r="BN114"/>
      <c r="BO114" s="1898" t="s">
        <v>1399</v>
      </c>
      <c r="BP114" s="1902" t="s">
        <v>160</v>
      </c>
      <c r="BQ114" s="1952" t="s">
        <v>1400</v>
      </c>
      <c r="BR114" s="1955">
        <v>0.5</v>
      </c>
      <c r="BS114" s="1955">
        <v>0.5</v>
      </c>
      <c r="BT114" s="1955">
        <v>0.5</v>
      </c>
      <c r="BU114" s="1955">
        <v>0.5</v>
      </c>
      <c r="BV114" s="1955">
        <v>0.5</v>
      </c>
      <c r="BW114" s="1955">
        <v>0.5</v>
      </c>
      <c r="BX114" s="1955">
        <v>0.5</v>
      </c>
      <c r="BY114" s="1955">
        <v>0.5</v>
      </c>
      <c r="BZ114" s="1955">
        <v>0.5</v>
      </c>
      <c r="CA114" s="1955">
        <v>0.5</v>
      </c>
      <c r="CB114" s="1956"/>
      <c r="CC114" s="1955"/>
      <c r="CD114" s="1955"/>
      <c r="CE114" s="2281"/>
      <c r="CF114"/>
    </row>
    <row r="115" spans="1:84" s="1355" customFormat="1" hidden="1">
      <c r="A115"/>
      <c r="B115" s="1872">
        <f t="shared" si="100"/>
        <v>0</v>
      </c>
      <c r="C115" s="1882">
        <f t="shared" si="80"/>
        <v>0</v>
      </c>
      <c r="D115" s="1883"/>
      <c r="E115" s="1884"/>
      <c r="F115"/>
      <c r="G115" s="1884">
        <f t="shared" si="81"/>
        <v>0</v>
      </c>
      <c r="H115" s="1884">
        <f t="shared" si="82"/>
        <v>0</v>
      </c>
      <c r="I115" s="1884"/>
      <c r="J115" s="1884"/>
      <c r="K115" s="1884"/>
      <c r="L115" s="1884"/>
      <c r="M115" s="1884">
        <f t="shared" si="83"/>
        <v>0</v>
      </c>
      <c r="N115" s="1884"/>
      <c r="O115"/>
      <c r="P115" s="1886">
        <f t="shared" si="84"/>
        <v>0</v>
      </c>
      <c r="Q115" s="1886" t="str">
        <f t="shared" si="85"/>
        <v xml:space="preserve"> Q</v>
      </c>
      <c r="R115" s="1887">
        <f t="shared" si="86"/>
        <v>0</v>
      </c>
      <c r="S115" s="1888">
        <f t="shared" si="87"/>
        <v>0</v>
      </c>
      <c r="T115" s="1888">
        <f t="shared" si="88"/>
        <v>0</v>
      </c>
      <c r="U115" s="1888">
        <f t="shared" si="89"/>
        <v>0</v>
      </c>
      <c r="V115" s="1888">
        <f t="shared" si="90"/>
        <v>0</v>
      </c>
      <c r="W115" s="1888">
        <f t="shared" si="91"/>
        <v>0</v>
      </c>
      <c r="X115" s="1888">
        <f t="shared" si="92"/>
        <v>0</v>
      </c>
      <c r="Y115" s="1888">
        <f t="shared" si="93"/>
        <v>0</v>
      </c>
      <c r="Z115" s="1947">
        <f t="shared" si="94"/>
        <v>0</v>
      </c>
      <c r="AA115" s="1888">
        <f t="shared" si="95"/>
        <v>0</v>
      </c>
      <c r="AB115" s="1888">
        <f t="shared" si="96"/>
        <v>0</v>
      </c>
      <c r="AC115" s="1890">
        <f t="shared" si="97"/>
        <v>0</v>
      </c>
      <c r="AD115" s="1888">
        <f t="shared" si="98"/>
        <v>0</v>
      </c>
      <c r="AE115" s="1888">
        <f t="shared" si="99"/>
        <v>0</v>
      </c>
      <c r="AF115"/>
      <c r="AG115" s="1886"/>
      <c r="AH115" s="1891" t="s">
        <v>940</v>
      </c>
      <c r="AI115" s="1887"/>
      <c r="AJ115" s="1892">
        <v>0</v>
      </c>
      <c r="AK115" s="1892">
        <v>0</v>
      </c>
      <c r="AL115" s="1892">
        <v>0</v>
      </c>
      <c r="AM115" s="1892">
        <v>0</v>
      </c>
      <c r="AN115" s="1892">
        <v>0</v>
      </c>
      <c r="AO115" s="1892">
        <v>0</v>
      </c>
      <c r="AP115" s="1892">
        <v>0</v>
      </c>
      <c r="AQ115" s="1948">
        <v>0</v>
      </c>
      <c r="AR115" s="1892">
        <v>0</v>
      </c>
      <c r="AS115" s="1892">
        <v>0</v>
      </c>
      <c r="AT115" s="1893">
        <v>0</v>
      </c>
      <c r="AU115" s="1892">
        <v>0</v>
      </c>
      <c r="AV115" s="1892">
        <v>0</v>
      </c>
      <c r="AW115"/>
      <c r="AX115" s="1886"/>
      <c r="AY115" s="1891" t="s">
        <v>940</v>
      </c>
      <c r="AZ115" s="1887"/>
      <c r="BA115" s="1892"/>
      <c r="BB115" s="1892"/>
      <c r="BC115" s="1892"/>
      <c r="BD115" s="1892"/>
      <c r="BE115" s="1892"/>
      <c r="BF115" s="1892"/>
      <c r="BG115" s="1892"/>
      <c r="BH115" s="1948"/>
      <c r="BI115" s="1892"/>
      <c r="BJ115" s="1892"/>
      <c r="BK115" s="1893"/>
      <c r="BL115" s="1892"/>
      <c r="BM115" s="1892"/>
      <c r="BN115"/>
      <c r="BO115" s="1886"/>
      <c r="BP115" s="1891" t="s">
        <v>940</v>
      </c>
      <c r="BQ115" s="1887"/>
      <c r="BR115" s="1892"/>
      <c r="BS115" s="1892"/>
      <c r="BT115" s="1892"/>
      <c r="BU115" s="1892"/>
      <c r="BV115" s="1892"/>
      <c r="BW115" s="1892"/>
      <c r="BX115" s="1892"/>
      <c r="BY115" s="1948"/>
      <c r="BZ115" s="1892"/>
      <c r="CA115" s="1892"/>
      <c r="CB115" s="1893"/>
      <c r="CC115" s="1892"/>
      <c r="CD115" s="1892"/>
      <c r="CE115" s="2277"/>
      <c r="CF115"/>
    </row>
    <row r="116" spans="1:84" s="1355" customFormat="1" ht="14.25">
      <c r="A116"/>
      <c r="B116" s="1957" t="str">
        <f t="shared" si="100"/>
        <v>LR</v>
      </c>
      <c r="C116" s="1862" t="str">
        <f t="shared" si="80"/>
        <v>建築物の環境負荷低減性</v>
      </c>
      <c r="D116" s="1863"/>
      <c r="E116" s="1864"/>
      <c r="F116"/>
      <c r="G116" s="1864" t="e">
        <f t="shared" si="81"/>
        <v>#N/A</v>
      </c>
      <c r="H116" s="1864">
        <f t="shared" si="82"/>
        <v>0</v>
      </c>
      <c r="I116" s="1864" t="e">
        <f>G117+G140+G159</f>
        <v>#N/A</v>
      </c>
      <c r="J116" s="1864">
        <f>H117+H140+H159</f>
        <v>0</v>
      </c>
      <c r="K116" s="1864" t="e">
        <f>IF(スコア!Q116=0,0,1)</f>
        <v>#N/A</v>
      </c>
      <c r="L116" s="1864">
        <f>IF(スコア!O116=0,0,1)</f>
        <v>0</v>
      </c>
      <c r="M116" s="1864">
        <f t="shared" si="83"/>
        <v>0</v>
      </c>
      <c r="N116" s="1864">
        <f t="shared" ref="N116:N151" si="102">(AC$7*AC116)+(AD$7*AD116)+(AE$7*AE116)</f>
        <v>0</v>
      </c>
      <c r="O116"/>
      <c r="P116" s="1861" t="str">
        <f t="shared" si="84"/>
        <v>LR</v>
      </c>
      <c r="Q116" s="1861" t="str">
        <f t="shared" si="85"/>
        <v xml:space="preserve"> </v>
      </c>
      <c r="R116" s="1958" t="str">
        <f t="shared" si="86"/>
        <v>建築物の環境負荷低減性</v>
      </c>
      <c r="S116" s="1959">
        <f t="shared" si="87"/>
        <v>0</v>
      </c>
      <c r="T116" s="1959">
        <f t="shared" si="88"/>
        <v>0</v>
      </c>
      <c r="U116" s="1959">
        <f t="shared" si="89"/>
        <v>0</v>
      </c>
      <c r="V116" s="1959">
        <f t="shared" si="90"/>
        <v>0</v>
      </c>
      <c r="W116" s="1959">
        <f t="shared" si="91"/>
        <v>0</v>
      </c>
      <c r="X116" s="1959">
        <f t="shared" si="92"/>
        <v>0</v>
      </c>
      <c r="Y116" s="1959">
        <f t="shared" si="93"/>
        <v>0</v>
      </c>
      <c r="Z116" s="1960">
        <f t="shared" si="94"/>
        <v>0</v>
      </c>
      <c r="AA116" s="1959">
        <f t="shared" si="95"/>
        <v>0</v>
      </c>
      <c r="AB116" s="1959">
        <f t="shared" si="96"/>
        <v>0</v>
      </c>
      <c r="AC116" s="1961">
        <f t="shared" si="97"/>
        <v>0</v>
      </c>
      <c r="AD116" s="1962">
        <f t="shared" si="98"/>
        <v>0</v>
      </c>
      <c r="AE116" s="1962">
        <f t="shared" si="99"/>
        <v>0</v>
      </c>
      <c r="AF116"/>
      <c r="AG116" s="1861" t="s">
        <v>1401</v>
      </c>
      <c r="AH116" s="1861" t="s">
        <v>161</v>
      </c>
      <c r="AI116" s="1862" t="s">
        <v>162</v>
      </c>
      <c r="AJ116" s="1868">
        <v>0</v>
      </c>
      <c r="AK116" s="1868">
        <v>0</v>
      </c>
      <c r="AL116" s="1868">
        <v>0</v>
      </c>
      <c r="AM116" s="1868">
        <v>0</v>
      </c>
      <c r="AN116" s="1868">
        <v>0</v>
      </c>
      <c r="AO116" s="1868">
        <v>0</v>
      </c>
      <c r="AP116" s="1868">
        <v>0</v>
      </c>
      <c r="AQ116" s="1869">
        <v>0</v>
      </c>
      <c r="AR116" s="1868">
        <v>0</v>
      </c>
      <c r="AS116" s="1868">
        <v>0</v>
      </c>
      <c r="AT116" s="1870">
        <v>0</v>
      </c>
      <c r="AU116" s="1871">
        <v>0</v>
      </c>
      <c r="AV116" s="1871">
        <v>0</v>
      </c>
      <c r="AW116"/>
      <c r="AX116" s="1861" t="s">
        <v>1402</v>
      </c>
      <c r="AY116" s="1861" t="s">
        <v>161</v>
      </c>
      <c r="AZ116" s="1862" t="s">
        <v>162</v>
      </c>
      <c r="BA116" s="1868"/>
      <c r="BB116" s="1868"/>
      <c r="BC116" s="1868"/>
      <c r="BD116" s="1868"/>
      <c r="BE116" s="1868"/>
      <c r="BF116" s="1868"/>
      <c r="BG116" s="1868"/>
      <c r="BH116" s="1869"/>
      <c r="BI116" s="1868"/>
      <c r="BJ116" s="1868"/>
      <c r="BK116" s="1870"/>
      <c r="BL116" s="1871"/>
      <c r="BM116" s="1871"/>
      <c r="BN116"/>
      <c r="BO116" s="1861" t="s">
        <v>1402</v>
      </c>
      <c r="BP116" s="1861" t="s">
        <v>161</v>
      </c>
      <c r="BQ116" s="1862" t="s">
        <v>162</v>
      </c>
      <c r="BR116" s="1868"/>
      <c r="BS116" s="1868"/>
      <c r="BT116" s="1868"/>
      <c r="BU116" s="1868"/>
      <c r="BV116" s="1868"/>
      <c r="BW116" s="1868"/>
      <c r="BX116" s="1868"/>
      <c r="BY116" s="1869"/>
      <c r="BZ116" s="1868"/>
      <c r="CA116" s="1868"/>
      <c r="CB116" s="1870"/>
      <c r="CC116" s="1871"/>
      <c r="CD116" s="1871"/>
      <c r="CE116" s="2275"/>
      <c r="CF116"/>
    </row>
    <row r="117" spans="1:84" s="1355" customFormat="1">
      <c r="A117"/>
      <c r="B117" s="1872" t="str">
        <f t="shared" si="100"/>
        <v>LR1</v>
      </c>
      <c r="C117" s="1876" t="str">
        <f t="shared" si="80"/>
        <v>エネルギー</v>
      </c>
      <c r="D117" s="1963" t="e">
        <f>IF(I$116=0,0,G117/I$116)</f>
        <v>#N/A</v>
      </c>
      <c r="E117" s="1875">
        <f>IF(J$116=0,0,H117/J$116)</f>
        <v>0</v>
      </c>
      <c r="F117"/>
      <c r="G117" s="1875" t="e">
        <f t="shared" si="81"/>
        <v>#N/A</v>
      </c>
      <c r="H117" s="1875">
        <f t="shared" si="82"/>
        <v>0</v>
      </c>
      <c r="I117" s="1875" t="e">
        <f>G118+G119+G124+G133</f>
        <v>#N/A</v>
      </c>
      <c r="J117" s="1875">
        <f>H118+H119+H124+H133</f>
        <v>0</v>
      </c>
      <c r="K117" s="1875" t="e">
        <f>IF(スコア!Q117=0,0,1)</f>
        <v>#N/A</v>
      </c>
      <c r="L117" s="1875">
        <f>IF(スコア!O117=0,0,1)</f>
        <v>0</v>
      </c>
      <c r="M117" s="1875">
        <f t="shared" si="83"/>
        <v>0.4</v>
      </c>
      <c r="N117" s="1875">
        <f t="shared" si="102"/>
        <v>0</v>
      </c>
      <c r="O117"/>
      <c r="P117" s="1872" t="str">
        <f t="shared" si="84"/>
        <v>LR1</v>
      </c>
      <c r="Q117" s="1872" t="str">
        <f t="shared" si="85"/>
        <v>LR</v>
      </c>
      <c r="R117" s="1876" t="str">
        <f t="shared" si="86"/>
        <v>エネルギー</v>
      </c>
      <c r="S117" s="1877">
        <f t="shared" si="87"/>
        <v>0.4</v>
      </c>
      <c r="T117" s="1877">
        <f t="shared" si="88"/>
        <v>0.4</v>
      </c>
      <c r="U117" s="1877">
        <f t="shared" si="89"/>
        <v>0.4</v>
      </c>
      <c r="V117" s="1877">
        <f t="shared" si="90"/>
        <v>0.4</v>
      </c>
      <c r="W117" s="1877">
        <f t="shared" si="91"/>
        <v>0.4</v>
      </c>
      <c r="X117" s="1877">
        <f t="shared" si="92"/>
        <v>0.4</v>
      </c>
      <c r="Y117" s="1877">
        <f t="shared" si="93"/>
        <v>0.4</v>
      </c>
      <c r="Z117" s="1877">
        <f t="shared" si="94"/>
        <v>0.4</v>
      </c>
      <c r="AA117" s="1877">
        <f t="shared" si="95"/>
        <v>0.4</v>
      </c>
      <c r="AB117" s="1877">
        <f t="shared" si="96"/>
        <v>0.4</v>
      </c>
      <c r="AC117" s="1878">
        <f t="shared" si="97"/>
        <v>0</v>
      </c>
      <c r="AD117" s="1877">
        <f t="shared" si="98"/>
        <v>0</v>
      </c>
      <c r="AE117" s="1877">
        <f t="shared" si="99"/>
        <v>0</v>
      </c>
      <c r="AF117"/>
      <c r="AG117" s="1872" t="s">
        <v>1403</v>
      </c>
      <c r="AH117" s="1879" t="s">
        <v>1404</v>
      </c>
      <c r="AI117" s="1876" t="s">
        <v>1405</v>
      </c>
      <c r="AJ117" s="1880">
        <v>0.4</v>
      </c>
      <c r="AK117" s="1880">
        <v>0.4</v>
      </c>
      <c r="AL117" s="1880">
        <v>0.4</v>
      </c>
      <c r="AM117" s="1880">
        <v>0.4</v>
      </c>
      <c r="AN117" s="1880">
        <v>0.4</v>
      </c>
      <c r="AO117" s="1880">
        <v>0.4</v>
      </c>
      <c r="AP117" s="1880">
        <v>0.4</v>
      </c>
      <c r="AQ117" s="1880">
        <v>0.4</v>
      </c>
      <c r="AR117" s="1880">
        <v>0.4</v>
      </c>
      <c r="AS117" s="1880">
        <v>0.4</v>
      </c>
      <c r="AT117" s="1881"/>
      <c r="AU117" s="1880"/>
      <c r="AV117" s="1880"/>
      <c r="AW117"/>
      <c r="AX117" s="1872" t="s">
        <v>1403</v>
      </c>
      <c r="AY117" s="1879" t="s">
        <v>1404</v>
      </c>
      <c r="AZ117" s="1876" t="s">
        <v>1405</v>
      </c>
      <c r="BA117" s="1880">
        <v>0.4</v>
      </c>
      <c r="BB117" s="1880">
        <v>0.4</v>
      </c>
      <c r="BC117" s="1880">
        <v>0.4</v>
      </c>
      <c r="BD117" s="1880">
        <v>0.4</v>
      </c>
      <c r="BE117" s="1880">
        <v>0.4</v>
      </c>
      <c r="BF117" s="1880">
        <v>0.4</v>
      </c>
      <c r="BG117" s="1880">
        <v>0.4</v>
      </c>
      <c r="BH117" s="1880">
        <v>0.4</v>
      </c>
      <c r="BI117" s="1880">
        <v>0.4</v>
      </c>
      <c r="BJ117" s="1880">
        <v>0.4</v>
      </c>
      <c r="BK117" s="1881"/>
      <c r="BL117" s="1880"/>
      <c r="BM117" s="1880"/>
      <c r="BN117"/>
      <c r="BO117" s="1872" t="s">
        <v>1403</v>
      </c>
      <c r="BP117" s="1879" t="s">
        <v>1404</v>
      </c>
      <c r="BQ117" s="1876" t="s">
        <v>1405</v>
      </c>
      <c r="BR117" s="1880">
        <v>0.4</v>
      </c>
      <c r="BS117" s="1880">
        <v>0.4</v>
      </c>
      <c r="BT117" s="1880">
        <v>0.4</v>
      </c>
      <c r="BU117" s="1880">
        <v>0.4</v>
      </c>
      <c r="BV117" s="1880">
        <v>0.4</v>
      </c>
      <c r="BW117" s="1880">
        <v>0.4</v>
      </c>
      <c r="BX117" s="1880">
        <v>0.4</v>
      </c>
      <c r="BY117" s="1880">
        <v>0.4</v>
      </c>
      <c r="BZ117" s="1880">
        <v>0.4</v>
      </c>
      <c r="CA117" s="1880">
        <v>0.4</v>
      </c>
      <c r="CB117" s="1881"/>
      <c r="CC117" s="1880"/>
      <c r="CD117" s="1880"/>
      <c r="CE117" s="2276"/>
      <c r="CF117"/>
    </row>
    <row r="118" spans="1:84" s="1355" customFormat="1">
      <c r="A118"/>
      <c r="B118" s="1872">
        <f t="shared" si="100"/>
        <v>1</v>
      </c>
      <c r="C118" s="1887" t="str">
        <f t="shared" si="80"/>
        <v>建物外皮の熱負荷抑制</v>
      </c>
      <c r="D118" s="1883" t="e">
        <f>IF(I$117=0,0,G118/I$117)</f>
        <v>#N/A</v>
      </c>
      <c r="E118" s="1884">
        <f>IF(J$117=0,0,H118/J$117)</f>
        <v>0</v>
      </c>
      <c r="F118"/>
      <c r="G118" s="1884">
        <f t="shared" si="81"/>
        <v>0.2</v>
      </c>
      <c r="H118" s="1884">
        <f t="shared" si="82"/>
        <v>0</v>
      </c>
      <c r="I118" s="1884"/>
      <c r="J118" s="1884"/>
      <c r="K118" s="1884">
        <f>IF(スコア!M118=0,0,1)</f>
        <v>1</v>
      </c>
      <c r="L118" s="1884">
        <f>IF(スコア!O118=0,0,1)</f>
        <v>0</v>
      </c>
      <c r="M118" s="1884">
        <f t="shared" si="83"/>
        <v>0.2</v>
      </c>
      <c r="N118" s="1884">
        <f t="shared" si="102"/>
        <v>0</v>
      </c>
      <c r="O118"/>
      <c r="P118" s="1964">
        <f t="shared" si="84"/>
        <v>1</v>
      </c>
      <c r="Q118" s="1886" t="str">
        <f t="shared" si="85"/>
        <v>LR1</v>
      </c>
      <c r="R118" s="1887" t="str">
        <f t="shared" si="86"/>
        <v>建物外皮の熱負荷抑制</v>
      </c>
      <c r="S118" s="1940">
        <f t="shared" si="87"/>
        <v>0.2</v>
      </c>
      <c r="T118" s="1940">
        <f t="shared" si="88"/>
        <v>0.2</v>
      </c>
      <c r="U118" s="1940">
        <f t="shared" si="89"/>
        <v>0.2</v>
      </c>
      <c r="V118" s="1940">
        <f t="shared" si="90"/>
        <v>0.2</v>
      </c>
      <c r="W118" s="1940">
        <f t="shared" si="91"/>
        <v>0.2</v>
      </c>
      <c r="X118" s="1940">
        <f t="shared" si="92"/>
        <v>0.2</v>
      </c>
      <c r="Y118" s="1940">
        <f t="shared" si="93"/>
        <v>0.2</v>
      </c>
      <c r="Z118" s="1889">
        <f t="shared" si="94"/>
        <v>0.2</v>
      </c>
      <c r="AA118" s="1940">
        <f t="shared" si="95"/>
        <v>0</v>
      </c>
      <c r="AB118" s="1940">
        <f t="shared" si="96"/>
        <v>0.2</v>
      </c>
      <c r="AC118" s="1890">
        <f t="shared" si="97"/>
        <v>0</v>
      </c>
      <c r="AD118" s="1888">
        <f t="shared" si="98"/>
        <v>0</v>
      </c>
      <c r="AE118" s="1888">
        <f t="shared" si="99"/>
        <v>0</v>
      </c>
      <c r="AF118"/>
      <c r="AG118" s="1964">
        <v>1</v>
      </c>
      <c r="AH118" s="1891" t="s">
        <v>1757</v>
      </c>
      <c r="AI118" s="1887" t="s">
        <v>2174</v>
      </c>
      <c r="AJ118" s="1942">
        <v>0.2</v>
      </c>
      <c r="AK118" s="1942">
        <v>0.2</v>
      </c>
      <c r="AL118" s="1942">
        <v>0.2</v>
      </c>
      <c r="AM118" s="1942">
        <v>0.2</v>
      </c>
      <c r="AN118" s="1942">
        <v>0.2</v>
      </c>
      <c r="AO118" s="1942">
        <v>0.2</v>
      </c>
      <c r="AP118" s="1942">
        <v>0.2</v>
      </c>
      <c r="AQ118" s="1942">
        <v>0.2</v>
      </c>
      <c r="AR118" s="1942"/>
      <c r="AS118" s="1942">
        <v>0.2</v>
      </c>
      <c r="AT118" s="1893"/>
      <c r="AU118" s="1892"/>
      <c r="AV118" s="1892"/>
      <c r="AW118"/>
      <c r="AX118" s="1964">
        <v>1</v>
      </c>
      <c r="AY118" s="1891" t="s">
        <v>1757</v>
      </c>
      <c r="AZ118" s="1887" t="s">
        <v>2174</v>
      </c>
      <c r="BA118" s="1942">
        <v>0.2</v>
      </c>
      <c r="BB118" s="1942">
        <v>0.2</v>
      </c>
      <c r="BC118" s="1942">
        <v>0.2</v>
      </c>
      <c r="BD118" s="1942">
        <v>0.2</v>
      </c>
      <c r="BE118" s="1942">
        <v>0.2</v>
      </c>
      <c r="BF118" s="1942">
        <v>0.2</v>
      </c>
      <c r="BG118" s="1942">
        <v>0.2</v>
      </c>
      <c r="BH118" s="1942">
        <v>0.2</v>
      </c>
      <c r="BI118" s="1942"/>
      <c r="BJ118" s="1942">
        <v>0.2</v>
      </c>
      <c r="BK118" s="1893"/>
      <c r="BL118" s="1892"/>
      <c r="BM118" s="1892"/>
      <c r="BN118"/>
      <c r="BO118" s="1964">
        <v>1</v>
      </c>
      <c r="BP118" s="1891" t="s">
        <v>1757</v>
      </c>
      <c r="BQ118" s="1887" t="s">
        <v>2174</v>
      </c>
      <c r="BR118" s="1942">
        <v>0.2</v>
      </c>
      <c r="BS118" s="1942">
        <v>0.2</v>
      </c>
      <c r="BT118" s="1942">
        <v>0.2</v>
      </c>
      <c r="BU118" s="1942">
        <v>0.2</v>
      </c>
      <c r="BV118" s="1942">
        <v>0.2</v>
      </c>
      <c r="BW118" s="1942">
        <v>0.2</v>
      </c>
      <c r="BX118" s="1942">
        <v>0.2</v>
      </c>
      <c r="BY118" s="1942">
        <v>0.2</v>
      </c>
      <c r="BZ118" s="1942"/>
      <c r="CA118" s="1942">
        <v>0.2</v>
      </c>
      <c r="CB118" s="1893"/>
      <c r="CC118" s="1892"/>
      <c r="CD118" s="1892"/>
      <c r="CE118" s="2277"/>
      <c r="CF118"/>
    </row>
    <row r="119" spans="1:84" s="1355" customFormat="1">
      <c r="A119"/>
      <c r="B119" s="1872">
        <f t="shared" si="100"/>
        <v>2</v>
      </c>
      <c r="C119" s="1887" t="str">
        <f t="shared" si="80"/>
        <v>自然エネルギー利用</v>
      </c>
      <c r="D119" s="1883" t="e">
        <f>IF(I$117=0,0,G119/I$117)</f>
        <v>#N/A</v>
      </c>
      <c r="E119" s="1884">
        <f>IF(J$117=0,0,H119/J$117)</f>
        <v>0</v>
      </c>
      <c r="F119"/>
      <c r="G119" s="1884">
        <f>K119*M119</f>
        <v>0.1</v>
      </c>
      <c r="H119" s="1884">
        <f t="shared" si="82"/>
        <v>0</v>
      </c>
      <c r="I119" s="1965">
        <f>SUM(G120:G121)</f>
        <v>1</v>
      </c>
      <c r="J119" s="1965">
        <f>SUM(H120:H121)</f>
        <v>0</v>
      </c>
      <c r="K119" s="1884">
        <f>IF(スコア!M119=0,0,1)</f>
        <v>1</v>
      </c>
      <c r="L119" s="1884">
        <f>IF(スコア!O119=0,0,1)</f>
        <v>0</v>
      </c>
      <c r="M119" s="1884">
        <f t="shared" si="83"/>
        <v>0.1</v>
      </c>
      <c r="N119" s="1884">
        <f t="shared" si="102"/>
        <v>0</v>
      </c>
      <c r="O119"/>
      <c r="P119" s="1886">
        <f t="shared" si="84"/>
        <v>2</v>
      </c>
      <c r="Q119" s="1886" t="str">
        <f t="shared" si="85"/>
        <v>LR1</v>
      </c>
      <c r="R119" s="1887" t="str">
        <f t="shared" si="86"/>
        <v>自然エネルギー利用</v>
      </c>
      <c r="S119" s="1940">
        <f t="shared" si="87"/>
        <v>0.1</v>
      </c>
      <c r="T119" s="1940">
        <f t="shared" si="88"/>
        <v>0.1</v>
      </c>
      <c r="U119" s="1940">
        <f t="shared" si="89"/>
        <v>0.1</v>
      </c>
      <c r="V119" s="1940">
        <f t="shared" si="90"/>
        <v>0.1</v>
      </c>
      <c r="W119" s="1940">
        <f t="shared" si="91"/>
        <v>0.1</v>
      </c>
      <c r="X119" s="1940">
        <f t="shared" si="92"/>
        <v>0.1</v>
      </c>
      <c r="Y119" s="1940">
        <f t="shared" si="93"/>
        <v>0.1</v>
      </c>
      <c r="Z119" s="1889">
        <f t="shared" si="94"/>
        <v>0.1</v>
      </c>
      <c r="AA119" s="1940">
        <f t="shared" si="95"/>
        <v>0.125</v>
      </c>
      <c r="AB119" s="1940">
        <f t="shared" si="96"/>
        <v>0.1</v>
      </c>
      <c r="AC119" s="1890">
        <f t="shared" si="97"/>
        <v>0</v>
      </c>
      <c r="AD119" s="1888">
        <f t="shared" si="98"/>
        <v>0</v>
      </c>
      <c r="AE119" s="1888">
        <f t="shared" si="99"/>
        <v>0</v>
      </c>
      <c r="AF119"/>
      <c r="AG119" s="1886">
        <v>2</v>
      </c>
      <c r="AH119" s="1891" t="s">
        <v>1757</v>
      </c>
      <c r="AI119" s="1887" t="s">
        <v>1259</v>
      </c>
      <c r="AJ119" s="1942">
        <v>0.1</v>
      </c>
      <c r="AK119" s="1942">
        <v>0.1</v>
      </c>
      <c r="AL119" s="1942">
        <v>0.1</v>
      </c>
      <c r="AM119" s="1942">
        <v>0.1</v>
      </c>
      <c r="AN119" s="1942">
        <v>0.1</v>
      </c>
      <c r="AO119" s="1942">
        <v>0.1</v>
      </c>
      <c r="AP119" s="1942">
        <v>0.1</v>
      </c>
      <c r="AQ119" s="1942">
        <v>0.1</v>
      </c>
      <c r="AR119" s="2100">
        <v>0.125</v>
      </c>
      <c r="AS119" s="1942">
        <v>0.1</v>
      </c>
      <c r="AT119" s="1893"/>
      <c r="AU119" s="1892"/>
      <c r="AV119" s="1892"/>
      <c r="AW119"/>
      <c r="AX119" s="1886">
        <v>2</v>
      </c>
      <c r="AY119" s="1891" t="s">
        <v>1757</v>
      </c>
      <c r="AZ119" s="1887" t="s">
        <v>1259</v>
      </c>
      <c r="BA119" s="1942">
        <v>0.1</v>
      </c>
      <c r="BB119" s="1942">
        <v>0.1</v>
      </c>
      <c r="BC119" s="1942">
        <v>0.1</v>
      </c>
      <c r="BD119" s="1942">
        <v>0.1</v>
      </c>
      <c r="BE119" s="1942">
        <v>0.1</v>
      </c>
      <c r="BF119" s="1942">
        <v>0.1</v>
      </c>
      <c r="BG119" s="1942">
        <v>0.1</v>
      </c>
      <c r="BH119" s="1942">
        <v>0.1</v>
      </c>
      <c r="BI119" s="2100">
        <v>0.125</v>
      </c>
      <c r="BJ119" s="1942">
        <v>0.1</v>
      </c>
      <c r="BK119" s="1893"/>
      <c r="BL119" s="1892"/>
      <c r="BM119" s="1892"/>
      <c r="BN119"/>
      <c r="BO119" s="1886">
        <v>2</v>
      </c>
      <c r="BP119" s="1891" t="s">
        <v>1757</v>
      </c>
      <c r="BQ119" s="1887" t="s">
        <v>1259</v>
      </c>
      <c r="BR119" s="1942">
        <v>0.1</v>
      </c>
      <c r="BS119" s="1942">
        <v>0.1</v>
      </c>
      <c r="BT119" s="1942">
        <v>0.1</v>
      </c>
      <c r="BU119" s="1942">
        <v>0.1</v>
      </c>
      <c r="BV119" s="1942">
        <v>0.1</v>
      </c>
      <c r="BW119" s="1942">
        <v>0.1</v>
      </c>
      <c r="BX119" s="1942">
        <v>0.1</v>
      </c>
      <c r="BY119" s="1942">
        <v>0.1</v>
      </c>
      <c r="BZ119" s="2100">
        <v>0.125</v>
      </c>
      <c r="CA119" s="1942">
        <v>0.1</v>
      </c>
      <c r="CB119" s="1893"/>
      <c r="CC119" s="1892"/>
      <c r="CD119" s="1892"/>
      <c r="CE119" s="2277"/>
      <c r="CF119"/>
    </row>
    <row r="120" spans="1:84" s="1355" customFormat="1" hidden="1">
      <c r="A120"/>
      <c r="B120" s="1872">
        <f t="shared" si="100"/>
        <v>0</v>
      </c>
      <c r="C120" s="1887" t="str">
        <f t="shared" si="80"/>
        <v>実施・竣工</v>
      </c>
      <c r="D120" s="1896">
        <f>IF(I$119=0,0,G120/I$119)</f>
        <v>0</v>
      </c>
      <c r="E120" s="1896">
        <f>IF(J$119=0,0,H120/J$119)</f>
        <v>0</v>
      </c>
      <c r="F120"/>
      <c r="G120" s="1884">
        <f t="shared" si="81"/>
        <v>0</v>
      </c>
      <c r="H120" s="1884">
        <f t="shared" si="82"/>
        <v>0</v>
      </c>
      <c r="I120" s="1884"/>
      <c r="J120" s="1884"/>
      <c r="K120" s="1897">
        <f>IF(スコア!M120=0,0,1)</f>
        <v>1</v>
      </c>
      <c r="L120" s="1897">
        <f>IF(スコア!O120=0,0,1)</f>
        <v>0</v>
      </c>
      <c r="M120" s="1897">
        <f t="shared" si="83"/>
        <v>0</v>
      </c>
      <c r="N120" s="1897">
        <f t="shared" si="102"/>
        <v>0</v>
      </c>
      <c r="O120"/>
      <c r="P120" s="1886">
        <f t="shared" si="84"/>
        <v>0</v>
      </c>
      <c r="Q120" s="1886" t="str">
        <f t="shared" si="85"/>
        <v>LR</v>
      </c>
      <c r="R120" s="1887" t="str">
        <f t="shared" si="86"/>
        <v>実施・竣工</v>
      </c>
      <c r="S120" s="1900">
        <f t="shared" si="87"/>
        <v>0</v>
      </c>
      <c r="T120" s="1900">
        <f t="shared" si="88"/>
        <v>0</v>
      </c>
      <c r="U120" s="1900">
        <f t="shared" si="89"/>
        <v>0</v>
      </c>
      <c r="V120" s="1900">
        <f t="shared" si="90"/>
        <v>0</v>
      </c>
      <c r="W120" s="1900">
        <f t="shared" si="91"/>
        <v>0</v>
      </c>
      <c r="X120" s="1900">
        <f t="shared" si="92"/>
        <v>0</v>
      </c>
      <c r="Y120" s="1900">
        <f t="shared" si="93"/>
        <v>0</v>
      </c>
      <c r="Z120" s="1908">
        <f t="shared" si="94"/>
        <v>0</v>
      </c>
      <c r="AA120" s="1900">
        <f t="shared" si="95"/>
        <v>0</v>
      </c>
      <c r="AB120" s="1900">
        <f t="shared" si="96"/>
        <v>0</v>
      </c>
      <c r="AC120" s="1890">
        <f t="shared" ref="AC120:AC155" si="103">IF($P$3=1,BK120,IF($P$3=2,CB120,AT120))</f>
        <v>0</v>
      </c>
      <c r="AD120" s="1888">
        <f t="shared" ref="AD120:AD155" si="104">IF($P$3=1,BL120,IF($P$3=2,CC120,AU120))</f>
        <v>0</v>
      </c>
      <c r="AE120" s="1888">
        <f t="shared" ref="AE120:AE155" si="105">IF($P$3=1,BM120,IF($P$3=2,CD120,AV120))</f>
        <v>0</v>
      </c>
      <c r="AF120"/>
      <c r="AG120" s="1886"/>
      <c r="AH120" s="1891" t="s">
        <v>163</v>
      </c>
      <c r="AI120" s="1887" t="s">
        <v>1260</v>
      </c>
      <c r="AJ120" s="1942"/>
      <c r="AK120" s="1942"/>
      <c r="AL120" s="1942"/>
      <c r="AM120" s="1942"/>
      <c r="AN120" s="1942"/>
      <c r="AO120" s="1942"/>
      <c r="AP120" s="1942"/>
      <c r="AQ120" s="1942"/>
      <c r="AR120" s="1942"/>
      <c r="AS120" s="1942"/>
      <c r="AT120" s="1893"/>
      <c r="AU120" s="1892"/>
      <c r="AV120" s="1892"/>
      <c r="AW120"/>
      <c r="AX120" s="1886"/>
      <c r="AY120" s="1891" t="s">
        <v>163</v>
      </c>
      <c r="AZ120" s="1887" t="s">
        <v>1004</v>
      </c>
      <c r="BA120" s="1942"/>
      <c r="BB120" s="1942"/>
      <c r="BC120" s="1942"/>
      <c r="BD120" s="1942"/>
      <c r="BE120" s="1942"/>
      <c r="BF120" s="1942"/>
      <c r="BG120" s="1942"/>
      <c r="BH120" s="1942"/>
      <c r="BI120" s="1942"/>
      <c r="BJ120" s="1942"/>
      <c r="BK120" s="1893"/>
      <c r="BL120" s="1892"/>
      <c r="BM120" s="1892"/>
      <c r="BN120"/>
      <c r="BO120" s="1886"/>
      <c r="BP120" s="1891" t="s">
        <v>163</v>
      </c>
      <c r="BQ120" s="1887"/>
      <c r="BR120" s="1942"/>
      <c r="BS120" s="1942"/>
      <c r="BT120" s="1942"/>
      <c r="BU120" s="1942"/>
      <c r="BV120" s="1942"/>
      <c r="BW120" s="1942"/>
      <c r="BX120" s="1942"/>
      <c r="BY120" s="1942"/>
      <c r="BZ120" s="1942"/>
      <c r="CA120" s="1942"/>
      <c r="CB120" s="1893"/>
      <c r="CC120" s="1892"/>
      <c r="CD120" s="1892"/>
      <c r="CE120" s="2277"/>
      <c r="CF120"/>
    </row>
    <row r="121" spans="1:84" s="1355" customFormat="1" hidden="1">
      <c r="A121"/>
      <c r="B121" s="1872">
        <f t="shared" si="100"/>
        <v>0</v>
      </c>
      <c r="C121" s="1887" t="str">
        <f t="shared" si="80"/>
        <v>定性評価</v>
      </c>
      <c r="D121" s="1896">
        <f>IF(I$119=0,0,G121/I$119)</f>
        <v>1</v>
      </c>
      <c r="E121" s="1896">
        <f>IF(J$119=0,0,H121/J$119)</f>
        <v>0</v>
      </c>
      <c r="F121"/>
      <c r="G121" s="1884">
        <f t="shared" si="81"/>
        <v>1</v>
      </c>
      <c r="H121" s="1884">
        <f t="shared" si="82"/>
        <v>0</v>
      </c>
      <c r="I121" s="1965">
        <f>SUM(G122:G123)</f>
        <v>0</v>
      </c>
      <c r="J121" s="1965">
        <f>SUM(H122:H123)</f>
        <v>0</v>
      </c>
      <c r="K121" s="1897">
        <f>IF(スコア!M121=0,0,1)</f>
        <v>1</v>
      </c>
      <c r="L121" s="1897">
        <f>IF(スコア!O121=0,0,1)</f>
        <v>0</v>
      </c>
      <c r="M121" s="1897">
        <f t="shared" si="83"/>
        <v>1</v>
      </c>
      <c r="N121" s="1897">
        <f t="shared" si="102"/>
        <v>0</v>
      </c>
      <c r="O121"/>
      <c r="P121" s="1886">
        <f t="shared" si="84"/>
        <v>0</v>
      </c>
      <c r="Q121" s="1886" t="str">
        <f t="shared" si="85"/>
        <v>LR</v>
      </c>
      <c r="R121" s="1887" t="str">
        <f t="shared" si="86"/>
        <v>定性評価</v>
      </c>
      <c r="S121" s="1900">
        <f t="shared" si="87"/>
        <v>1</v>
      </c>
      <c r="T121" s="1900">
        <f t="shared" si="88"/>
        <v>1</v>
      </c>
      <c r="U121" s="1900">
        <f t="shared" si="89"/>
        <v>1</v>
      </c>
      <c r="V121" s="1900">
        <f t="shared" si="90"/>
        <v>1</v>
      </c>
      <c r="W121" s="1900">
        <f t="shared" si="91"/>
        <v>1</v>
      </c>
      <c r="X121" s="1900">
        <f t="shared" si="92"/>
        <v>1</v>
      </c>
      <c r="Y121" s="1900">
        <f t="shared" si="93"/>
        <v>1</v>
      </c>
      <c r="Z121" s="1908">
        <f t="shared" si="94"/>
        <v>1</v>
      </c>
      <c r="AA121" s="1900">
        <f t="shared" si="95"/>
        <v>1</v>
      </c>
      <c r="AB121" s="1900">
        <f t="shared" si="96"/>
        <v>1</v>
      </c>
      <c r="AC121" s="1890">
        <f t="shared" si="103"/>
        <v>0</v>
      </c>
      <c r="AD121" s="1888">
        <f t="shared" si="104"/>
        <v>0</v>
      </c>
      <c r="AE121" s="1888">
        <f t="shared" si="105"/>
        <v>0</v>
      </c>
      <c r="AF121"/>
      <c r="AG121" s="1886"/>
      <c r="AH121" s="1891" t="s">
        <v>163</v>
      </c>
      <c r="AI121" s="1887" t="s">
        <v>1003</v>
      </c>
      <c r="AJ121" s="1942">
        <v>1</v>
      </c>
      <c r="AK121" s="1942">
        <v>1</v>
      </c>
      <c r="AL121" s="1942">
        <v>1</v>
      </c>
      <c r="AM121" s="1942">
        <v>1</v>
      </c>
      <c r="AN121" s="1942">
        <v>1</v>
      </c>
      <c r="AO121" s="1942">
        <v>1</v>
      </c>
      <c r="AP121" s="1942">
        <v>1</v>
      </c>
      <c r="AQ121" s="1942">
        <v>1</v>
      </c>
      <c r="AR121" s="1942">
        <v>1</v>
      </c>
      <c r="AS121" s="1942">
        <v>1</v>
      </c>
      <c r="AT121" s="1893"/>
      <c r="AU121" s="1892"/>
      <c r="AV121" s="1892"/>
      <c r="AW121"/>
      <c r="AX121" s="1886"/>
      <c r="AY121" s="1891" t="s">
        <v>163</v>
      </c>
      <c r="AZ121" s="1887" t="s">
        <v>1003</v>
      </c>
      <c r="BA121" s="1942">
        <v>1</v>
      </c>
      <c r="BB121" s="1942">
        <v>1</v>
      </c>
      <c r="BC121" s="1942">
        <v>1</v>
      </c>
      <c r="BD121" s="1942">
        <v>1</v>
      </c>
      <c r="BE121" s="1942">
        <v>1</v>
      </c>
      <c r="BF121" s="1942">
        <v>1</v>
      </c>
      <c r="BG121" s="1942">
        <v>1</v>
      </c>
      <c r="BH121" s="1942">
        <v>1</v>
      </c>
      <c r="BI121" s="1942">
        <v>1</v>
      </c>
      <c r="BJ121" s="1942">
        <v>1</v>
      </c>
      <c r="BK121" s="1893"/>
      <c r="BL121" s="1892"/>
      <c r="BM121" s="1892"/>
      <c r="BN121"/>
      <c r="BO121" s="1886"/>
      <c r="BP121" s="1891" t="s">
        <v>163</v>
      </c>
      <c r="BQ121" s="1887" t="s">
        <v>1003</v>
      </c>
      <c r="BR121" s="1942">
        <v>1</v>
      </c>
      <c r="BS121" s="1942">
        <v>1</v>
      </c>
      <c r="BT121" s="1942">
        <v>1</v>
      </c>
      <c r="BU121" s="1942">
        <v>1</v>
      </c>
      <c r="BV121" s="1942">
        <v>1</v>
      </c>
      <c r="BW121" s="1942">
        <v>1</v>
      </c>
      <c r="BX121" s="1942">
        <v>1</v>
      </c>
      <c r="BY121" s="1942">
        <v>1</v>
      </c>
      <c r="BZ121" s="1942">
        <v>1</v>
      </c>
      <c r="CA121" s="1942">
        <v>1</v>
      </c>
      <c r="CB121" s="1893"/>
      <c r="CC121" s="1892"/>
      <c r="CD121" s="1892"/>
      <c r="CE121" s="2277"/>
      <c r="CF121"/>
    </row>
    <row r="122" spans="1:84" hidden="1">
      <c r="B122" s="1872" t="str">
        <f t="shared" si="100"/>
        <v>2.1</v>
      </c>
      <c r="C122" s="1899" t="str">
        <f t="shared" si="80"/>
        <v>自然エネルギーの直接利用</v>
      </c>
      <c r="D122" s="1896">
        <f>IF(I$121=0,0,G122/I$121)</f>
        <v>0</v>
      </c>
      <c r="E122" s="1896">
        <f>IF(J$121=0,0,H122/J$121)</f>
        <v>0</v>
      </c>
      <c r="G122" s="1897">
        <f t="shared" si="81"/>
        <v>0</v>
      </c>
      <c r="H122" s="1897">
        <f t="shared" si="82"/>
        <v>0</v>
      </c>
      <c r="I122" s="1897"/>
      <c r="J122" s="1897"/>
      <c r="K122" s="1897">
        <f>IF(スコア!M122=0,0,1)</f>
        <v>0</v>
      </c>
      <c r="L122" s="1897">
        <f>IF(スコア!O122=0,0,1)</f>
        <v>0</v>
      </c>
      <c r="M122" s="1897">
        <f t="shared" si="83"/>
        <v>0</v>
      </c>
      <c r="N122" s="1897">
        <f t="shared" si="102"/>
        <v>0</v>
      </c>
      <c r="P122" s="1898" t="str">
        <f t="shared" si="84"/>
        <v>2.1</v>
      </c>
      <c r="Q122" s="1898" t="str">
        <f t="shared" si="85"/>
        <v>LR1 2</v>
      </c>
      <c r="R122" s="1899" t="str">
        <f t="shared" si="86"/>
        <v>自然エネルギーの直接利用</v>
      </c>
      <c r="S122" s="1900">
        <f t="shared" si="87"/>
        <v>0</v>
      </c>
      <c r="T122" s="1900">
        <f t="shared" si="88"/>
        <v>0</v>
      </c>
      <c r="U122" s="1900">
        <f t="shared" si="89"/>
        <v>0</v>
      </c>
      <c r="V122" s="1900">
        <f t="shared" si="90"/>
        <v>0</v>
      </c>
      <c r="W122" s="1900">
        <f t="shared" si="91"/>
        <v>0</v>
      </c>
      <c r="X122" s="1900">
        <f t="shared" si="92"/>
        <v>0</v>
      </c>
      <c r="Y122" s="1900">
        <f t="shared" si="93"/>
        <v>0</v>
      </c>
      <c r="Z122" s="1908">
        <f t="shared" si="94"/>
        <v>0</v>
      </c>
      <c r="AA122" s="1900">
        <f>IF($P$3=1,BI122,IF($P$3=2,BZ122,AR122))</f>
        <v>0</v>
      </c>
      <c r="AB122" s="1900">
        <f>IF($P$3=1,BJ122,IF($P$3=2,CA122,AS122))</f>
        <v>0</v>
      </c>
      <c r="AC122" s="1954">
        <f t="shared" si="103"/>
        <v>0</v>
      </c>
      <c r="AD122" s="1953">
        <f t="shared" si="104"/>
        <v>0</v>
      </c>
      <c r="AE122" s="1953">
        <f t="shared" si="105"/>
        <v>0</v>
      </c>
      <c r="AG122" s="1898" t="s">
        <v>1406</v>
      </c>
      <c r="AH122" s="1902" t="s">
        <v>164</v>
      </c>
      <c r="AI122" s="1899" t="s">
        <v>1262</v>
      </c>
      <c r="AJ122" s="1904"/>
      <c r="AK122" s="1904"/>
      <c r="AL122" s="1904"/>
      <c r="AM122" s="1904"/>
      <c r="AN122" s="1904"/>
      <c r="AO122" s="1904"/>
      <c r="AP122" s="1904"/>
      <c r="AQ122" s="1904"/>
      <c r="AR122" s="1904"/>
      <c r="AS122" s="1904"/>
      <c r="AT122" s="1956"/>
      <c r="AU122" s="1955"/>
      <c r="AV122" s="1955"/>
      <c r="AX122" s="1898" t="s">
        <v>1406</v>
      </c>
      <c r="AY122" s="1902" t="s">
        <v>164</v>
      </c>
      <c r="AZ122" s="1899" t="s">
        <v>1262</v>
      </c>
      <c r="BA122" s="1904"/>
      <c r="BB122" s="1904"/>
      <c r="BC122" s="1904"/>
      <c r="BD122" s="1904"/>
      <c r="BE122" s="1904"/>
      <c r="BF122" s="1904"/>
      <c r="BG122" s="1904"/>
      <c r="BH122" s="1904"/>
      <c r="BI122" s="1904"/>
      <c r="BJ122" s="1904"/>
      <c r="BK122" s="1956"/>
      <c r="BL122" s="1955"/>
      <c r="BM122" s="1955"/>
      <c r="BO122" s="1898" t="s">
        <v>1406</v>
      </c>
      <c r="BP122" s="1902" t="s">
        <v>164</v>
      </c>
      <c r="BQ122" s="1899" t="s">
        <v>1262</v>
      </c>
      <c r="BR122" s="1904"/>
      <c r="BS122" s="1904"/>
      <c r="BT122" s="1904"/>
      <c r="BU122" s="1904"/>
      <c r="BV122" s="1904"/>
      <c r="BW122" s="1904"/>
      <c r="BX122" s="1904"/>
      <c r="BY122" s="1904"/>
      <c r="BZ122" s="1904"/>
      <c r="CA122" s="1904"/>
      <c r="CB122" s="1956"/>
      <c r="CC122" s="1955"/>
      <c r="CD122" s="1955"/>
      <c r="CE122" s="2281"/>
    </row>
    <row r="123" spans="1:84" hidden="1">
      <c r="B123" s="1872" t="str">
        <f t="shared" si="100"/>
        <v>2.2</v>
      </c>
      <c r="C123" s="1899" t="str">
        <f t="shared" si="80"/>
        <v>自然エネルギーの変換利用</v>
      </c>
      <c r="D123" s="1896">
        <f>IF(I$121=0,0,G123/I$121)</f>
        <v>0</v>
      </c>
      <c r="E123" s="1896">
        <f>IF(J$121=0,0,H123/J$121)</f>
        <v>0</v>
      </c>
      <c r="G123" s="1897">
        <f t="shared" si="81"/>
        <v>0</v>
      </c>
      <c r="H123" s="1897">
        <f t="shared" si="82"/>
        <v>0</v>
      </c>
      <c r="I123" s="1897"/>
      <c r="J123" s="1897"/>
      <c r="K123" s="1897">
        <f>IF(スコア!M123=0,0,1)</f>
        <v>0</v>
      </c>
      <c r="L123" s="1897">
        <f>IF(スコア!O123=0,0,1)</f>
        <v>0</v>
      </c>
      <c r="M123" s="1897">
        <f t="shared" si="83"/>
        <v>0</v>
      </c>
      <c r="N123" s="1897">
        <f t="shared" si="102"/>
        <v>0</v>
      </c>
      <c r="P123" s="1898" t="str">
        <f t="shared" si="84"/>
        <v>2.2</v>
      </c>
      <c r="Q123" s="1898" t="str">
        <f t="shared" si="85"/>
        <v>LR1 2</v>
      </c>
      <c r="R123" s="1899" t="str">
        <f t="shared" si="86"/>
        <v>自然エネルギーの変換利用</v>
      </c>
      <c r="S123" s="1900">
        <f t="shared" si="87"/>
        <v>0</v>
      </c>
      <c r="T123" s="1900">
        <f t="shared" si="88"/>
        <v>0</v>
      </c>
      <c r="U123" s="1900">
        <f t="shared" si="89"/>
        <v>0</v>
      </c>
      <c r="V123" s="1900">
        <f t="shared" si="90"/>
        <v>0</v>
      </c>
      <c r="W123" s="1900">
        <f t="shared" si="91"/>
        <v>0</v>
      </c>
      <c r="X123" s="1900">
        <f t="shared" si="92"/>
        <v>0</v>
      </c>
      <c r="Y123" s="1900">
        <f t="shared" si="93"/>
        <v>0</v>
      </c>
      <c r="Z123" s="1908">
        <f t="shared" si="94"/>
        <v>0</v>
      </c>
      <c r="AA123" s="1900">
        <f>IF($P$3=1,BI123,IF($P$3=2,BZ123,AR123))</f>
        <v>0</v>
      </c>
      <c r="AB123" s="1900">
        <f>IF($P$3=1,BJ123,IF($P$3=2,CA123,AS123))</f>
        <v>0</v>
      </c>
      <c r="AC123" s="1954">
        <f t="shared" si="103"/>
        <v>0</v>
      </c>
      <c r="AD123" s="1953">
        <f t="shared" si="104"/>
        <v>0</v>
      </c>
      <c r="AE123" s="1953">
        <f t="shared" si="105"/>
        <v>0</v>
      </c>
      <c r="AG123" s="1898" t="s">
        <v>1407</v>
      </c>
      <c r="AH123" s="1902" t="s">
        <v>164</v>
      </c>
      <c r="AI123" s="1899" t="s">
        <v>1263</v>
      </c>
      <c r="AJ123" s="1904"/>
      <c r="AK123" s="1904"/>
      <c r="AL123" s="1904"/>
      <c r="AM123" s="1904"/>
      <c r="AN123" s="1904"/>
      <c r="AO123" s="1904"/>
      <c r="AP123" s="1904"/>
      <c r="AQ123" s="1904"/>
      <c r="AR123" s="1904"/>
      <c r="AS123" s="1904"/>
      <c r="AT123" s="1956"/>
      <c r="AU123" s="1955"/>
      <c r="AV123" s="1955"/>
      <c r="AX123" s="1898" t="s">
        <v>1407</v>
      </c>
      <c r="AY123" s="1902" t="s">
        <v>164</v>
      </c>
      <c r="AZ123" s="1899" t="s">
        <v>1263</v>
      </c>
      <c r="BA123" s="1904"/>
      <c r="BB123" s="1904"/>
      <c r="BC123" s="1904"/>
      <c r="BD123" s="1904"/>
      <c r="BE123" s="1904"/>
      <c r="BF123" s="1904"/>
      <c r="BG123" s="1904"/>
      <c r="BH123" s="1904"/>
      <c r="BI123" s="1904"/>
      <c r="BJ123" s="1904"/>
      <c r="BK123" s="1956"/>
      <c r="BL123" s="1955"/>
      <c r="BM123" s="1955"/>
      <c r="BO123" s="1898" t="s">
        <v>1407</v>
      </c>
      <c r="BP123" s="1902" t="s">
        <v>164</v>
      </c>
      <c r="BQ123" s="1899" t="s">
        <v>1263</v>
      </c>
      <c r="BR123" s="1904"/>
      <c r="BS123" s="1904"/>
      <c r="BT123" s="1904"/>
      <c r="BU123" s="1904"/>
      <c r="BV123" s="1904"/>
      <c r="BW123" s="1904"/>
      <c r="BX123" s="1904"/>
      <c r="BY123" s="1904"/>
      <c r="BZ123" s="1904"/>
      <c r="CA123" s="1904"/>
      <c r="CB123" s="1956"/>
      <c r="CC123" s="1955"/>
      <c r="CD123" s="1955"/>
      <c r="CE123" s="2281"/>
    </row>
    <row r="124" spans="1:84" s="1355" customFormat="1">
      <c r="A124"/>
      <c r="B124" s="1872">
        <f t="shared" si="100"/>
        <v>3</v>
      </c>
      <c r="C124" s="1887" t="str">
        <f t="shared" si="80"/>
        <v>設備システムの高効率化</v>
      </c>
      <c r="D124" s="1883" t="e">
        <f>IF(I$117=0,0,G124/I$117)</f>
        <v>#N/A</v>
      </c>
      <c r="E124" s="1884">
        <f>IF(J$117=0,0,H124/J$117)</f>
        <v>0</v>
      </c>
      <c r="F124"/>
      <c r="G124" s="1884" t="e">
        <f t="shared" si="81"/>
        <v>#N/A</v>
      </c>
      <c r="H124" s="1884">
        <f t="shared" si="82"/>
        <v>0</v>
      </c>
      <c r="I124" s="1965">
        <f>SUM(G125:G126)</f>
        <v>0</v>
      </c>
      <c r="J124" s="1965">
        <f>SUM(H125:H126)</f>
        <v>0</v>
      </c>
      <c r="K124" s="1884" t="e">
        <f>IF(スコア!M124=0,0,1)</f>
        <v>#N/A</v>
      </c>
      <c r="L124" s="1884">
        <f>IF(スコア!O124=0,0,1)</f>
        <v>0</v>
      </c>
      <c r="M124" s="1884">
        <f>SUMPRODUCT($S$7:$AB$7,S124:AB124)</f>
        <v>0.5</v>
      </c>
      <c r="N124" s="1884">
        <f t="shared" si="102"/>
        <v>0</v>
      </c>
      <c r="O124"/>
      <c r="P124" s="1886">
        <f t="shared" si="84"/>
        <v>3</v>
      </c>
      <c r="Q124" s="1886" t="str">
        <f t="shared" si="85"/>
        <v>LR1</v>
      </c>
      <c r="R124" s="1887" t="str">
        <f t="shared" si="86"/>
        <v>設備システムの高効率化</v>
      </c>
      <c r="S124" s="1940">
        <f t="shared" si="87"/>
        <v>0.5</v>
      </c>
      <c r="T124" s="1940">
        <f t="shared" si="88"/>
        <v>0.5</v>
      </c>
      <c r="U124" s="1940">
        <f t="shared" si="89"/>
        <v>0.5</v>
      </c>
      <c r="V124" s="1940">
        <f t="shared" si="90"/>
        <v>0.5</v>
      </c>
      <c r="W124" s="1940">
        <f t="shared" si="91"/>
        <v>0.5</v>
      </c>
      <c r="X124" s="1940">
        <f t="shared" si="92"/>
        <v>0.5</v>
      </c>
      <c r="Y124" s="1940">
        <f t="shared" si="93"/>
        <v>0.5</v>
      </c>
      <c r="Z124" s="1889">
        <f t="shared" si="94"/>
        <v>0.5</v>
      </c>
      <c r="AA124" s="1940">
        <f t="shared" ref="AA124:AA159" si="106">IF($P$3=1,BI124,IF($P$3=2,BZ124,AR124))</f>
        <v>0.625</v>
      </c>
      <c r="AB124" s="1940">
        <f t="shared" ref="AB124:AB159" si="107">IF($P$3=1,BJ124,IF($P$3=2,CA124,AS124))</f>
        <v>0.5</v>
      </c>
      <c r="AC124" s="1890">
        <f t="shared" si="103"/>
        <v>0</v>
      </c>
      <c r="AD124" s="1888">
        <f t="shared" si="104"/>
        <v>0</v>
      </c>
      <c r="AE124" s="1888">
        <f t="shared" si="105"/>
        <v>0</v>
      </c>
      <c r="AF124"/>
      <c r="AG124" s="1886">
        <v>3</v>
      </c>
      <c r="AH124" s="1891" t="s">
        <v>1757</v>
      </c>
      <c r="AI124" s="1887" t="s">
        <v>1264</v>
      </c>
      <c r="AJ124" s="1942">
        <v>0.5</v>
      </c>
      <c r="AK124" s="1942">
        <v>0.5</v>
      </c>
      <c r="AL124" s="1942">
        <v>0.5</v>
      </c>
      <c r="AM124" s="1942">
        <v>0.5</v>
      </c>
      <c r="AN124" s="1942">
        <v>0.5</v>
      </c>
      <c r="AO124" s="1942">
        <v>0.5</v>
      </c>
      <c r="AP124" s="1942">
        <v>0.5</v>
      </c>
      <c r="AQ124" s="1942">
        <v>0.5</v>
      </c>
      <c r="AR124" s="2100">
        <v>0.625</v>
      </c>
      <c r="AS124" s="1942">
        <v>0.5</v>
      </c>
      <c r="AT124" s="1893"/>
      <c r="AU124" s="1892"/>
      <c r="AV124" s="1892"/>
      <c r="AW124"/>
      <c r="AX124" s="1886">
        <v>3</v>
      </c>
      <c r="AY124" s="1891" t="s">
        <v>1757</v>
      </c>
      <c r="AZ124" s="1887" t="s">
        <v>1264</v>
      </c>
      <c r="BA124" s="1942">
        <v>0.5</v>
      </c>
      <c r="BB124" s="1942">
        <v>0.5</v>
      </c>
      <c r="BC124" s="1942">
        <v>0.5</v>
      </c>
      <c r="BD124" s="1942">
        <v>0.5</v>
      </c>
      <c r="BE124" s="1942">
        <v>0.5</v>
      </c>
      <c r="BF124" s="1942">
        <v>0.5</v>
      </c>
      <c r="BG124" s="1942">
        <v>0.5</v>
      </c>
      <c r="BH124" s="1942">
        <v>0.5</v>
      </c>
      <c r="BI124" s="2100">
        <v>0.625</v>
      </c>
      <c r="BJ124" s="1942">
        <v>0.5</v>
      </c>
      <c r="BK124" s="1893"/>
      <c r="BL124" s="1892"/>
      <c r="BM124" s="1892"/>
      <c r="BN124"/>
      <c r="BO124" s="1886">
        <v>3</v>
      </c>
      <c r="BP124" s="1891" t="s">
        <v>1757</v>
      </c>
      <c r="BQ124" s="1887" t="s">
        <v>1264</v>
      </c>
      <c r="BR124" s="1942">
        <v>0.5</v>
      </c>
      <c r="BS124" s="1942">
        <v>0.5</v>
      </c>
      <c r="BT124" s="1942">
        <v>0.5</v>
      </c>
      <c r="BU124" s="1942">
        <v>0.5</v>
      </c>
      <c r="BV124" s="1942">
        <v>0.5</v>
      </c>
      <c r="BW124" s="1942">
        <v>0.5</v>
      </c>
      <c r="BX124" s="1942">
        <v>0.5</v>
      </c>
      <c r="BY124" s="1942">
        <v>0.5</v>
      </c>
      <c r="BZ124" s="2100">
        <v>0.625</v>
      </c>
      <c r="CA124" s="1942">
        <v>0.5</v>
      </c>
      <c r="CB124" s="1893"/>
      <c r="CC124" s="1892"/>
      <c r="CD124" s="1892"/>
      <c r="CE124" s="2277"/>
      <c r="CF124"/>
    </row>
    <row r="125" spans="1:84" s="1355" customFormat="1">
      <c r="A125"/>
      <c r="B125" s="1872" t="str">
        <f t="shared" si="100"/>
        <v>3a.3b</v>
      </c>
      <c r="C125" s="1887" t="str">
        <f t="shared" si="80"/>
        <v>非住宅部分</v>
      </c>
      <c r="D125" s="1883">
        <f>IF(I$124=0,0,G125/I$124)</f>
        <v>0</v>
      </c>
      <c r="E125" s="1884">
        <f>IF(J$124=0,0,H125/J$124)</f>
        <v>0</v>
      </c>
      <c r="F125"/>
      <c r="G125" s="1884">
        <f t="shared" si="81"/>
        <v>0</v>
      </c>
      <c r="H125" s="1884">
        <f t="shared" si="82"/>
        <v>0</v>
      </c>
      <c r="I125" s="1884"/>
      <c r="J125" s="1884"/>
      <c r="K125" s="1884">
        <f>IF(スコア!M125=0,0,1)</f>
        <v>0</v>
      </c>
      <c r="L125" s="1884">
        <f>IF(スコア!O125=0,0,1)</f>
        <v>0</v>
      </c>
      <c r="M125" s="1884">
        <f>SUMPRODUCT($S$7:$AB$7,S125:AB125)</f>
        <v>0.82758620689655171</v>
      </c>
      <c r="N125" s="1884">
        <f t="shared" si="102"/>
        <v>0</v>
      </c>
      <c r="O125"/>
      <c r="P125" s="1886" t="str">
        <f t="shared" si="84"/>
        <v>3a.3b</v>
      </c>
      <c r="Q125" s="1886" t="str">
        <f t="shared" si="85"/>
        <v>LR1 3.1</v>
      </c>
      <c r="R125" s="1887" t="str">
        <f t="shared" si="86"/>
        <v>非住宅部分</v>
      </c>
      <c r="S125" s="1900">
        <f t="shared" si="87"/>
        <v>1</v>
      </c>
      <c r="T125" s="1900">
        <f t="shared" si="88"/>
        <v>1</v>
      </c>
      <c r="U125" s="1900">
        <f t="shared" si="89"/>
        <v>1</v>
      </c>
      <c r="V125" s="1900">
        <f t="shared" si="90"/>
        <v>1</v>
      </c>
      <c r="W125" s="1900">
        <f t="shared" si="91"/>
        <v>1</v>
      </c>
      <c r="X125" s="1900">
        <f t="shared" si="92"/>
        <v>1</v>
      </c>
      <c r="Y125" s="1900">
        <f t="shared" si="93"/>
        <v>0</v>
      </c>
      <c r="Z125" s="1908">
        <f t="shared" si="94"/>
        <v>1</v>
      </c>
      <c r="AA125" s="1900">
        <f t="shared" si="106"/>
        <v>1</v>
      </c>
      <c r="AB125" s="1900">
        <f t="shared" si="107"/>
        <v>1</v>
      </c>
      <c r="AC125" s="1890">
        <f t="shared" si="103"/>
        <v>0</v>
      </c>
      <c r="AD125" s="1888">
        <f t="shared" si="104"/>
        <v>0</v>
      </c>
      <c r="AE125" s="1888">
        <f t="shared" si="105"/>
        <v>0</v>
      </c>
      <c r="AF125"/>
      <c r="AG125" s="1886" t="s">
        <v>2942</v>
      </c>
      <c r="AH125" s="1891" t="s">
        <v>3316</v>
      </c>
      <c r="AI125" s="1887" t="s">
        <v>1012</v>
      </c>
      <c r="AJ125" s="2024">
        <v>1</v>
      </c>
      <c r="AK125" s="2024">
        <v>1</v>
      </c>
      <c r="AL125" s="2024">
        <v>1</v>
      </c>
      <c r="AM125" s="2024">
        <v>1</v>
      </c>
      <c r="AN125" s="2024">
        <v>1</v>
      </c>
      <c r="AO125" s="2024">
        <v>1</v>
      </c>
      <c r="AP125" s="2024"/>
      <c r="AQ125" s="2024">
        <v>1</v>
      </c>
      <c r="AR125" s="2024">
        <v>1</v>
      </c>
      <c r="AS125" s="2024">
        <v>1</v>
      </c>
      <c r="AT125" s="1893"/>
      <c r="AU125" s="1892"/>
      <c r="AV125" s="1892"/>
      <c r="AW125"/>
      <c r="AX125" s="1886" t="s">
        <v>1408</v>
      </c>
      <c r="AY125" s="1891" t="s">
        <v>1409</v>
      </c>
      <c r="AZ125" s="1887" t="s">
        <v>1012</v>
      </c>
      <c r="BA125" s="2024">
        <v>1</v>
      </c>
      <c r="BB125" s="2024">
        <v>1</v>
      </c>
      <c r="BC125" s="2024">
        <v>1</v>
      </c>
      <c r="BD125" s="2024">
        <v>1</v>
      </c>
      <c r="BE125" s="2024">
        <v>1</v>
      </c>
      <c r="BF125" s="2024">
        <v>1</v>
      </c>
      <c r="BG125" s="2024"/>
      <c r="BH125" s="2024">
        <v>1</v>
      </c>
      <c r="BI125" s="2024">
        <v>1</v>
      </c>
      <c r="BJ125" s="2024">
        <v>1</v>
      </c>
      <c r="BK125" s="1893"/>
      <c r="BL125" s="1892"/>
      <c r="BM125" s="1892"/>
      <c r="BN125"/>
      <c r="BO125" s="1886" t="s">
        <v>2942</v>
      </c>
      <c r="BP125" s="1891" t="s">
        <v>1409</v>
      </c>
      <c r="BQ125" s="1887" t="s">
        <v>1012</v>
      </c>
      <c r="BR125" s="2024">
        <v>1</v>
      </c>
      <c r="BS125" s="2024">
        <v>1</v>
      </c>
      <c r="BT125" s="2024">
        <v>1</v>
      </c>
      <c r="BU125" s="2024">
        <v>1</v>
      </c>
      <c r="BV125" s="2024">
        <v>1</v>
      </c>
      <c r="BW125" s="2024">
        <v>1</v>
      </c>
      <c r="BX125" s="2024"/>
      <c r="BY125" s="2024">
        <v>1</v>
      </c>
      <c r="BZ125" s="2024">
        <v>1</v>
      </c>
      <c r="CA125" s="2024">
        <v>1</v>
      </c>
      <c r="CB125" s="1893"/>
      <c r="CC125" s="1892"/>
      <c r="CD125" s="1892"/>
      <c r="CE125" s="2277"/>
      <c r="CF125"/>
    </row>
    <row r="126" spans="1:84" s="1355" customFormat="1">
      <c r="A126"/>
      <c r="B126" s="1872" t="str">
        <f t="shared" si="100"/>
        <v>3b.c</v>
      </c>
      <c r="C126" s="1887" t="str">
        <f>R126</f>
        <v>集合住宅の評価</v>
      </c>
      <c r="D126" s="1883">
        <f>IF(I$124=0,0,G126/I$124)</f>
        <v>0</v>
      </c>
      <c r="E126" s="1884">
        <f>IF(J$124=0,0,H126/J$124)</f>
        <v>0</v>
      </c>
      <c r="F126"/>
      <c r="G126" s="1884">
        <f t="shared" si="81"/>
        <v>0</v>
      </c>
      <c r="H126" s="1884">
        <f t="shared" si="82"/>
        <v>0</v>
      </c>
      <c r="I126" s="1884">
        <f>G127+G128+G129+G130+G131</f>
        <v>0</v>
      </c>
      <c r="J126" s="1884">
        <f>H127+H128+H129+H130+H131</f>
        <v>0</v>
      </c>
      <c r="K126" s="1884">
        <f>IF(スコア!M126=0,0,1)</f>
        <v>0</v>
      </c>
      <c r="L126" s="1884">
        <f>IF(スコア!O126=0,0,1)</f>
        <v>0</v>
      </c>
      <c r="M126" s="1884">
        <f>SUMPRODUCT($S$7:$AB$7,S126:AB126)</f>
        <v>0.17241379310344829</v>
      </c>
      <c r="N126" s="1884">
        <f t="shared" si="102"/>
        <v>0</v>
      </c>
      <c r="O126"/>
      <c r="P126" s="1886" t="str">
        <f t="shared" si="84"/>
        <v>3b.c</v>
      </c>
      <c r="Q126" s="1886" t="str">
        <f t="shared" si="85"/>
        <v>LR1 3.1</v>
      </c>
      <c r="R126" s="1887" t="str">
        <f t="shared" si="86"/>
        <v>集合住宅の評価</v>
      </c>
      <c r="S126" s="1900">
        <f t="shared" si="87"/>
        <v>0</v>
      </c>
      <c r="T126" s="1900">
        <f t="shared" si="88"/>
        <v>0</v>
      </c>
      <c r="U126" s="1900">
        <f t="shared" si="89"/>
        <v>0</v>
      </c>
      <c r="V126" s="1900">
        <f t="shared" si="90"/>
        <v>0</v>
      </c>
      <c r="W126" s="1900">
        <f t="shared" si="91"/>
        <v>0</v>
      </c>
      <c r="X126" s="1900">
        <f t="shared" si="92"/>
        <v>0</v>
      </c>
      <c r="Y126" s="1900">
        <f t="shared" si="93"/>
        <v>1</v>
      </c>
      <c r="Z126" s="1908">
        <f t="shared" si="94"/>
        <v>0</v>
      </c>
      <c r="AA126" s="1900">
        <f t="shared" si="106"/>
        <v>0</v>
      </c>
      <c r="AB126" s="1900">
        <f t="shared" si="107"/>
        <v>0</v>
      </c>
      <c r="AC126" s="1890">
        <f t="shared" si="103"/>
        <v>0</v>
      </c>
      <c r="AD126" s="1888">
        <f t="shared" si="104"/>
        <v>0</v>
      </c>
      <c r="AE126" s="1888">
        <f t="shared" si="105"/>
        <v>0</v>
      </c>
      <c r="AF126"/>
      <c r="AG126" s="1886" t="s">
        <v>2943</v>
      </c>
      <c r="AH126" s="1891" t="s">
        <v>3317</v>
      </c>
      <c r="AI126" s="1887" t="s">
        <v>1587</v>
      </c>
      <c r="AJ126" s="2025"/>
      <c r="AK126" s="2025"/>
      <c r="AL126" s="2025"/>
      <c r="AM126" s="2025"/>
      <c r="AN126" s="2025"/>
      <c r="AO126" s="2025"/>
      <c r="AP126" s="2024">
        <v>1</v>
      </c>
      <c r="AQ126" s="2025"/>
      <c r="AR126" s="2025"/>
      <c r="AS126" s="2024"/>
      <c r="AT126" s="1893"/>
      <c r="AU126" s="1892"/>
      <c r="AV126" s="1892"/>
      <c r="AW126"/>
      <c r="AX126" s="1886" t="s">
        <v>1925</v>
      </c>
      <c r="AY126" s="1891" t="s">
        <v>1409</v>
      </c>
      <c r="AZ126" s="1887" t="s">
        <v>1587</v>
      </c>
      <c r="BA126" s="2025"/>
      <c r="BB126" s="2025"/>
      <c r="BC126" s="2025"/>
      <c r="BD126" s="2025"/>
      <c r="BE126" s="2025"/>
      <c r="BF126" s="2025"/>
      <c r="BG126" s="2024">
        <v>1</v>
      </c>
      <c r="BH126" s="2025"/>
      <c r="BI126" s="2025"/>
      <c r="BJ126" s="2024"/>
      <c r="BK126" s="1893"/>
      <c r="BL126" s="1892"/>
      <c r="BM126" s="1892"/>
      <c r="BN126"/>
      <c r="BO126" s="1886" t="s">
        <v>2943</v>
      </c>
      <c r="BP126" s="1891" t="s">
        <v>1409</v>
      </c>
      <c r="BQ126" s="1887" t="s">
        <v>1587</v>
      </c>
      <c r="BR126" s="2025"/>
      <c r="BS126" s="2025"/>
      <c r="BT126" s="2025"/>
      <c r="BU126" s="2025"/>
      <c r="BV126" s="2025"/>
      <c r="BW126" s="2025"/>
      <c r="BX126" s="2024">
        <v>1</v>
      </c>
      <c r="BY126" s="2025"/>
      <c r="BZ126" s="2025"/>
      <c r="CA126" s="2024"/>
      <c r="CB126" s="1893"/>
      <c r="CC126" s="1892"/>
      <c r="CD126" s="1892"/>
      <c r="CE126" s="2277"/>
      <c r="CF126"/>
    </row>
    <row r="127" spans="1:84" hidden="1">
      <c r="B127" s="1872">
        <f t="shared" si="100"/>
        <v>3.1</v>
      </c>
      <c r="C127" s="1899" t="str">
        <f t="shared" si="80"/>
        <v>空調設備</v>
      </c>
      <c r="D127" s="1896">
        <f t="shared" ref="D127:E131" si="108">IF(I$126=0,0,G127/I$126)</f>
        <v>0</v>
      </c>
      <c r="E127" s="1897">
        <f t="shared" si="108"/>
        <v>0</v>
      </c>
      <c r="G127" s="1897">
        <f t="shared" si="81"/>
        <v>0</v>
      </c>
      <c r="H127" s="1897">
        <f t="shared" si="82"/>
        <v>0</v>
      </c>
      <c r="I127" s="1897"/>
      <c r="J127" s="1897"/>
      <c r="K127" s="1897">
        <f>IF(スコア!M127=0,0,1)</f>
        <v>0</v>
      </c>
      <c r="L127" s="1897">
        <f>IF(スコア!O127=0,0,1)</f>
        <v>0</v>
      </c>
      <c r="M127" s="1897">
        <f t="shared" si="83"/>
        <v>0.1793103448275862</v>
      </c>
      <c r="N127" s="1897">
        <f t="shared" si="102"/>
        <v>0</v>
      </c>
      <c r="P127" s="1898">
        <f t="shared" si="84"/>
        <v>3.1</v>
      </c>
      <c r="Q127" s="1898" t="str">
        <f t="shared" si="85"/>
        <v>LR1 3b</v>
      </c>
      <c r="R127" s="1899" t="str">
        <f t="shared" si="86"/>
        <v>空調設備</v>
      </c>
      <c r="S127" s="1900">
        <f t="shared" si="87"/>
        <v>0</v>
      </c>
      <c r="T127" s="1900">
        <f t="shared" si="88"/>
        <v>0</v>
      </c>
      <c r="U127" s="1900">
        <f t="shared" si="89"/>
        <v>0</v>
      </c>
      <c r="V127" s="1900">
        <f t="shared" si="90"/>
        <v>0</v>
      </c>
      <c r="W127" s="1900">
        <f t="shared" si="91"/>
        <v>0</v>
      </c>
      <c r="X127" s="1900">
        <f t="shared" si="92"/>
        <v>0</v>
      </c>
      <c r="Y127" s="1900">
        <f t="shared" si="93"/>
        <v>0</v>
      </c>
      <c r="Z127" s="1908">
        <f t="shared" si="94"/>
        <v>0</v>
      </c>
      <c r="AA127" s="1900">
        <f t="shared" si="106"/>
        <v>0</v>
      </c>
      <c r="AB127" s="1900">
        <f t="shared" si="107"/>
        <v>0.65</v>
      </c>
      <c r="AC127" s="1901">
        <f t="shared" si="103"/>
        <v>0</v>
      </c>
      <c r="AD127" s="1900">
        <f t="shared" si="104"/>
        <v>0</v>
      </c>
      <c r="AE127" s="1900">
        <f t="shared" si="105"/>
        <v>0</v>
      </c>
      <c r="AG127" s="1898">
        <v>3.1</v>
      </c>
      <c r="AH127" s="1902" t="s">
        <v>1410</v>
      </c>
      <c r="AI127" s="1899" t="s">
        <v>1265</v>
      </c>
      <c r="AJ127" s="1904"/>
      <c r="AK127" s="1904"/>
      <c r="AL127" s="1904"/>
      <c r="AM127" s="1904"/>
      <c r="AN127" s="1904"/>
      <c r="AO127" s="1904"/>
      <c r="AP127" s="1904"/>
      <c r="AQ127" s="1911"/>
      <c r="AR127" s="1904"/>
      <c r="AS127" s="2101">
        <v>0.65</v>
      </c>
      <c r="AT127" s="1905"/>
      <c r="AU127" s="1904"/>
      <c r="AV127" s="1904"/>
      <c r="AX127" s="1898">
        <v>3.1</v>
      </c>
      <c r="AY127" s="1902" t="s">
        <v>1410</v>
      </c>
      <c r="AZ127" s="1899" t="s">
        <v>1265</v>
      </c>
      <c r="BA127" s="1904"/>
      <c r="BB127" s="1904"/>
      <c r="BC127" s="1904"/>
      <c r="BD127" s="1904"/>
      <c r="BE127" s="1904"/>
      <c r="BF127" s="1904"/>
      <c r="BG127" s="1904"/>
      <c r="BH127" s="1911"/>
      <c r="BI127" s="1904"/>
      <c r="BJ127" s="2101">
        <v>0.65</v>
      </c>
      <c r="BK127" s="1905"/>
      <c r="BL127" s="1904"/>
      <c r="BM127" s="1904"/>
      <c r="BO127" s="1898">
        <v>3.1</v>
      </c>
      <c r="BP127" s="1902" t="s">
        <v>1410</v>
      </c>
      <c r="BQ127" s="1899" t="s">
        <v>1265</v>
      </c>
      <c r="BR127" s="1904"/>
      <c r="BS127" s="1904"/>
      <c r="BT127" s="1904"/>
      <c r="BU127" s="1904"/>
      <c r="BV127" s="1904"/>
      <c r="BW127" s="1904"/>
      <c r="BX127" s="1904"/>
      <c r="BY127" s="1911"/>
      <c r="BZ127" s="1904"/>
      <c r="CA127" s="1904"/>
      <c r="CB127" s="1905"/>
      <c r="CC127" s="1904"/>
      <c r="CD127" s="1904"/>
      <c r="CE127" s="2278"/>
      <c r="CF127">
        <f>ROWS($CF$5:CF126)</f>
        <v>122</v>
      </c>
    </row>
    <row r="128" spans="1:84" hidden="1">
      <c r="B128" s="1872">
        <f t="shared" si="100"/>
        <v>3.2</v>
      </c>
      <c r="C128" s="1899" t="str">
        <f t="shared" si="80"/>
        <v>換気設備</v>
      </c>
      <c r="D128" s="1896">
        <f t="shared" si="108"/>
        <v>0</v>
      </c>
      <c r="E128" s="1897">
        <f t="shared" si="108"/>
        <v>0</v>
      </c>
      <c r="G128" s="1897">
        <f t="shared" si="81"/>
        <v>0</v>
      </c>
      <c r="H128" s="1897">
        <f t="shared" si="82"/>
        <v>0</v>
      </c>
      <c r="I128" s="1897"/>
      <c r="J128" s="1897"/>
      <c r="K128" s="1897">
        <f>IF(スコア!M128=0,0,1)</f>
        <v>0</v>
      </c>
      <c r="L128" s="1897">
        <f>IF(スコア!O128=0,0,1)</f>
        <v>0</v>
      </c>
      <c r="M128" s="1897">
        <f t="shared" si="83"/>
        <v>2.7586206896551724E-2</v>
      </c>
      <c r="N128" s="1897">
        <f t="shared" si="102"/>
        <v>0</v>
      </c>
      <c r="P128" s="1898">
        <f t="shared" si="84"/>
        <v>3.2</v>
      </c>
      <c r="Q128" s="1898" t="str">
        <f t="shared" si="85"/>
        <v>LR1 3b</v>
      </c>
      <c r="R128" s="1899" t="str">
        <f t="shared" si="86"/>
        <v>換気設備</v>
      </c>
      <c r="S128" s="1900">
        <f t="shared" si="87"/>
        <v>0</v>
      </c>
      <c r="T128" s="1900">
        <f t="shared" si="88"/>
        <v>0</v>
      </c>
      <c r="U128" s="1900">
        <f t="shared" si="89"/>
        <v>0</v>
      </c>
      <c r="V128" s="1900">
        <f t="shared" si="90"/>
        <v>0</v>
      </c>
      <c r="W128" s="1900">
        <f t="shared" si="91"/>
        <v>0</v>
      </c>
      <c r="X128" s="1900">
        <f t="shared" si="92"/>
        <v>0</v>
      </c>
      <c r="Y128" s="1900">
        <f t="shared" si="93"/>
        <v>0</v>
      </c>
      <c r="Z128" s="1908">
        <f t="shared" si="94"/>
        <v>0</v>
      </c>
      <c r="AA128" s="1900">
        <f t="shared" si="106"/>
        <v>0</v>
      </c>
      <c r="AB128" s="1900">
        <f t="shared" si="107"/>
        <v>0.1</v>
      </c>
      <c r="AC128" s="1901">
        <f t="shared" si="103"/>
        <v>0</v>
      </c>
      <c r="AD128" s="1900">
        <f t="shared" si="104"/>
        <v>0</v>
      </c>
      <c r="AE128" s="1900">
        <f t="shared" si="105"/>
        <v>0</v>
      </c>
      <c r="AG128" s="1898">
        <v>3.2</v>
      </c>
      <c r="AH128" s="1902" t="s">
        <v>1410</v>
      </c>
      <c r="AI128" s="1899" t="s">
        <v>1266</v>
      </c>
      <c r="AJ128" s="1904"/>
      <c r="AK128" s="1904"/>
      <c r="AL128" s="1904"/>
      <c r="AM128" s="1904"/>
      <c r="AN128" s="1904"/>
      <c r="AO128" s="1904"/>
      <c r="AP128" s="1904"/>
      <c r="AQ128" s="1911"/>
      <c r="AR128" s="1904"/>
      <c r="AS128" s="2101">
        <v>0.1</v>
      </c>
      <c r="AT128" s="1905"/>
      <c r="AU128" s="1904"/>
      <c r="AV128" s="1904"/>
      <c r="AX128" s="1898">
        <v>3.2</v>
      </c>
      <c r="AY128" s="1902" t="s">
        <v>1410</v>
      </c>
      <c r="AZ128" s="1899" t="s">
        <v>1266</v>
      </c>
      <c r="BA128" s="1904"/>
      <c r="BB128" s="1904"/>
      <c r="BC128" s="1904"/>
      <c r="BD128" s="1904"/>
      <c r="BE128" s="1904"/>
      <c r="BF128" s="1904"/>
      <c r="BG128" s="1904"/>
      <c r="BH128" s="1911"/>
      <c r="BI128" s="1904"/>
      <c r="BJ128" s="2101">
        <v>0.1</v>
      </c>
      <c r="BK128" s="1905"/>
      <c r="BL128" s="1904"/>
      <c r="BM128" s="1904"/>
      <c r="BO128" s="1898">
        <v>3.2</v>
      </c>
      <c r="BP128" s="1902" t="s">
        <v>1410</v>
      </c>
      <c r="BQ128" s="1899" t="s">
        <v>1266</v>
      </c>
      <c r="BR128" s="1904"/>
      <c r="BS128" s="1904"/>
      <c r="BT128" s="1904"/>
      <c r="BU128" s="1904"/>
      <c r="BV128" s="1904"/>
      <c r="BW128" s="1904"/>
      <c r="BX128" s="1904"/>
      <c r="BY128" s="1911"/>
      <c r="BZ128" s="1904"/>
      <c r="CA128" s="1904"/>
      <c r="CB128" s="1905"/>
      <c r="CC128" s="1904"/>
      <c r="CD128" s="1904"/>
      <c r="CE128" s="2278"/>
      <c r="CF128">
        <f>ROWS($CF$5:CF127)</f>
        <v>123</v>
      </c>
    </row>
    <row r="129" spans="1:84" hidden="1">
      <c r="B129" s="1872">
        <f t="shared" si="100"/>
        <v>3.3</v>
      </c>
      <c r="C129" s="1899" t="str">
        <f t="shared" si="80"/>
        <v>照明設備</v>
      </c>
      <c r="D129" s="1896">
        <f t="shared" si="108"/>
        <v>0</v>
      </c>
      <c r="E129" s="1897">
        <f t="shared" si="108"/>
        <v>0</v>
      </c>
      <c r="G129" s="1897">
        <f t="shared" si="81"/>
        <v>0</v>
      </c>
      <c r="H129" s="1897">
        <f t="shared" si="82"/>
        <v>0</v>
      </c>
      <c r="I129" s="1897"/>
      <c r="J129" s="1897"/>
      <c r="K129" s="1897">
        <f>IF(スコア!M129=0,0,1)</f>
        <v>0</v>
      </c>
      <c r="L129" s="1897">
        <f>IF(スコア!O129=0,0,1)</f>
        <v>0</v>
      </c>
      <c r="M129" s="1897">
        <f t="shared" si="83"/>
        <v>5.5172413793103448E-2</v>
      </c>
      <c r="N129" s="1897">
        <f t="shared" si="102"/>
        <v>0</v>
      </c>
      <c r="P129" s="1898">
        <f t="shared" si="84"/>
        <v>3.3</v>
      </c>
      <c r="Q129" s="1898" t="str">
        <f t="shared" si="85"/>
        <v>LR1 3b</v>
      </c>
      <c r="R129" s="1899" t="str">
        <f t="shared" si="86"/>
        <v>照明設備</v>
      </c>
      <c r="S129" s="1900">
        <f t="shared" si="87"/>
        <v>0</v>
      </c>
      <c r="T129" s="1900">
        <f t="shared" si="88"/>
        <v>0</v>
      </c>
      <c r="U129" s="1900">
        <f t="shared" si="89"/>
        <v>0</v>
      </c>
      <c r="V129" s="1900">
        <f t="shared" si="90"/>
        <v>0</v>
      </c>
      <c r="W129" s="1900">
        <f t="shared" si="91"/>
        <v>0</v>
      </c>
      <c r="X129" s="1900">
        <f t="shared" si="92"/>
        <v>0</v>
      </c>
      <c r="Y129" s="1900">
        <f t="shared" si="93"/>
        <v>0</v>
      </c>
      <c r="Z129" s="1908">
        <f t="shared" si="94"/>
        <v>0</v>
      </c>
      <c r="AA129" s="1900">
        <f t="shared" si="106"/>
        <v>0</v>
      </c>
      <c r="AB129" s="1900">
        <f t="shared" si="107"/>
        <v>0.2</v>
      </c>
      <c r="AC129" s="1901">
        <f t="shared" si="103"/>
        <v>0</v>
      </c>
      <c r="AD129" s="1900">
        <f t="shared" si="104"/>
        <v>0</v>
      </c>
      <c r="AE129" s="1900">
        <f t="shared" si="105"/>
        <v>0</v>
      </c>
      <c r="AG129" s="1898">
        <v>3.3</v>
      </c>
      <c r="AH129" s="1902" t="s">
        <v>1410</v>
      </c>
      <c r="AI129" s="1899" t="s">
        <v>1267</v>
      </c>
      <c r="AJ129" s="1904"/>
      <c r="AK129" s="1904"/>
      <c r="AL129" s="1904"/>
      <c r="AM129" s="1904"/>
      <c r="AN129" s="1904"/>
      <c r="AO129" s="1904"/>
      <c r="AP129" s="1904"/>
      <c r="AQ129" s="1911"/>
      <c r="AR129" s="1904"/>
      <c r="AS129" s="2101">
        <v>0.2</v>
      </c>
      <c r="AT129" s="1905"/>
      <c r="AU129" s="1904"/>
      <c r="AV129" s="1904"/>
      <c r="AX129" s="1898">
        <v>3.3</v>
      </c>
      <c r="AY129" s="1902" t="s">
        <v>1410</v>
      </c>
      <c r="AZ129" s="1899" t="s">
        <v>1267</v>
      </c>
      <c r="BA129" s="1904"/>
      <c r="BB129" s="1904"/>
      <c r="BC129" s="1904"/>
      <c r="BD129" s="1904"/>
      <c r="BE129" s="1904"/>
      <c r="BF129" s="1904"/>
      <c r="BG129" s="1904"/>
      <c r="BH129" s="1911"/>
      <c r="BI129" s="1904"/>
      <c r="BJ129" s="2101">
        <v>0.2</v>
      </c>
      <c r="BK129" s="1905"/>
      <c r="BL129" s="1904"/>
      <c r="BM129" s="1904"/>
      <c r="BO129" s="1898">
        <v>3.3</v>
      </c>
      <c r="BP129" s="1902" t="s">
        <v>1410</v>
      </c>
      <c r="BQ129" s="1899" t="s">
        <v>1267</v>
      </c>
      <c r="BR129" s="1904"/>
      <c r="BS129" s="1904"/>
      <c r="BT129" s="1904"/>
      <c r="BU129" s="1904"/>
      <c r="BV129" s="1904"/>
      <c r="BW129" s="1904"/>
      <c r="BX129" s="1904"/>
      <c r="BY129" s="1911"/>
      <c r="BZ129" s="1904"/>
      <c r="CA129" s="1904"/>
      <c r="CB129" s="1905"/>
      <c r="CC129" s="1904"/>
      <c r="CD129" s="1904"/>
      <c r="CE129" s="2278"/>
      <c r="CF129">
        <f>ROWS($CF$5:CF128)</f>
        <v>124</v>
      </c>
    </row>
    <row r="130" spans="1:84" hidden="1">
      <c r="B130" s="1872">
        <f t="shared" si="100"/>
        <v>3.4</v>
      </c>
      <c r="C130" s="1899" t="str">
        <f t="shared" si="80"/>
        <v>給湯設備</v>
      </c>
      <c r="D130" s="1896">
        <f t="shared" si="108"/>
        <v>0</v>
      </c>
      <c r="E130" s="1897">
        <f t="shared" si="108"/>
        <v>0</v>
      </c>
      <c r="G130" s="1897">
        <f t="shared" si="81"/>
        <v>0</v>
      </c>
      <c r="H130" s="1897">
        <f t="shared" si="82"/>
        <v>0</v>
      </c>
      <c r="I130" s="1897"/>
      <c r="J130" s="1897"/>
      <c r="K130" s="1897">
        <f>IF(スコア!M130=0,0,1)</f>
        <v>0</v>
      </c>
      <c r="L130" s="1897">
        <f>IF(スコア!O130=0,0,1)</f>
        <v>0</v>
      </c>
      <c r="M130" s="1897">
        <f t="shared" si="83"/>
        <v>1.3793103448275862E-2</v>
      </c>
      <c r="N130" s="1897">
        <f t="shared" si="102"/>
        <v>0</v>
      </c>
      <c r="P130" s="1966">
        <f t="shared" si="84"/>
        <v>3.4</v>
      </c>
      <c r="Q130" s="1898" t="str">
        <f t="shared" si="85"/>
        <v>LR1 3b</v>
      </c>
      <c r="R130" s="1899" t="str">
        <f t="shared" si="86"/>
        <v>給湯設備</v>
      </c>
      <c r="S130" s="1900">
        <f t="shared" si="87"/>
        <v>0</v>
      </c>
      <c r="T130" s="1900">
        <f t="shared" si="88"/>
        <v>0</v>
      </c>
      <c r="U130" s="1900">
        <f t="shared" si="89"/>
        <v>0</v>
      </c>
      <c r="V130" s="1900">
        <f t="shared" si="90"/>
        <v>0</v>
      </c>
      <c r="W130" s="1900">
        <f t="shared" si="91"/>
        <v>0</v>
      </c>
      <c r="X130" s="1900">
        <f t="shared" si="92"/>
        <v>0</v>
      </c>
      <c r="Y130" s="1900">
        <f t="shared" si="93"/>
        <v>0</v>
      </c>
      <c r="Z130" s="1908">
        <f t="shared" si="94"/>
        <v>0</v>
      </c>
      <c r="AA130" s="1900">
        <f t="shared" si="106"/>
        <v>0</v>
      </c>
      <c r="AB130" s="1900">
        <f t="shared" si="107"/>
        <v>0.05</v>
      </c>
      <c r="AC130" s="1901">
        <f t="shared" si="103"/>
        <v>0</v>
      </c>
      <c r="AD130" s="1900">
        <f t="shared" si="104"/>
        <v>0</v>
      </c>
      <c r="AE130" s="1900">
        <f t="shared" si="105"/>
        <v>0</v>
      </c>
      <c r="AG130" s="1966">
        <v>3.4</v>
      </c>
      <c r="AH130" s="1902" t="s">
        <v>1410</v>
      </c>
      <c r="AI130" s="1899" t="s">
        <v>1268</v>
      </c>
      <c r="AJ130" s="1904"/>
      <c r="AK130" s="1904"/>
      <c r="AL130" s="1904"/>
      <c r="AM130" s="1904"/>
      <c r="AN130" s="1904"/>
      <c r="AO130" s="1904"/>
      <c r="AP130" s="1904"/>
      <c r="AQ130" s="1911"/>
      <c r="AR130" s="1904"/>
      <c r="AS130" s="2101">
        <v>0.05</v>
      </c>
      <c r="AT130" s="1905"/>
      <c r="AU130" s="1904"/>
      <c r="AV130" s="1904"/>
      <c r="AX130" s="1966">
        <v>3.4</v>
      </c>
      <c r="AY130" s="1902" t="s">
        <v>1410</v>
      </c>
      <c r="AZ130" s="1899" t="s">
        <v>1268</v>
      </c>
      <c r="BA130" s="1904"/>
      <c r="BB130" s="1904"/>
      <c r="BC130" s="1904"/>
      <c r="BD130" s="1904"/>
      <c r="BE130" s="1904"/>
      <c r="BF130" s="1904"/>
      <c r="BG130" s="1904"/>
      <c r="BH130" s="1911"/>
      <c r="BI130" s="1904"/>
      <c r="BJ130" s="2101">
        <v>0.05</v>
      </c>
      <c r="BK130" s="1905"/>
      <c r="BL130" s="1904"/>
      <c r="BM130" s="1904"/>
      <c r="BO130" s="1966">
        <v>3.4</v>
      </c>
      <c r="BP130" s="1902" t="s">
        <v>1410</v>
      </c>
      <c r="BQ130" s="1899" t="s">
        <v>1268</v>
      </c>
      <c r="BR130" s="1904"/>
      <c r="BS130" s="1904"/>
      <c r="BT130" s="1904"/>
      <c r="BU130" s="1904"/>
      <c r="BV130" s="1904"/>
      <c r="BW130" s="1904"/>
      <c r="BX130" s="1904"/>
      <c r="BY130" s="1911"/>
      <c r="BZ130" s="1904"/>
      <c r="CA130" s="1904"/>
      <c r="CB130" s="1905"/>
      <c r="CC130" s="1904"/>
      <c r="CD130" s="1904"/>
      <c r="CE130" s="2278"/>
      <c r="CF130">
        <f>ROWS($CF$5:CF129)</f>
        <v>125</v>
      </c>
    </row>
    <row r="131" spans="1:84" hidden="1">
      <c r="B131" s="1872">
        <f t="shared" si="100"/>
        <v>3.5</v>
      </c>
      <c r="C131" s="1899" t="str">
        <f t="shared" si="80"/>
        <v>昇降機設備</v>
      </c>
      <c r="D131" s="1896">
        <f t="shared" si="108"/>
        <v>0</v>
      </c>
      <c r="E131" s="1897">
        <f t="shared" si="108"/>
        <v>0</v>
      </c>
      <c r="G131" s="1897">
        <f t="shared" si="81"/>
        <v>0</v>
      </c>
      <c r="H131" s="1897">
        <f t="shared" si="82"/>
        <v>0</v>
      </c>
      <c r="I131" s="1897"/>
      <c r="J131" s="1897"/>
      <c r="K131" s="1897">
        <f>IF(スコア!M131=0,0,1)</f>
        <v>0</v>
      </c>
      <c r="L131" s="1897">
        <f>IF(スコア!O131=0,0,1)</f>
        <v>0</v>
      </c>
      <c r="M131" s="1897">
        <f t="shared" si="83"/>
        <v>0</v>
      </c>
      <c r="N131" s="1897">
        <f t="shared" si="102"/>
        <v>0</v>
      </c>
      <c r="P131" s="1966">
        <f t="shared" si="84"/>
        <v>3.5</v>
      </c>
      <c r="Q131" s="1898" t="str">
        <f t="shared" si="85"/>
        <v>LR1 3b</v>
      </c>
      <c r="R131" s="1899" t="str">
        <f t="shared" si="86"/>
        <v>昇降機設備</v>
      </c>
      <c r="S131" s="1900">
        <f t="shared" si="87"/>
        <v>0</v>
      </c>
      <c r="T131" s="1900">
        <f t="shared" si="88"/>
        <v>0</v>
      </c>
      <c r="U131" s="1900">
        <f t="shared" si="89"/>
        <v>0</v>
      </c>
      <c r="V131" s="1900">
        <f t="shared" si="90"/>
        <v>0</v>
      </c>
      <c r="W131" s="1900">
        <f t="shared" si="91"/>
        <v>0</v>
      </c>
      <c r="X131" s="1900">
        <f t="shared" si="92"/>
        <v>0</v>
      </c>
      <c r="Y131" s="1900">
        <f t="shared" si="93"/>
        <v>0</v>
      </c>
      <c r="Z131" s="1908">
        <f t="shared" si="94"/>
        <v>0</v>
      </c>
      <c r="AA131" s="1900">
        <f t="shared" si="106"/>
        <v>0</v>
      </c>
      <c r="AB131" s="1900">
        <f t="shared" si="107"/>
        <v>0</v>
      </c>
      <c r="AC131" s="1901">
        <f t="shared" si="103"/>
        <v>0</v>
      </c>
      <c r="AD131" s="1900">
        <f t="shared" si="104"/>
        <v>0</v>
      </c>
      <c r="AE131" s="1900">
        <f t="shared" si="105"/>
        <v>0</v>
      </c>
      <c r="AG131" s="1966">
        <v>3.5</v>
      </c>
      <c r="AH131" s="1902" t="s">
        <v>1410</v>
      </c>
      <c r="AI131" s="1899" t="s">
        <v>1269</v>
      </c>
      <c r="AJ131" s="1904"/>
      <c r="AK131" s="1904"/>
      <c r="AL131" s="1904"/>
      <c r="AM131" s="1904"/>
      <c r="AN131" s="1904"/>
      <c r="AO131" s="1904"/>
      <c r="AP131" s="1904"/>
      <c r="AQ131" s="1911"/>
      <c r="AR131" s="1904"/>
      <c r="AS131" s="1904"/>
      <c r="AT131" s="1905"/>
      <c r="AU131" s="1904"/>
      <c r="AV131" s="1904"/>
      <c r="AX131" s="1966">
        <v>3.5</v>
      </c>
      <c r="AY131" s="1902" t="s">
        <v>1410</v>
      </c>
      <c r="AZ131" s="1899" t="s">
        <v>1269</v>
      </c>
      <c r="BA131" s="1904"/>
      <c r="BB131" s="1904"/>
      <c r="BC131" s="1904"/>
      <c r="BD131" s="1904"/>
      <c r="BE131" s="1904"/>
      <c r="BF131" s="1904"/>
      <c r="BG131" s="1904"/>
      <c r="BH131" s="1911"/>
      <c r="BI131" s="1904"/>
      <c r="BJ131" s="1904"/>
      <c r="BK131" s="1905"/>
      <c r="BL131" s="1904"/>
      <c r="BM131" s="1904"/>
      <c r="BO131" s="1966">
        <v>3.5</v>
      </c>
      <c r="BP131" s="1902" t="s">
        <v>1410</v>
      </c>
      <c r="BQ131" s="1899" t="s">
        <v>1269</v>
      </c>
      <c r="BR131" s="1904"/>
      <c r="BS131" s="1904"/>
      <c r="BT131" s="1904"/>
      <c r="BU131" s="1904"/>
      <c r="BV131" s="1904"/>
      <c r="BW131" s="1904"/>
      <c r="BX131" s="1904"/>
      <c r="BY131" s="1911"/>
      <c r="BZ131" s="1904"/>
      <c r="CA131" s="1904"/>
      <c r="CB131" s="1905"/>
      <c r="CC131" s="1904"/>
      <c r="CD131" s="1904"/>
      <c r="CE131" s="2278"/>
      <c r="CF131">
        <f>ROWS($CF$5:CF130)</f>
        <v>126</v>
      </c>
    </row>
    <row r="132" spans="1:84">
      <c r="B132" s="1872">
        <f t="shared" si="100"/>
        <v>3</v>
      </c>
      <c r="C132" s="1887" t="str">
        <f t="shared" si="80"/>
        <v>実績値を用いた総合評価</v>
      </c>
      <c r="D132" s="1883">
        <f>D125</f>
        <v>0</v>
      </c>
      <c r="E132" s="1884">
        <f>IF(J$124=0,0,H132/J$124)</f>
        <v>0</v>
      </c>
      <c r="F132" s="1355"/>
      <c r="G132" s="1884" t="e">
        <f>K132*M132</f>
        <v>#N/A</v>
      </c>
      <c r="H132" s="1884">
        <f>L132*N132</f>
        <v>0</v>
      </c>
      <c r="I132" s="1884"/>
      <c r="J132" s="1884"/>
      <c r="K132" s="1884" t="e">
        <f>IF(スコア!M132=0,0,1)</f>
        <v>#N/A</v>
      </c>
      <c r="L132" s="1884">
        <f>IF(スコア!O132=0,0,1)</f>
        <v>0</v>
      </c>
      <c r="M132" s="1884">
        <f>SUMPRODUCT($S$7:$AB$7,S132:AB132)</f>
        <v>0.82758620689655171</v>
      </c>
      <c r="N132" s="1884">
        <f t="shared" si="102"/>
        <v>0</v>
      </c>
      <c r="P132" s="1964">
        <f t="shared" si="84"/>
        <v>3</v>
      </c>
      <c r="Q132" s="1964" t="str">
        <f t="shared" si="85"/>
        <v>LR1 3.2</v>
      </c>
      <c r="R132" s="1887" t="str">
        <f t="shared" si="86"/>
        <v>実績値を用いた総合評価</v>
      </c>
      <c r="S132" s="1940">
        <f t="shared" si="87"/>
        <v>1</v>
      </c>
      <c r="T132" s="1940">
        <f t="shared" si="88"/>
        <v>1</v>
      </c>
      <c r="U132" s="1940">
        <f t="shared" si="89"/>
        <v>1</v>
      </c>
      <c r="V132" s="1940">
        <f t="shared" si="90"/>
        <v>1</v>
      </c>
      <c r="W132" s="1940">
        <f t="shared" si="91"/>
        <v>1</v>
      </c>
      <c r="X132" s="1940">
        <f t="shared" si="92"/>
        <v>1</v>
      </c>
      <c r="Y132" s="1940">
        <f t="shared" si="93"/>
        <v>0</v>
      </c>
      <c r="Z132" s="1889">
        <f t="shared" si="94"/>
        <v>1</v>
      </c>
      <c r="AA132" s="1940">
        <f t="shared" si="106"/>
        <v>0</v>
      </c>
      <c r="AB132" s="1940">
        <f t="shared" si="107"/>
        <v>1</v>
      </c>
      <c r="AC132" s="1901">
        <f t="shared" si="103"/>
        <v>0</v>
      </c>
      <c r="AD132" s="1900">
        <f t="shared" si="104"/>
        <v>0</v>
      </c>
      <c r="AE132" s="1900">
        <f t="shared" si="105"/>
        <v>0</v>
      </c>
      <c r="AG132" s="1966">
        <v>3</v>
      </c>
      <c r="AH132" s="2461" t="s">
        <v>3318</v>
      </c>
      <c r="AI132" s="1887" t="s">
        <v>3314</v>
      </c>
      <c r="AJ132" s="1904">
        <v>1</v>
      </c>
      <c r="AK132" s="1904">
        <v>1</v>
      </c>
      <c r="AL132" s="1904">
        <v>1</v>
      </c>
      <c r="AM132" s="1904">
        <v>1</v>
      </c>
      <c r="AN132" s="1904">
        <v>1</v>
      </c>
      <c r="AO132" s="1904">
        <v>1</v>
      </c>
      <c r="AP132" s="1904"/>
      <c r="AQ132" s="1904">
        <v>1</v>
      </c>
      <c r="AR132" s="1904"/>
      <c r="AS132" s="1904">
        <v>1</v>
      </c>
      <c r="AT132" s="1905"/>
      <c r="AU132" s="1904"/>
      <c r="AV132" s="1904"/>
      <c r="AX132" s="1966"/>
      <c r="AY132" s="1967" t="s">
        <v>163</v>
      </c>
      <c r="AZ132" s="1899"/>
      <c r="BA132" s="1904"/>
      <c r="BB132" s="1904"/>
      <c r="BC132" s="1904"/>
      <c r="BD132" s="1904"/>
      <c r="BE132" s="1904"/>
      <c r="BF132" s="1904"/>
      <c r="BG132" s="1904"/>
      <c r="BH132" s="1911"/>
      <c r="BI132" s="1904"/>
      <c r="BJ132" s="1904"/>
      <c r="BK132" s="1905"/>
      <c r="BL132" s="1904"/>
      <c r="BM132" s="1904"/>
      <c r="BO132" s="1966"/>
      <c r="BP132" s="1967" t="s">
        <v>163</v>
      </c>
      <c r="BQ132" s="1899"/>
      <c r="BR132" s="1904"/>
      <c r="BS132" s="1904"/>
      <c r="BT132" s="1904"/>
      <c r="BU132" s="1904"/>
      <c r="BV132" s="1904"/>
      <c r="BW132" s="1904"/>
      <c r="BX132" s="1904"/>
      <c r="BY132" s="1911"/>
      <c r="BZ132" s="1904"/>
      <c r="CA132" s="1904"/>
      <c r="CB132" s="1905"/>
      <c r="CC132" s="1904"/>
      <c r="CD132" s="1904"/>
      <c r="CE132" s="2278"/>
      <c r="CF132">
        <f>ROWS($CF$5:CF131)</f>
        <v>127</v>
      </c>
    </row>
    <row r="133" spans="1:84" s="1355" customFormat="1">
      <c r="A133"/>
      <c r="B133" s="1872">
        <f t="shared" si="100"/>
        <v>4</v>
      </c>
      <c r="C133" s="1887" t="str">
        <f t="shared" si="80"/>
        <v>効率的運用</v>
      </c>
      <c r="D133" s="1883" t="e">
        <f>IF(I$117=0,0,G133/I$117)</f>
        <v>#N/A</v>
      </c>
      <c r="E133" s="1884">
        <f>IF(J$117=0,0,H133/J$117)</f>
        <v>0</v>
      </c>
      <c r="F133"/>
      <c r="G133" s="1884">
        <f>K133*M133</f>
        <v>0.2</v>
      </c>
      <c r="H133" s="1884">
        <f t="shared" si="82"/>
        <v>0</v>
      </c>
      <c r="I133" s="1884">
        <f>G134+G137</f>
        <v>1</v>
      </c>
      <c r="J133" s="1884">
        <f>H134+H137</f>
        <v>0</v>
      </c>
      <c r="K133" s="1884">
        <f>IF(スコア!M133=0,0,1)</f>
        <v>1</v>
      </c>
      <c r="L133" s="1884">
        <f>IF(スコア!O133=0,0,1)</f>
        <v>0</v>
      </c>
      <c r="M133" s="1884">
        <f t="shared" ref="M133:M139" si="109">SUMPRODUCT($S$7:$AB$7,S133:AB133)</f>
        <v>0.2</v>
      </c>
      <c r="N133" s="1884">
        <f t="shared" si="102"/>
        <v>0</v>
      </c>
      <c r="O133"/>
      <c r="P133" s="1964">
        <f t="shared" si="84"/>
        <v>4</v>
      </c>
      <c r="Q133" s="1886" t="str">
        <f t="shared" si="85"/>
        <v>LR1</v>
      </c>
      <c r="R133" s="1887" t="str">
        <f t="shared" si="86"/>
        <v>効率的運用</v>
      </c>
      <c r="S133" s="1940">
        <f t="shared" si="87"/>
        <v>0.2</v>
      </c>
      <c r="T133" s="1940">
        <f t="shared" si="88"/>
        <v>0.2</v>
      </c>
      <c r="U133" s="1940">
        <f t="shared" si="89"/>
        <v>0.2</v>
      </c>
      <c r="V133" s="1940">
        <f t="shared" si="90"/>
        <v>0.2</v>
      </c>
      <c r="W133" s="1940">
        <f t="shared" si="91"/>
        <v>0.2</v>
      </c>
      <c r="X133" s="1940">
        <f t="shared" si="92"/>
        <v>0.2</v>
      </c>
      <c r="Y133" s="1940">
        <f t="shared" si="93"/>
        <v>0.2</v>
      </c>
      <c r="Z133" s="1889">
        <f t="shared" si="94"/>
        <v>0.2</v>
      </c>
      <c r="AA133" s="1940">
        <f t="shared" si="106"/>
        <v>0.25</v>
      </c>
      <c r="AB133" s="1940">
        <f t="shared" si="107"/>
        <v>0.2</v>
      </c>
      <c r="AC133" s="1890">
        <f t="shared" si="103"/>
        <v>0</v>
      </c>
      <c r="AD133" s="1888">
        <f t="shared" si="104"/>
        <v>0</v>
      </c>
      <c r="AE133" s="1888">
        <f t="shared" si="105"/>
        <v>0</v>
      </c>
      <c r="AF133"/>
      <c r="AG133" s="1964">
        <v>4</v>
      </c>
      <c r="AH133" s="1891" t="s">
        <v>1757</v>
      </c>
      <c r="AI133" s="1887" t="s">
        <v>1270</v>
      </c>
      <c r="AJ133" s="1942">
        <v>0.2</v>
      </c>
      <c r="AK133" s="1942">
        <v>0.2</v>
      </c>
      <c r="AL133" s="1942">
        <v>0.2</v>
      </c>
      <c r="AM133" s="1942">
        <v>0.2</v>
      </c>
      <c r="AN133" s="1942">
        <v>0.2</v>
      </c>
      <c r="AO133" s="1942">
        <v>0.2</v>
      </c>
      <c r="AP133" s="1942">
        <v>0.2</v>
      </c>
      <c r="AQ133" s="1942">
        <v>0.2</v>
      </c>
      <c r="AR133" s="1942">
        <v>0.25</v>
      </c>
      <c r="AS133" s="1942">
        <v>0.2</v>
      </c>
      <c r="AT133" s="1893"/>
      <c r="AU133" s="1892"/>
      <c r="AV133" s="1892"/>
      <c r="AW133"/>
      <c r="AX133" s="1964">
        <v>4</v>
      </c>
      <c r="AY133" s="1891" t="s">
        <v>1757</v>
      </c>
      <c r="AZ133" s="1887" t="s">
        <v>1270</v>
      </c>
      <c r="BA133" s="1942">
        <v>0.2</v>
      </c>
      <c r="BB133" s="1942">
        <v>0.2</v>
      </c>
      <c r="BC133" s="1942">
        <v>0.2</v>
      </c>
      <c r="BD133" s="1942">
        <v>0.2</v>
      </c>
      <c r="BE133" s="1942">
        <v>0.2</v>
      </c>
      <c r="BF133" s="1942">
        <v>0.2</v>
      </c>
      <c r="BG133" s="1942">
        <v>0.2</v>
      </c>
      <c r="BH133" s="1942">
        <v>0.2</v>
      </c>
      <c r="BI133" s="1942">
        <v>0.25</v>
      </c>
      <c r="BJ133" s="1942">
        <v>0.2</v>
      </c>
      <c r="BK133" s="1893"/>
      <c r="BL133" s="1892"/>
      <c r="BM133" s="1892"/>
      <c r="BN133"/>
      <c r="BO133" s="1964">
        <v>4</v>
      </c>
      <c r="BP133" s="1891" t="s">
        <v>1757</v>
      </c>
      <c r="BQ133" s="1887" t="s">
        <v>1270</v>
      </c>
      <c r="BR133" s="1942">
        <v>0.2</v>
      </c>
      <c r="BS133" s="1942">
        <v>0.2</v>
      </c>
      <c r="BT133" s="1942">
        <v>0.2</v>
      </c>
      <c r="BU133" s="1942">
        <v>0.2</v>
      </c>
      <c r="BV133" s="1942">
        <v>0.2</v>
      </c>
      <c r="BW133" s="1942">
        <v>0.2</v>
      </c>
      <c r="BX133" s="1942">
        <v>0.2</v>
      </c>
      <c r="BY133" s="1942">
        <v>0.2</v>
      </c>
      <c r="BZ133" s="1942">
        <v>0.25</v>
      </c>
      <c r="CA133" s="1942">
        <v>0.2</v>
      </c>
      <c r="CB133" s="1893"/>
      <c r="CC133" s="1892"/>
      <c r="CD133" s="1892"/>
      <c r="CE133" s="2277"/>
      <c r="CF133">
        <f>ROWS($CF$5:CF132)</f>
        <v>128</v>
      </c>
    </row>
    <row r="134" spans="1:84">
      <c r="B134" s="1872">
        <f t="shared" si="100"/>
        <v>4.0999999999999996</v>
      </c>
      <c r="C134" s="1899" t="str">
        <f t="shared" si="80"/>
        <v>住宅以外の評価</v>
      </c>
      <c r="D134" s="1896">
        <f>IF(I$133=0,0,G134/I$133)</f>
        <v>0.82758620689655171</v>
      </c>
      <c r="E134" s="1896">
        <f>IF(J$133=0,0,H134/J$133)</f>
        <v>0</v>
      </c>
      <c r="G134" s="1897">
        <f t="shared" si="81"/>
        <v>0.82758620689655171</v>
      </c>
      <c r="H134" s="1897">
        <f t="shared" si="82"/>
        <v>0</v>
      </c>
      <c r="I134" s="1897">
        <f>SUM(G135:G136)</f>
        <v>0.82758620689655171</v>
      </c>
      <c r="J134" s="1897">
        <f>SUM(H135:H136)</f>
        <v>0</v>
      </c>
      <c r="K134" s="1897">
        <f>IF(スコア!M134=0,0,1)</f>
        <v>1</v>
      </c>
      <c r="L134" s="1897">
        <f>IF(スコア!O134=0,0,1)</f>
        <v>0</v>
      </c>
      <c r="M134" s="1897">
        <f t="shared" si="109"/>
        <v>0.82758620689655171</v>
      </c>
      <c r="N134" s="1897">
        <f t="shared" ref="N134:N139" si="110">(AC$7*AC134)+(AD$7*AD134)+(AE$7*AE134)</f>
        <v>0</v>
      </c>
      <c r="P134" s="1898">
        <f t="shared" si="84"/>
        <v>4.0999999999999996</v>
      </c>
      <c r="Q134" s="1898" t="str">
        <f t="shared" si="85"/>
        <v>LR1 4</v>
      </c>
      <c r="R134" s="1899" t="str">
        <f t="shared" si="86"/>
        <v>住宅以外の評価</v>
      </c>
      <c r="S134" s="1900">
        <f t="shared" si="87"/>
        <v>1</v>
      </c>
      <c r="T134" s="1900">
        <f t="shared" si="88"/>
        <v>1</v>
      </c>
      <c r="U134" s="1900">
        <f t="shared" si="89"/>
        <v>1</v>
      </c>
      <c r="V134" s="1900">
        <f t="shared" si="90"/>
        <v>1</v>
      </c>
      <c r="W134" s="1900">
        <f t="shared" si="91"/>
        <v>1</v>
      </c>
      <c r="X134" s="1900">
        <f t="shared" si="92"/>
        <v>1</v>
      </c>
      <c r="Y134" s="1900">
        <f t="shared" si="93"/>
        <v>0</v>
      </c>
      <c r="Z134" s="1908">
        <f t="shared" si="94"/>
        <v>1</v>
      </c>
      <c r="AA134" s="1900">
        <f t="shared" si="106"/>
        <v>1</v>
      </c>
      <c r="AB134" s="1900">
        <f t="shared" si="107"/>
        <v>1</v>
      </c>
      <c r="AC134" s="1901">
        <f t="shared" si="103"/>
        <v>0</v>
      </c>
      <c r="AD134" s="1953">
        <f t="shared" si="104"/>
        <v>0</v>
      </c>
      <c r="AE134" s="1953">
        <f t="shared" si="105"/>
        <v>0</v>
      </c>
      <c r="AG134" s="1898">
        <v>4.0999999999999996</v>
      </c>
      <c r="AH134" s="1902" t="s">
        <v>165</v>
      </c>
      <c r="AI134" s="1899" t="s">
        <v>1609</v>
      </c>
      <c r="AJ134" s="1904">
        <v>1</v>
      </c>
      <c r="AK134" s="1904">
        <v>1</v>
      </c>
      <c r="AL134" s="1904">
        <v>1</v>
      </c>
      <c r="AM134" s="1904">
        <v>1</v>
      </c>
      <c r="AN134" s="1904">
        <v>1</v>
      </c>
      <c r="AO134" s="1904">
        <v>1</v>
      </c>
      <c r="AP134" s="1904"/>
      <c r="AQ134" s="1904">
        <v>1</v>
      </c>
      <c r="AR134" s="1904">
        <v>1</v>
      </c>
      <c r="AS134" s="1904">
        <v>1</v>
      </c>
      <c r="AT134" s="1905"/>
      <c r="AU134" s="1955"/>
      <c r="AV134" s="1955"/>
      <c r="AX134" s="1898">
        <v>4.0999999999999996</v>
      </c>
      <c r="AY134" s="1902" t="s">
        <v>165</v>
      </c>
      <c r="AZ134" s="1899" t="s">
        <v>1609</v>
      </c>
      <c r="BA134" s="1904">
        <v>1</v>
      </c>
      <c r="BB134" s="1904">
        <v>1</v>
      </c>
      <c r="BC134" s="1904">
        <v>1</v>
      </c>
      <c r="BD134" s="1904">
        <v>1</v>
      </c>
      <c r="BE134" s="1904">
        <v>1</v>
      </c>
      <c r="BF134" s="1904">
        <v>1</v>
      </c>
      <c r="BG134" s="1904"/>
      <c r="BH134" s="1904">
        <v>1</v>
      </c>
      <c r="BI134" s="1904">
        <v>1</v>
      </c>
      <c r="BJ134" s="1904">
        <v>1</v>
      </c>
      <c r="BK134" s="1905"/>
      <c r="BL134" s="1955"/>
      <c r="BM134" s="1955"/>
      <c r="BO134" s="1898">
        <v>4.0999999999999996</v>
      </c>
      <c r="BP134" s="1902" t="s">
        <v>165</v>
      </c>
      <c r="BQ134" s="1899" t="s">
        <v>1609</v>
      </c>
      <c r="BR134" s="1904">
        <v>1</v>
      </c>
      <c r="BS134" s="1904">
        <v>1</v>
      </c>
      <c r="BT134" s="1904">
        <v>1</v>
      </c>
      <c r="BU134" s="1904">
        <v>1</v>
      </c>
      <c r="BV134" s="1904">
        <v>1</v>
      </c>
      <c r="BW134" s="1904">
        <v>1</v>
      </c>
      <c r="BX134" s="1904"/>
      <c r="BY134" s="1904">
        <v>1</v>
      </c>
      <c r="BZ134" s="1904">
        <v>1</v>
      </c>
      <c r="CA134" s="1904">
        <v>1</v>
      </c>
      <c r="CB134" s="1905"/>
      <c r="CC134" s="1955"/>
      <c r="CD134" s="1955"/>
      <c r="CE134" s="2281"/>
      <c r="CF134">
        <f>ROWS($CF$5:CF133)</f>
        <v>129</v>
      </c>
    </row>
    <row r="135" spans="1:84">
      <c r="B135" s="1872" t="str">
        <f>P135</f>
        <v>4.1.1</v>
      </c>
      <c r="C135" s="1899" t="str">
        <f>R135</f>
        <v>モニタリング</v>
      </c>
      <c r="D135" s="1896">
        <f>IF(I$134=0,0,G135/I$134)</f>
        <v>0.5</v>
      </c>
      <c r="E135" s="1896">
        <f>IF(J$134=0,0,H135/J$134)</f>
        <v>0</v>
      </c>
      <c r="G135" s="1897">
        <f t="shared" si="81"/>
        <v>0.41379310344827586</v>
      </c>
      <c r="H135" s="1897">
        <f t="shared" si="82"/>
        <v>0</v>
      </c>
      <c r="I135" s="1897"/>
      <c r="J135" s="1897"/>
      <c r="K135" s="1897">
        <f>IF(スコア!M135=0,0,1)</f>
        <v>1</v>
      </c>
      <c r="L135" s="1897">
        <f>IF(スコア!O135=0,0,1)</f>
        <v>0</v>
      </c>
      <c r="M135" s="1897">
        <f t="shared" si="109"/>
        <v>0.41379310344827586</v>
      </c>
      <c r="N135" s="1897">
        <f t="shared" si="110"/>
        <v>0</v>
      </c>
      <c r="P135" s="1898" t="str">
        <f t="shared" si="84"/>
        <v>4.1.1</v>
      </c>
      <c r="Q135" s="1898" t="str">
        <f t="shared" si="85"/>
        <v>LR1 4.1</v>
      </c>
      <c r="R135" s="1899" t="str">
        <f t="shared" si="86"/>
        <v>モニタリング</v>
      </c>
      <c r="S135" s="1900">
        <f t="shared" si="87"/>
        <v>0.5</v>
      </c>
      <c r="T135" s="1900">
        <f t="shared" si="88"/>
        <v>0.5</v>
      </c>
      <c r="U135" s="1900">
        <f t="shared" si="89"/>
        <v>0.5</v>
      </c>
      <c r="V135" s="1900">
        <f t="shared" si="90"/>
        <v>0.5</v>
      </c>
      <c r="W135" s="1900">
        <f t="shared" si="91"/>
        <v>0.5</v>
      </c>
      <c r="X135" s="1900">
        <f t="shared" si="92"/>
        <v>0.5</v>
      </c>
      <c r="Y135" s="1900">
        <f t="shared" si="93"/>
        <v>0</v>
      </c>
      <c r="Z135" s="1908">
        <f t="shared" si="94"/>
        <v>0.5</v>
      </c>
      <c r="AA135" s="1900">
        <f t="shared" ref="AA135:AE139" si="111">IF($P$3=1,BI135,IF($P$3=2,BZ135,AR135))</f>
        <v>0.5</v>
      </c>
      <c r="AB135" s="1900">
        <f t="shared" si="111"/>
        <v>0.5</v>
      </c>
      <c r="AC135" s="1901">
        <f t="shared" si="111"/>
        <v>0</v>
      </c>
      <c r="AD135" s="1953">
        <f t="shared" si="111"/>
        <v>0</v>
      </c>
      <c r="AE135" s="1953">
        <f t="shared" si="111"/>
        <v>0</v>
      </c>
      <c r="AG135" s="1898" t="s">
        <v>1602</v>
      </c>
      <c r="AH135" s="1902" t="s">
        <v>1606</v>
      </c>
      <c r="AI135" s="1899" t="s">
        <v>1926</v>
      </c>
      <c r="AJ135" s="1904">
        <v>0.5</v>
      </c>
      <c r="AK135" s="1904">
        <v>0.5</v>
      </c>
      <c r="AL135" s="1904">
        <v>0.5</v>
      </c>
      <c r="AM135" s="1904">
        <v>0.5</v>
      </c>
      <c r="AN135" s="1904">
        <v>0.5</v>
      </c>
      <c r="AO135" s="1904">
        <v>0.5</v>
      </c>
      <c r="AP135" s="1904"/>
      <c r="AQ135" s="1904">
        <v>0.5</v>
      </c>
      <c r="AR135" s="1904">
        <v>0.5</v>
      </c>
      <c r="AS135" s="1904">
        <v>0.5</v>
      </c>
      <c r="AT135" s="1905"/>
      <c r="AU135" s="1955"/>
      <c r="AV135" s="1955"/>
      <c r="AX135" s="1898" t="s">
        <v>1602</v>
      </c>
      <c r="AY135" s="1902" t="s">
        <v>1606</v>
      </c>
      <c r="AZ135" s="1899" t="s">
        <v>1926</v>
      </c>
      <c r="BA135" s="1904">
        <v>0.5</v>
      </c>
      <c r="BB135" s="1904">
        <v>0.5</v>
      </c>
      <c r="BC135" s="1904">
        <v>0.5</v>
      </c>
      <c r="BD135" s="1904">
        <v>0.5</v>
      </c>
      <c r="BE135" s="1904">
        <v>0.5</v>
      </c>
      <c r="BF135" s="1904">
        <v>0.5</v>
      </c>
      <c r="BG135" s="1904"/>
      <c r="BH135" s="1904">
        <v>0.5</v>
      </c>
      <c r="BI135" s="1904">
        <v>0.5</v>
      </c>
      <c r="BJ135" s="1904">
        <v>0.5</v>
      </c>
      <c r="BK135" s="1905"/>
      <c r="BL135" s="1955"/>
      <c r="BM135" s="1955"/>
      <c r="BO135" s="1898" t="s">
        <v>1602</v>
      </c>
      <c r="BP135" s="1902" t="s">
        <v>1606</v>
      </c>
      <c r="BQ135" s="1899" t="s">
        <v>1926</v>
      </c>
      <c r="BR135" s="1904">
        <v>0.5</v>
      </c>
      <c r="BS135" s="1904">
        <v>0.5</v>
      </c>
      <c r="BT135" s="1904">
        <v>0.5</v>
      </c>
      <c r="BU135" s="1904">
        <v>0.5</v>
      </c>
      <c r="BV135" s="1904">
        <v>0.5</v>
      </c>
      <c r="BW135" s="1904">
        <v>0.5</v>
      </c>
      <c r="BX135" s="1904"/>
      <c r="BY135" s="1904">
        <v>0.5</v>
      </c>
      <c r="BZ135" s="1904">
        <v>0.5</v>
      </c>
      <c r="CA135" s="1904">
        <v>0.5</v>
      </c>
      <c r="CB135" s="1905"/>
      <c r="CC135" s="1955"/>
      <c r="CD135" s="1955"/>
      <c r="CE135" s="2281"/>
    </row>
    <row r="136" spans="1:84">
      <c r="B136" s="1872" t="str">
        <f>P136</f>
        <v>4.1.2</v>
      </c>
      <c r="C136" s="1899" t="str">
        <f>R136</f>
        <v>運用管理体制</v>
      </c>
      <c r="D136" s="1885">
        <f>IF(I$134&gt;0,G136/I$134,0)</f>
        <v>0.5</v>
      </c>
      <c r="E136" s="1885">
        <f>IF(J$134&gt;0,H136/J$134,0)</f>
        <v>0</v>
      </c>
      <c r="G136" s="1897">
        <f t="shared" si="81"/>
        <v>0.41379310344827586</v>
      </c>
      <c r="H136" s="1897">
        <f t="shared" si="82"/>
        <v>0</v>
      </c>
      <c r="I136" s="1897"/>
      <c r="J136" s="1897"/>
      <c r="K136" s="1897">
        <f>IF(スコア!M136=0,0,1)</f>
        <v>1</v>
      </c>
      <c r="L136" s="1897">
        <f>IF(スコア!O136=0,0,1)</f>
        <v>0</v>
      </c>
      <c r="M136" s="1897">
        <f t="shared" si="109"/>
        <v>0.41379310344827586</v>
      </c>
      <c r="N136" s="1897">
        <f t="shared" si="110"/>
        <v>0</v>
      </c>
      <c r="P136" s="1898" t="str">
        <f t="shared" si="84"/>
        <v>4.1.2</v>
      </c>
      <c r="Q136" s="1898" t="str">
        <f t="shared" si="85"/>
        <v>LR1 4.1</v>
      </c>
      <c r="R136" s="1899" t="str">
        <f t="shared" si="86"/>
        <v>運用管理体制</v>
      </c>
      <c r="S136" s="1900">
        <f t="shared" si="87"/>
        <v>0.5</v>
      </c>
      <c r="T136" s="1900">
        <f t="shared" si="88"/>
        <v>0.5</v>
      </c>
      <c r="U136" s="1900">
        <f t="shared" si="89"/>
        <v>0.5</v>
      </c>
      <c r="V136" s="1900">
        <f t="shared" si="90"/>
        <v>0.5</v>
      </c>
      <c r="W136" s="1900">
        <f t="shared" si="91"/>
        <v>0.5</v>
      </c>
      <c r="X136" s="1900">
        <f t="shared" si="92"/>
        <v>0.5</v>
      </c>
      <c r="Y136" s="1900">
        <f t="shared" si="93"/>
        <v>0</v>
      </c>
      <c r="Z136" s="1908">
        <f t="shared" si="94"/>
        <v>0.5</v>
      </c>
      <c r="AA136" s="1900">
        <f t="shared" si="111"/>
        <v>0.5</v>
      </c>
      <c r="AB136" s="1900">
        <f t="shared" si="111"/>
        <v>0.5</v>
      </c>
      <c r="AC136" s="1901">
        <f t="shared" si="111"/>
        <v>0</v>
      </c>
      <c r="AD136" s="1953">
        <f t="shared" si="111"/>
        <v>0</v>
      </c>
      <c r="AE136" s="1953">
        <f t="shared" si="111"/>
        <v>0</v>
      </c>
      <c r="AG136" s="1898" t="s">
        <v>1603</v>
      </c>
      <c r="AH136" s="1902" t="s">
        <v>1607</v>
      </c>
      <c r="AI136" s="1899" t="s">
        <v>1271</v>
      </c>
      <c r="AJ136" s="1904">
        <v>0.5</v>
      </c>
      <c r="AK136" s="1904">
        <v>0.5</v>
      </c>
      <c r="AL136" s="1904">
        <v>0.5</v>
      </c>
      <c r="AM136" s="1904">
        <v>0.5</v>
      </c>
      <c r="AN136" s="1904">
        <v>0.5</v>
      </c>
      <c r="AO136" s="1904">
        <v>0.5</v>
      </c>
      <c r="AP136" s="1904"/>
      <c r="AQ136" s="1904">
        <v>0.5</v>
      </c>
      <c r="AR136" s="1904">
        <v>0.5</v>
      </c>
      <c r="AS136" s="1904">
        <v>0.5</v>
      </c>
      <c r="AT136" s="1905"/>
      <c r="AU136" s="1955"/>
      <c r="AV136" s="1955"/>
      <c r="AX136" s="1898" t="s">
        <v>1603</v>
      </c>
      <c r="AY136" s="1902" t="s">
        <v>1607</v>
      </c>
      <c r="AZ136" s="1899" t="s">
        <v>1271</v>
      </c>
      <c r="BA136" s="1904">
        <v>0.5</v>
      </c>
      <c r="BB136" s="1904">
        <v>0.5</v>
      </c>
      <c r="BC136" s="1904">
        <v>0.5</v>
      </c>
      <c r="BD136" s="1904">
        <v>0.5</v>
      </c>
      <c r="BE136" s="1904">
        <v>0.5</v>
      </c>
      <c r="BF136" s="1904">
        <v>0.5</v>
      </c>
      <c r="BG136" s="1904"/>
      <c r="BH136" s="1904">
        <v>0.5</v>
      </c>
      <c r="BI136" s="1904">
        <v>0.5</v>
      </c>
      <c r="BJ136" s="1904">
        <v>0.5</v>
      </c>
      <c r="BK136" s="1905"/>
      <c r="BL136" s="1955"/>
      <c r="BM136" s="1955"/>
      <c r="BO136" s="1898" t="s">
        <v>1603</v>
      </c>
      <c r="BP136" s="1902" t="s">
        <v>1607</v>
      </c>
      <c r="BQ136" s="1899" t="s">
        <v>1271</v>
      </c>
      <c r="BR136" s="1904">
        <v>0.5</v>
      </c>
      <c r="BS136" s="1904">
        <v>0.5</v>
      </c>
      <c r="BT136" s="1904">
        <v>0.5</v>
      </c>
      <c r="BU136" s="1904">
        <v>0.5</v>
      </c>
      <c r="BV136" s="1904">
        <v>0.5</v>
      </c>
      <c r="BW136" s="1904">
        <v>0.5</v>
      </c>
      <c r="BX136" s="1904"/>
      <c r="BY136" s="1904">
        <v>0.5</v>
      </c>
      <c r="BZ136" s="1904">
        <v>0.5</v>
      </c>
      <c r="CA136" s="1904">
        <v>0.5</v>
      </c>
      <c r="CB136" s="1905"/>
      <c r="CC136" s="1955"/>
      <c r="CD136" s="1955"/>
      <c r="CE136" s="2281"/>
    </row>
    <row r="137" spans="1:84">
      <c r="B137" s="1872">
        <f>P137</f>
        <v>4.2</v>
      </c>
      <c r="C137" s="1899" t="str">
        <f>R137</f>
        <v>住宅の評価</v>
      </c>
      <c r="D137" s="1896">
        <f>IF(I$133=0,0,G137/I$133)</f>
        <v>0.17241379310344829</v>
      </c>
      <c r="E137" s="1896">
        <f>IF(J$133=0,0,H137/J$133)</f>
        <v>0</v>
      </c>
      <c r="G137" s="1897">
        <f t="shared" ref="G137:H139" si="112">K137*M137</f>
        <v>0.17241379310344829</v>
      </c>
      <c r="H137" s="1897">
        <f t="shared" si="112"/>
        <v>0</v>
      </c>
      <c r="I137" s="1897">
        <f>SUM(G138:G139)</f>
        <v>0.17241379310344829</v>
      </c>
      <c r="J137" s="1897">
        <f>SUM(H138:H139)</f>
        <v>0</v>
      </c>
      <c r="K137" s="1897">
        <f>IF(スコア!M137=0,0,1)</f>
        <v>1</v>
      </c>
      <c r="L137" s="1897">
        <f>IF(スコア!O137=0,0,1)</f>
        <v>0</v>
      </c>
      <c r="M137" s="1897">
        <f t="shared" si="109"/>
        <v>0.17241379310344829</v>
      </c>
      <c r="N137" s="1897">
        <f t="shared" si="110"/>
        <v>0</v>
      </c>
      <c r="P137" s="1898">
        <f t="shared" ref="P137:P168" si="113">IF($P$3=1,AX137,IF($P$3=2,BO137,AG137))</f>
        <v>4.2</v>
      </c>
      <c r="Q137" s="1898" t="str">
        <f t="shared" ref="Q137:Q168" si="114">IF($P$3=1,AY137,IF($P$3=2,BP137,AH137))</f>
        <v>LR1 4</v>
      </c>
      <c r="R137" s="1899" t="str">
        <f t="shared" ref="R137:R168" si="115">IF($P$3=1,AZ137,IF($P$3=2,BQ137,AI137))</f>
        <v>住宅の評価</v>
      </c>
      <c r="S137" s="1900">
        <f t="shared" ref="S137:S168" si="116">IF($P$3=1,BA137,IF($P$3=2,BR137,AJ137))</f>
        <v>0</v>
      </c>
      <c r="T137" s="1900">
        <f t="shared" ref="T137:T168" si="117">IF($P$3=1,BB137,IF($P$3=2,BS137,AK137))</f>
        <v>0</v>
      </c>
      <c r="U137" s="1900">
        <f t="shared" ref="U137:U168" si="118">IF($P$3=1,BC137,IF($P$3=2,BT137,AL137))</f>
        <v>0</v>
      </c>
      <c r="V137" s="1900">
        <f t="shared" ref="V137:V168" si="119">IF($P$3=1,BD137,IF($P$3=2,BU137,AM137))</f>
        <v>0</v>
      </c>
      <c r="W137" s="1900">
        <f t="shared" ref="W137:W168" si="120">IF($P$3=1,BE137,IF($P$3=2,BV137,AN137))</f>
        <v>0</v>
      </c>
      <c r="X137" s="1900">
        <f t="shared" ref="X137:X168" si="121">IF($P$3=1,BF137,IF($P$3=2,BW137,AO137))</f>
        <v>0</v>
      </c>
      <c r="Y137" s="1900">
        <f t="shared" ref="Y137:Y168" si="122">IF($P$3=1,BG137,IF($P$3=2,BX137,AP137))</f>
        <v>1</v>
      </c>
      <c r="Z137" s="1908">
        <f t="shared" ref="Z137:Z168" si="123">IF($P$3=1,BH137,IF($P$3=2,BY137,AQ137))</f>
        <v>0</v>
      </c>
      <c r="AA137" s="1900">
        <f t="shared" si="111"/>
        <v>0</v>
      </c>
      <c r="AB137" s="1900">
        <f t="shared" si="111"/>
        <v>0</v>
      </c>
      <c r="AC137" s="1901">
        <f t="shared" si="111"/>
        <v>0</v>
      </c>
      <c r="AD137" s="1953">
        <f t="shared" si="111"/>
        <v>0</v>
      </c>
      <c r="AE137" s="1953">
        <f t="shared" si="111"/>
        <v>0</v>
      </c>
      <c r="AG137" s="1898">
        <v>4.2</v>
      </c>
      <c r="AH137" s="1902" t="s">
        <v>165</v>
      </c>
      <c r="AI137" s="1899" t="s">
        <v>1610</v>
      </c>
      <c r="AJ137" s="1904"/>
      <c r="AK137" s="1904"/>
      <c r="AL137" s="1904"/>
      <c r="AM137" s="1904"/>
      <c r="AN137" s="1904"/>
      <c r="AO137" s="1904"/>
      <c r="AP137" s="1904">
        <v>1</v>
      </c>
      <c r="AQ137" s="1911"/>
      <c r="AR137" s="1904"/>
      <c r="AS137" s="1904"/>
      <c r="AT137" s="1905"/>
      <c r="AU137" s="1955"/>
      <c r="AV137" s="1955"/>
      <c r="AX137" s="1898">
        <v>4.2</v>
      </c>
      <c r="AY137" s="1902" t="s">
        <v>165</v>
      </c>
      <c r="AZ137" s="1899" t="s">
        <v>1610</v>
      </c>
      <c r="BA137" s="1904"/>
      <c r="BB137" s="1904"/>
      <c r="BC137" s="1904"/>
      <c r="BD137" s="1904"/>
      <c r="BE137" s="1904"/>
      <c r="BF137" s="1904"/>
      <c r="BG137" s="1904">
        <v>1</v>
      </c>
      <c r="BH137" s="1911"/>
      <c r="BI137" s="1904"/>
      <c r="BJ137" s="1904"/>
      <c r="BK137" s="1905"/>
      <c r="BL137" s="1955"/>
      <c r="BM137" s="1955"/>
      <c r="BO137" s="1898">
        <v>4.2</v>
      </c>
      <c r="BP137" s="1902" t="s">
        <v>165</v>
      </c>
      <c r="BQ137" s="1899" t="s">
        <v>1610</v>
      </c>
      <c r="BR137" s="1904"/>
      <c r="BS137" s="1904"/>
      <c r="BT137" s="1904"/>
      <c r="BU137" s="1904"/>
      <c r="BV137" s="1904"/>
      <c r="BW137" s="1904"/>
      <c r="BX137" s="1904">
        <v>1</v>
      </c>
      <c r="BY137" s="1911"/>
      <c r="BZ137" s="1904"/>
      <c r="CA137" s="1904"/>
      <c r="CB137" s="1905"/>
      <c r="CC137" s="1955"/>
      <c r="CD137" s="1955"/>
      <c r="CE137" s="2281"/>
    </row>
    <row r="138" spans="1:84">
      <c r="B138" s="1872" t="str">
        <f>P138</f>
        <v>4.2.1</v>
      </c>
      <c r="C138" s="1899" t="str">
        <f>R138</f>
        <v>住まい方の提示</v>
      </c>
      <c r="D138" s="1885">
        <f>IF(I$137&gt;0,G138/I$137,0)</f>
        <v>0.5</v>
      </c>
      <c r="E138" s="1885">
        <f>IF(J$137&gt;0,H138/J$137,0)</f>
        <v>0</v>
      </c>
      <c r="G138" s="1897">
        <f t="shared" si="112"/>
        <v>8.6206896551724144E-2</v>
      </c>
      <c r="H138" s="1897">
        <f t="shared" si="112"/>
        <v>0</v>
      </c>
      <c r="I138" s="1897"/>
      <c r="J138" s="1897"/>
      <c r="K138" s="1897">
        <f>IF(スコア!M138=0,0,1)</f>
        <v>1</v>
      </c>
      <c r="L138" s="1897">
        <f>IF(スコア!O138=0,0,1)</f>
        <v>0</v>
      </c>
      <c r="M138" s="1897">
        <f t="shared" si="109"/>
        <v>8.6206896551724144E-2</v>
      </c>
      <c r="N138" s="1897">
        <f t="shared" si="110"/>
        <v>0</v>
      </c>
      <c r="P138" s="1898" t="str">
        <f t="shared" si="113"/>
        <v>4.2.1</v>
      </c>
      <c r="Q138" s="1898" t="str">
        <f t="shared" si="114"/>
        <v>LR1 4.2</v>
      </c>
      <c r="R138" s="1899" t="str">
        <f t="shared" si="115"/>
        <v>住まい方の提示</v>
      </c>
      <c r="S138" s="1900">
        <f t="shared" si="116"/>
        <v>0</v>
      </c>
      <c r="T138" s="1900">
        <f t="shared" si="117"/>
        <v>0</v>
      </c>
      <c r="U138" s="1900">
        <f t="shared" si="118"/>
        <v>0</v>
      </c>
      <c r="V138" s="1900">
        <f t="shared" si="119"/>
        <v>0</v>
      </c>
      <c r="W138" s="1900">
        <f t="shared" si="120"/>
        <v>0</v>
      </c>
      <c r="X138" s="1900">
        <f t="shared" si="121"/>
        <v>0</v>
      </c>
      <c r="Y138" s="1900">
        <f t="shared" si="122"/>
        <v>0.5</v>
      </c>
      <c r="Z138" s="1908">
        <f t="shared" si="123"/>
        <v>0</v>
      </c>
      <c r="AA138" s="1900">
        <f t="shared" si="111"/>
        <v>0</v>
      </c>
      <c r="AB138" s="1900">
        <f t="shared" si="111"/>
        <v>0</v>
      </c>
      <c r="AC138" s="1901">
        <f t="shared" si="111"/>
        <v>0</v>
      </c>
      <c r="AD138" s="1953">
        <f t="shared" si="111"/>
        <v>0</v>
      </c>
      <c r="AE138" s="1953">
        <f t="shared" si="111"/>
        <v>0</v>
      </c>
      <c r="AG138" s="1898" t="s">
        <v>1604</v>
      </c>
      <c r="AH138" s="1902" t="s">
        <v>1608</v>
      </c>
      <c r="AI138" s="1899" t="s">
        <v>1596</v>
      </c>
      <c r="AJ138" s="1904"/>
      <c r="AK138" s="1904"/>
      <c r="AL138" s="1904"/>
      <c r="AM138" s="1904"/>
      <c r="AN138" s="1904"/>
      <c r="AO138" s="1904"/>
      <c r="AP138" s="1904">
        <v>0.5</v>
      </c>
      <c r="AQ138" s="1911"/>
      <c r="AR138" s="1904"/>
      <c r="AS138" s="1904"/>
      <c r="AT138" s="1905"/>
      <c r="AU138" s="1955"/>
      <c r="AV138" s="1955"/>
      <c r="AX138" s="1898" t="s">
        <v>1604</v>
      </c>
      <c r="AY138" s="1902" t="s">
        <v>1608</v>
      </c>
      <c r="AZ138" s="1899" t="s">
        <v>1005</v>
      </c>
      <c r="BA138" s="1904"/>
      <c r="BB138" s="1904"/>
      <c r="BC138" s="1904"/>
      <c r="BD138" s="1904"/>
      <c r="BE138" s="1904"/>
      <c r="BF138" s="1904"/>
      <c r="BG138" s="1904">
        <v>0.5</v>
      </c>
      <c r="BH138" s="1911"/>
      <c r="BI138" s="1904"/>
      <c r="BJ138" s="1904"/>
      <c r="BK138" s="1905"/>
      <c r="BL138" s="1955"/>
      <c r="BM138" s="1955"/>
      <c r="BO138" s="1898" t="s">
        <v>1604</v>
      </c>
      <c r="BP138" s="1902" t="s">
        <v>1608</v>
      </c>
      <c r="BQ138" s="1899" t="s">
        <v>1005</v>
      </c>
      <c r="BR138" s="1904"/>
      <c r="BS138" s="1904"/>
      <c r="BT138" s="1904"/>
      <c r="BU138" s="1904"/>
      <c r="BV138" s="1904"/>
      <c r="BW138" s="1904"/>
      <c r="BX138" s="1904">
        <v>0.5</v>
      </c>
      <c r="BY138" s="1911"/>
      <c r="BZ138" s="1904"/>
      <c r="CA138" s="1904"/>
      <c r="CB138" s="1905"/>
      <c r="CC138" s="1955"/>
      <c r="CD138" s="1955"/>
      <c r="CE138" s="2281"/>
    </row>
    <row r="139" spans="1:84">
      <c r="B139" s="1872" t="str">
        <f>P139</f>
        <v>4.2.2</v>
      </c>
      <c r="C139" s="1899" t="str">
        <f>R139</f>
        <v>エネルギーの管理と制御</v>
      </c>
      <c r="D139" s="1885">
        <f>IF(I$137&gt;0,G139/I$137,0)</f>
        <v>0.5</v>
      </c>
      <c r="E139" s="1885">
        <f>IF(J$137&gt;0,H139/J$137,0)</f>
        <v>0</v>
      </c>
      <c r="G139" s="1897">
        <f t="shared" si="112"/>
        <v>8.6206896551724144E-2</v>
      </c>
      <c r="H139" s="1897">
        <f t="shared" si="112"/>
        <v>0</v>
      </c>
      <c r="I139" s="1897"/>
      <c r="J139" s="1897"/>
      <c r="K139" s="1897">
        <f>IF(スコア!M139=0,0,1)</f>
        <v>1</v>
      </c>
      <c r="L139" s="1897">
        <f>IF(スコア!O139=0,0,1)</f>
        <v>0</v>
      </c>
      <c r="M139" s="1897">
        <f t="shared" si="109"/>
        <v>8.6206896551724144E-2</v>
      </c>
      <c r="N139" s="1897">
        <f t="shared" si="110"/>
        <v>0</v>
      </c>
      <c r="P139" s="1898" t="str">
        <f t="shared" si="113"/>
        <v>4.2.2</v>
      </c>
      <c r="Q139" s="1898" t="str">
        <f t="shared" si="114"/>
        <v>LR1 4.2</v>
      </c>
      <c r="R139" s="1899" t="str">
        <f t="shared" si="115"/>
        <v>エネルギーの管理と制御</v>
      </c>
      <c r="S139" s="1900">
        <f t="shared" si="116"/>
        <v>0</v>
      </c>
      <c r="T139" s="1900">
        <f t="shared" si="117"/>
        <v>0</v>
      </c>
      <c r="U139" s="1900">
        <f t="shared" si="118"/>
        <v>0</v>
      </c>
      <c r="V139" s="1900">
        <f t="shared" si="119"/>
        <v>0</v>
      </c>
      <c r="W139" s="1900">
        <f t="shared" si="120"/>
        <v>0</v>
      </c>
      <c r="X139" s="1900">
        <f t="shared" si="121"/>
        <v>0</v>
      </c>
      <c r="Y139" s="1900">
        <f t="shared" si="122"/>
        <v>0.5</v>
      </c>
      <c r="Z139" s="1908">
        <f t="shared" si="123"/>
        <v>0</v>
      </c>
      <c r="AA139" s="1900">
        <f t="shared" si="111"/>
        <v>0</v>
      </c>
      <c r="AB139" s="1900">
        <f t="shared" si="111"/>
        <v>0</v>
      </c>
      <c r="AC139" s="1901">
        <f t="shared" si="111"/>
        <v>0</v>
      </c>
      <c r="AD139" s="1953">
        <f t="shared" si="111"/>
        <v>0</v>
      </c>
      <c r="AE139" s="1953">
        <f t="shared" si="111"/>
        <v>0</v>
      </c>
      <c r="AG139" s="1898" t="s">
        <v>1605</v>
      </c>
      <c r="AH139" s="1902" t="s">
        <v>1608</v>
      </c>
      <c r="AI139" s="1899" t="s">
        <v>1597</v>
      </c>
      <c r="AJ139" s="1904"/>
      <c r="AK139" s="1904"/>
      <c r="AL139" s="1904"/>
      <c r="AM139" s="1904"/>
      <c r="AN139" s="1904"/>
      <c r="AO139" s="1904"/>
      <c r="AP139" s="1904">
        <v>0.5</v>
      </c>
      <c r="AQ139" s="1911"/>
      <c r="AR139" s="1904"/>
      <c r="AS139" s="1904"/>
      <c r="AT139" s="1905"/>
      <c r="AU139" s="1955"/>
      <c r="AV139" s="1955"/>
      <c r="AX139" s="1898" t="s">
        <v>1605</v>
      </c>
      <c r="AY139" s="1902" t="s">
        <v>1608</v>
      </c>
      <c r="AZ139" s="1899" t="s">
        <v>1006</v>
      </c>
      <c r="BA139" s="1904"/>
      <c r="BB139" s="1904"/>
      <c r="BC139" s="1904"/>
      <c r="BD139" s="1904"/>
      <c r="BE139" s="1904"/>
      <c r="BF139" s="1904"/>
      <c r="BG139" s="1904">
        <v>0.5</v>
      </c>
      <c r="BH139" s="1911"/>
      <c r="BI139" s="1904"/>
      <c r="BJ139" s="1904"/>
      <c r="BK139" s="1905"/>
      <c r="BL139" s="1955"/>
      <c r="BM139" s="1955"/>
      <c r="BO139" s="1898" t="s">
        <v>1605</v>
      </c>
      <c r="BP139" s="1902" t="s">
        <v>1608</v>
      </c>
      <c r="BQ139" s="1899" t="s">
        <v>1006</v>
      </c>
      <c r="BR139" s="1904"/>
      <c r="BS139" s="1904"/>
      <c r="BT139" s="1904"/>
      <c r="BU139" s="1904"/>
      <c r="BV139" s="1904"/>
      <c r="BW139" s="1904"/>
      <c r="BX139" s="1904">
        <v>0.5</v>
      </c>
      <c r="BY139" s="1911"/>
      <c r="BZ139" s="1904"/>
      <c r="CA139" s="1904"/>
      <c r="CB139" s="1905"/>
      <c r="CC139" s="1955"/>
      <c r="CD139" s="1955"/>
      <c r="CE139" s="2281"/>
    </row>
    <row r="140" spans="1:84" s="1355" customFormat="1">
      <c r="A140"/>
      <c r="B140" s="1872" t="str">
        <f t="shared" si="100"/>
        <v>LR2</v>
      </c>
      <c r="C140" s="1876" t="str">
        <f t="shared" si="80"/>
        <v>資源・マテリアル</v>
      </c>
      <c r="D140" s="1963" t="e">
        <f>IF(I$116=0,0,G140/I$116)</f>
        <v>#N/A</v>
      </c>
      <c r="E140" s="1875">
        <f>IF(J$116=0,0,H140/J$116)</f>
        <v>0</v>
      </c>
      <c r="F140"/>
      <c r="G140" s="1875">
        <f t="shared" si="81"/>
        <v>0.3</v>
      </c>
      <c r="H140" s="1875">
        <f t="shared" si="82"/>
        <v>0</v>
      </c>
      <c r="I140" s="1875">
        <f>G141+G146+G153</f>
        <v>1</v>
      </c>
      <c r="J140" s="1875">
        <f>H141+H146+H153</f>
        <v>0</v>
      </c>
      <c r="K140" s="1875">
        <f>IF(スコア!Q140=0,0,1)</f>
        <v>1</v>
      </c>
      <c r="L140" s="1875">
        <f>IF(スコア!O140=0,0,1)</f>
        <v>0</v>
      </c>
      <c r="M140" s="1875">
        <f t="shared" si="83"/>
        <v>0.3</v>
      </c>
      <c r="N140" s="1875">
        <f t="shared" si="102"/>
        <v>0</v>
      </c>
      <c r="O140"/>
      <c r="P140" s="1968" t="str">
        <f t="shared" si="113"/>
        <v>LR2</v>
      </c>
      <c r="Q140" s="1968" t="str">
        <f t="shared" si="114"/>
        <v>LR</v>
      </c>
      <c r="R140" s="1876" t="str">
        <f t="shared" si="115"/>
        <v>資源・マテリアル</v>
      </c>
      <c r="S140" s="1877">
        <f t="shared" si="116"/>
        <v>0.3</v>
      </c>
      <c r="T140" s="1877">
        <f t="shared" si="117"/>
        <v>0.3</v>
      </c>
      <c r="U140" s="1877">
        <f t="shared" si="118"/>
        <v>0.3</v>
      </c>
      <c r="V140" s="1877">
        <f t="shared" si="119"/>
        <v>0.3</v>
      </c>
      <c r="W140" s="1877">
        <f t="shared" si="120"/>
        <v>0.3</v>
      </c>
      <c r="X140" s="1877">
        <f t="shared" si="121"/>
        <v>0.3</v>
      </c>
      <c r="Y140" s="1877">
        <f t="shared" si="122"/>
        <v>0.3</v>
      </c>
      <c r="Z140" s="1969">
        <f t="shared" si="123"/>
        <v>0.3</v>
      </c>
      <c r="AA140" s="1877">
        <f t="shared" si="106"/>
        <v>0.3</v>
      </c>
      <c r="AB140" s="1877">
        <f t="shared" si="107"/>
        <v>0.3</v>
      </c>
      <c r="AC140" s="1970">
        <f t="shared" si="103"/>
        <v>0</v>
      </c>
      <c r="AD140" s="1971">
        <f t="shared" si="104"/>
        <v>0</v>
      </c>
      <c r="AE140" s="1971">
        <f t="shared" si="105"/>
        <v>0</v>
      </c>
      <c r="AF140"/>
      <c r="AG140" s="1968" t="s">
        <v>1927</v>
      </c>
      <c r="AH140" s="1972" t="s">
        <v>1411</v>
      </c>
      <c r="AI140" s="1876" t="s">
        <v>1928</v>
      </c>
      <c r="AJ140" s="1880">
        <v>0.3</v>
      </c>
      <c r="AK140" s="1880">
        <v>0.3</v>
      </c>
      <c r="AL140" s="1880">
        <v>0.3</v>
      </c>
      <c r="AM140" s="1880">
        <v>0.3</v>
      </c>
      <c r="AN140" s="1880">
        <v>0.3</v>
      </c>
      <c r="AO140" s="1880">
        <v>0.3</v>
      </c>
      <c r="AP140" s="1880">
        <v>0.3</v>
      </c>
      <c r="AQ140" s="1973">
        <v>0.3</v>
      </c>
      <c r="AR140" s="1880">
        <v>0.3</v>
      </c>
      <c r="AS140" s="1880">
        <v>0.3</v>
      </c>
      <c r="AT140" s="1974"/>
      <c r="AU140" s="1975"/>
      <c r="AV140" s="1975"/>
      <c r="AW140"/>
      <c r="AX140" s="1968" t="s">
        <v>1927</v>
      </c>
      <c r="AY140" s="1972" t="s">
        <v>1411</v>
      </c>
      <c r="AZ140" s="1876" t="s">
        <v>1928</v>
      </c>
      <c r="BA140" s="1880">
        <v>0.3</v>
      </c>
      <c r="BB140" s="1880">
        <v>0.3</v>
      </c>
      <c r="BC140" s="1880">
        <v>0.3</v>
      </c>
      <c r="BD140" s="1880">
        <v>0.3</v>
      </c>
      <c r="BE140" s="1880">
        <v>0.3</v>
      </c>
      <c r="BF140" s="1880">
        <v>0.3</v>
      </c>
      <c r="BG140" s="1880">
        <v>0.3</v>
      </c>
      <c r="BH140" s="1973">
        <v>0.3</v>
      </c>
      <c r="BI140" s="1880">
        <v>0.3</v>
      </c>
      <c r="BJ140" s="1880">
        <v>0.3</v>
      </c>
      <c r="BK140" s="1974"/>
      <c r="BL140" s="1975"/>
      <c r="BM140" s="1975"/>
      <c r="BN140"/>
      <c r="BO140" s="1968" t="s">
        <v>1927</v>
      </c>
      <c r="BP140" s="1972" t="s">
        <v>1411</v>
      </c>
      <c r="BQ140" s="1876" t="s">
        <v>1928</v>
      </c>
      <c r="BR140" s="1880">
        <v>0.3</v>
      </c>
      <c r="BS140" s="1880">
        <v>0.3</v>
      </c>
      <c r="BT140" s="1880">
        <v>0.3</v>
      </c>
      <c r="BU140" s="1880">
        <v>0.3</v>
      </c>
      <c r="BV140" s="1880">
        <v>0.3</v>
      </c>
      <c r="BW140" s="1880">
        <v>0.3</v>
      </c>
      <c r="BX140" s="1880">
        <v>0.3</v>
      </c>
      <c r="BY140" s="1973">
        <v>0.3</v>
      </c>
      <c r="BZ140" s="1880">
        <v>0.3</v>
      </c>
      <c r="CA140" s="1880">
        <v>0.3</v>
      </c>
      <c r="CB140" s="1974"/>
      <c r="CC140" s="1975"/>
      <c r="CD140" s="1975"/>
      <c r="CE140" s="2282"/>
      <c r="CF140"/>
    </row>
    <row r="141" spans="1:84" s="1355" customFormat="1">
      <c r="A141"/>
      <c r="B141" s="1872">
        <f t="shared" si="100"/>
        <v>1</v>
      </c>
      <c r="C141" s="1887" t="str">
        <f t="shared" ref="C141:C172" si="124">R141</f>
        <v>水資源保護</v>
      </c>
      <c r="D141" s="1883">
        <f>IF(I$140=0,0,G141/I$140)</f>
        <v>0.2</v>
      </c>
      <c r="E141" s="1884">
        <f>IF(J$140=0,0,H141/J$140)</f>
        <v>0</v>
      </c>
      <c r="F141"/>
      <c r="G141" s="1884">
        <f t="shared" ref="G141:G172" si="125">K141*M141</f>
        <v>0.2</v>
      </c>
      <c r="H141" s="1884">
        <f t="shared" ref="H141:H172" si="126">L141*N141</f>
        <v>0</v>
      </c>
      <c r="I141" s="1884">
        <f>G142+G143</f>
        <v>1</v>
      </c>
      <c r="J141" s="1884">
        <f>H142+H143</f>
        <v>0</v>
      </c>
      <c r="K141" s="1884">
        <f>IF(スコア!M141=0,0,1)</f>
        <v>1</v>
      </c>
      <c r="L141" s="1884">
        <f>IF(スコア!O141=0,0,1)</f>
        <v>0</v>
      </c>
      <c r="M141" s="1884">
        <f t="shared" ref="M141:M172" si="127">SUMPRODUCT($S$7:$AB$7,S141:AB141)</f>
        <v>0.2</v>
      </c>
      <c r="N141" s="1884">
        <f t="shared" si="102"/>
        <v>0</v>
      </c>
      <c r="O141"/>
      <c r="P141" s="1964">
        <f t="shared" si="113"/>
        <v>1</v>
      </c>
      <c r="Q141" s="1886" t="str">
        <f t="shared" si="114"/>
        <v>LR2</v>
      </c>
      <c r="R141" s="1887" t="str">
        <f t="shared" si="115"/>
        <v>水資源保護</v>
      </c>
      <c r="S141" s="1888">
        <f t="shared" si="116"/>
        <v>0.2</v>
      </c>
      <c r="T141" s="1888">
        <f t="shared" si="117"/>
        <v>0.2</v>
      </c>
      <c r="U141" s="1888">
        <f t="shared" si="118"/>
        <v>0.2</v>
      </c>
      <c r="V141" s="1888">
        <f t="shared" si="119"/>
        <v>0.2</v>
      </c>
      <c r="W141" s="1888">
        <f t="shared" si="120"/>
        <v>0.2</v>
      </c>
      <c r="X141" s="1888">
        <f t="shared" si="121"/>
        <v>0.2</v>
      </c>
      <c r="Y141" s="1888">
        <f t="shared" si="122"/>
        <v>0.2</v>
      </c>
      <c r="Z141" s="1947">
        <f t="shared" si="123"/>
        <v>0.2</v>
      </c>
      <c r="AA141" s="1888">
        <f t="shared" si="106"/>
        <v>0.2</v>
      </c>
      <c r="AB141" s="1888">
        <f t="shared" si="107"/>
        <v>0.2</v>
      </c>
      <c r="AC141" s="1976">
        <f t="shared" si="103"/>
        <v>0</v>
      </c>
      <c r="AD141" s="1977">
        <f t="shared" si="104"/>
        <v>0</v>
      </c>
      <c r="AE141" s="1977">
        <f t="shared" si="105"/>
        <v>0</v>
      </c>
      <c r="AF141"/>
      <c r="AG141" s="1964">
        <v>1</v>
      </c>
      <c r="AH141" s="1891" t="s">
        <v>1588</v>
      </c>
      <c r="AI141" s="1887" t="s">
        <v>1272</v>
      </c>
      <c r="AJ141" s="1892">
        <v>0.2</v>
      </c>
      <c r="AK141" s="1892">
        <v>0.2</v>
      </c>
      <c r="AL141" s="1892">
        <v>0.2</v>
      </c>
      <c r="AM141" s="1892">
        <v>0.2</v>
      </c>
      <c r="AN141" s="1892">
        <v>0.2</v>
      </c>
      <c r="AO141" s="1892">
        <v>0.2</v>
      </c>
      <c r="AP141" s="1892">
        <v>0.2</v>
      </c>
      <c r="AQ141" s="1948">
        <v>0.2</v>
      </c>
      <c r="AR141" s="1892">
        <v>0.2</v>
      </c>
      <c r="AS141" s="1892">
        <v>0.2</v>
      </c>
      <c r="AT141" s="1978"/>
      <c r="AU141" s="1979"/>
      <c r="AV141" s="1979"/>
      <c r="AW141"/>
      <c r="AX141" s="1964">
        <v>1</v>
      </c>
      <c r="AY141" s="1891" t="s">
        <v>1588</v>
      </c>
      <c r="AZ141" s="1887" t="s">
        <v>1272</v>
      </c>
      <c r="BA141" s="1892">
        <v>0.2</v>
      </c>
      <c r="BB141" s="1892">
        <v>0.2</v>
      </c>
      <c r="BC141" s="1892">
        <v>0.2</v>
      </c>
      <c r="BD141" s="1892">
        <v>0.2</v>
      </c>
      <c r="BE141" s="1892">
        <v>0.2</v>
      </c>
      <c r="BF141" s="1892">
        <v>0.2</v>
      </c>
      <c r="BG141" s="1892">
        <v>0.2</v>
      </c>
      <c r="BH141" s="1948">
        <v>0.2</v>
      </c>
      <c r="BI141" s="1892">
        <v>0.2</v>
      </c>
      <c r="BJ141" s="1892">
        <v>0.2</v>
      </c>
      <c r="BK141" s="1978"/>
      <c r="BL141" s="1979"/>
      <c r="BM141" s="1979"/>
      <c r="BN141"/>
      <c r="BO141" s="1964">
        <v>1</v>
      </c>
      <c r="BP141" s="1891" t="s">
        <v>1588</v>
      </c>
      <c r="BQ141" s="1887" t="s">
        <v>1272</v>
      </c>
      <c r="BR141" s="1892">
        <v>0.2</v>
      </c>
      <c r="BS141" s="1892">
        <v>0.2</v>
      </c>
      <c r="BT141" s="1892">
        <v>0.2</v>
      </c>
      <c r="BU141" s="1892">
        <v>0.2</v>
      </c>
      <c r="BV141" s="1892">
        <v>0.2</v>
      </c>
      <c r="BW141" s="1892">
        <v>0.2</v>
      </c>
      <c r="BX141" s="1892">
        <v>0.2</v>
      </c>
      <c r="BY141" s="1948">
        <v>0.2</v>
      </c>
      <c r="BZ141" s="1892">
        <v>0.2</v>
      </c>
      <c r="CA141" s="1892">
        <v>0.2</v>
      </c>
      <c r="CB141" s="1978"/>
      <c r="CC141" s="1979"/>
      <c r="CD141" s="1979"/>
      <c r="CE141" s="2282"/>
      <c r="CF141"/>
    </row>
    <row r="142" spans="1:84">
      <c r="B142" s="1872">
        <f t="shared" si="100"/>
        <v>1.1000000000000001</v>
      </c>
      <c r="C142" s="1895" t="str">
        <f t="shared" si="124"/>
        <v>節水</v>
      </c>
      <c r="D142" s="1896">
        <f>IF(I$141=0,0,G142/I$141)</f>
        <v>0.4</v>
      </c>
      <c r="E142" s="1897">
        <f>IF(J$141=0,0,H142/J$141)</f>
        <v>0</v>
      </c>
      <c r="G142" s="1897">
        <f t="shared" si="125"/>
        <v>0.4</v>
      </c>
      <c r="H142" s="1897">
        <f t="shared" si="126"/>
        <v>0</v>
      </c>
      <c r="I142" s="1897"/>
      <c r="J142" s="1897"/>
      <c r="K142" s="1897">
        <f>IF(スコア!M142=0,0,1)</f>
        <v>1</v>
      </c>
      <c r="L142" s="1897">
        <f>IF(スコア!O142=0,0,1)</f>
        <v>0</v>
      </c>
      <c r="M142" s="1897">
        <f t="shared" si="127"/>
        <v>0.4</v>
      </c>
      <c r="N142" s="1897">
        <f t="shared" si="102"/>
        <v>0</v>
      </c>
      <c r="P142" s="1898">
        <f t="shared" si="113"/>
        <v>1.1000000000000001</v>
      </c>
      <c r="Q142" s="1898" t="str">
        <f t="shared" si="114"/>
        <v>LR2 1</v>
      </c>
      <c r="R142" s="1899" t="str">
        <f t="shared" si="115"/>
        <v>節水</v>
      </c>
      <c r="S142" s="1900">
        <f t="shared" si="116"/>
        <v>0.4</v>
      </c>
      <c r="T142" s="1900">
        <f t="shared" si="117"/>
        <v>0.4</v>
      </c>
      <c r="U142" s="1900">
        <f t="shared" si="118"/>
        <v>0.4</v>
      </c>
      <c r="V142" s="1900">
        <f t="shared" si="119"/>
        <v>0.4</v>
      </c>
      <c r="W142" s="1900">
        <f t="shared" si="120"/>
        <v>0.4</v>
      </c>
      <c r="X142" s="1900">
        <f t="shared" si="121"/>
        <v>0.4</v>
      </c>
      <c r="Y142" s="1900">
        <f t="shared" si="122"/>
        <v>0.4</v>
      </c>
      <c r="Z142" s="1908">
        <f t="shared" si="123"/>
        <v>0.4</v>
      </c>
      <c r="AA142" s="1900">
        <f t="shared" si="106"/>
        <v>0.4</v>
      </c>
      <c r="AB142" s="1900">
        <f t="shared" si="107"/>
        <v>0.4</v>
      </c>
      <c r="AC142" s="1980">
        <f t="shared" si="103"/>
        <v>0</v>
      </c>
      <c r="AD142" s="1915">
        <f t="shared" si="104"/>
        <v>0</v>
      </c>
      <c r="AE142" s="1915">
        <f t="shared" si="105"/>
        <v>0</v>
      </c>
      <c r="AG142" s="1898">
        <v>1.1000000000000001</v>
      </c>
      <c r="AH142" s="1902" t="s">
        <v>166</v>
      </c>
      <c r="AI142" s="1899" t="s">
        <v>1273</v>
      </c>
      <c r="AJ142" s="1904">
        <v>0.4</v>
      </c>
      <c r="AK142" s="1904">
        <v>0.4</v>
      </c>
      <c r="AL142" s="1904">
        <v>0.4</v>
      </c>
      <c r="AM142" s="1904">
        <v>0.4</v>
      </c>
      <c r="AN142" s="1904">
        <v>0.4</v>
      </c>
      <c r="AO142" s="1904">
        <v>0.4</v>
      </c>
      <c r="AP142" s="1904">
        <v>0.4</v>
      </c>
      <c r="AQ142" s="1911">
        <v>0.4</v>
      </c>
      <c r="AR142" s="1904">
        <v>0.4</v>
      </c>
      <c r="AS142" s="1904">
        <v>0.4</v>
      </c>
      <c r="AT142" s="1981"/>
      <c r="AU142" s="1917"/>
      <c r="AV142" s="1917"/>
      <c r="AX142" s="1898">
        <v>1.1000000000000001</v>
      </c>
      <c r="AY142" s="1902" t="s">
        <v>166</v>
      </c>
      <c r="AZ142" s="1899" t="s">
        <v>1273</v>
      </c>
      <c r="BA142" s="1904">
        <v>0.4</v>
      </c>
      <c r="BB142" s="1904">
        <v>0.4</v>
      </c>
      <c r="BC142" s="1904">
        <v>0.4</v>
      </c>
      <c r="BD142" s="1904">
        <v>0.4</v>
      </c>
      <c r="BE142" s="1904">
        <v>0.4</v>
      </c>
      <c r="BF142" s="1904">
        <v>0.4</v>
      </c>
      <c r="BG142" s="1904">
        <v>0.4</v>
      </c>
      <c r="BH142" s="1911">
        <v>0.4</v>
      </c>
      <c r="BI142" s="1904">
        <v>0.4</v>
      </c>
      <c r="BJ142" s="1904">
        <v>0.4</v>
      </c>
      <c r="BK142" s="1981"/>
      <c r="BL142" s="1917"/>
      <c r="BM142" s="1917"/>
      <c r="BO142" s="1898">
        <v>1.1000000000000001</v>
      </c>
      <c r="BP142" s="1902" t="s">
        <v>166</v>
      </c>
      <c r="BQ142" s="1899" t="s">
        <v>1273</v>
      </c>
      <c r="BR142" s="1904">
        <v>0.4</v>
      </c>
      <c r="BS142" s="1904">
        <v>0.4</v>
      </c>
      <c r="BT142" s="1904">
        <v>0.4</v>
      </c>
      <c r="BU142" s="1904">
        <v>0.4</v>
      </c>
      <c r="BV142" s="1904">
        <v>0.4</v>
      </c>
      <c r="BW142" s="1904">
        <v>0.4</v>
      </c>
      <c r="BX142" s="1904">
        <v>0.4</v>
      </c>
      <c r="BY142" s="1911">
        <v>0.4</v>
      </c>
      <c r="BZ142" s="1904">
        <v>0.4</v>
      </c>
      <c r="CA142" s="1904">
        <v>0.4</v>
      </c>
      <c r="CB142" s="1981"/>
      <c r="CC142" s="1917"/>
      <c r="CD142" s="1917"/>
      <c r="CE142" s="2272"/>
    </row>
    <row r="143" spans="1:84">
      <c r="B143" s="1872">
        <f t="shared" ref="B143:B174" si="128">P143</f>
        <v>1.2</v>
      </c>
      <c r="C143" s="1899" t="str">
        <f t="shared" si="124"/>
        <v>雨水利用・雑排水再利用</v>
      </c>
      <c r="D143" s="1896">
        <f>IF(I$141=0,0,G143/I$141)</f>
        <v>0.6</v>
      </c>
      <c r="E143" s="1897">
        <f>IF(J$141=0,0,H143/J$141)</f>
        <v>0</v>
      </c>
      <c r="G143" s="1897">
        <f>K143*M143</f>
        <v>0.6</v>
      </c>
      <c r="H143" s="1897">
        <f t="shared" si="126"/>
        <v>0</v>
      </c>
      <c r="I143" s="1897">
        <f>SUM(G144:G145)</f>
        <v>1</v>
      </c>
      <c r="J143" s="1897">
        <f>SUM(H144:H145)</f>
        <v>0</v>
      </c>
      <c r="K143" s="1897">
        <f>IF(スコア!M143=0,0,1)</f>
        <v>1</v>
      </c>
      <c r="L143" s="1897">
        <f>IF(スコア!O143=0,0,1)</f>
        <v>0</v>
      </c>
      <c r="M143" s="1897">
        <f>SUMPRODUCT($S$7:$AB$7,S143:AB143)</f>
        <v>0.6</v>
      </c>
      <c r="N143" s="1897">
        <f t="shared" si="102"/>
        <v>0</v>
      </c>
      <c r="P143" s="1966">
        <f t="shared" si="113"/>
        <v>1.2</v>
      </c>
      <c r="Q143" s="1898" t="str">
        <f t="shared" si="114"/>
        <v>LR2 1</v>
      </c>
      <c r="R143" s="1899" t="str">
        <f t="shared" si="115"/>
        <v>雨水利用・雑排水再利用</v>
      </c>
      <c r="S143" s="1900">
        <f t="shared" si="116"/>
        <v>0.6</v>
      </c>
      <c r="T143" s="1900">
        <f t="shared" si="117"/>
        <v>0.6</v>
      </c>
      <c r="U143" s="1900">
        <f t="shared" si="118"/>
        <v>0.6</v>
      </c>
      <c r="V143" s="1900">
        <f t="shared" si="119"/>
        <v>0.6</v>
      </c>
      <c r="W143" s="1900">
        <f t="shared" si="120"/>
        <v>0.6</v>
      </c>
      <c r="X143" s="1900">
        <f t="shared" si="121"/>
        <v>0.6</v>
      </c>
      <c r="Y143" s="1900">
        <f t="shared" si="122"/>
        <v>0.6</v>
      </c>
      <c r="Z143" s="1908">
        <f t="shared" si="123"/>
        <v>0.6</v>
      </c>
      <c r="AA143" s="1900">
        <f t="shared" si="106"/>
        <v>0.6</v>
      </c>
      <c r="AB143" s="1900">
        <f t="shared" si="107"/>
        <v>0.6</v>
      </c>
      <c r="AC143" s="1980">
        <f t="shared" si="103"/>
        <v>0</v>
      </c>
      <c r="AD143" s="1915">
        <f t="shared" si="104"/>
        <v>0</v>
      </c>
      <c r="AE143" s="1915">
        <f t="shared" si="105"/>
        <v>0</v>
      </c>
      <c r="AG143" s="1966">
        <v>1.2</v>
      </c>
      <c r="AH143" s="1902" t="s">
        <v>166</v>
      </c>
      <c r="AI143" s="1899" t="s">
        <v>167</v>
      </c>
      <c r="AJ143" s="1904">
        <v>0.6</v>
      </c>
      <c r="AK143" s="1904">
        <v>0.6</v>
      </c>
      <c r="AL143" s="1904">
        <v>0.6</v>
      </c>
      <c r="AM143" s="1904">
        <v>0.6</v>
      </c>
      <c r="AN143" s="1904">
        <v>0.6</v>
      </c>
      <c r="AO143" s="1904">
        <v>0.6</v>
      </c>
      <c r="AP143" s="1904">
        <v>0.6</v>
      </c>
      <c r="AQ143" s="1911">
        <v>0.6</v>
      </c>
      <c r="AR143" s="1904">
        <v>0.6</v>
      </c>
      <c r="AS143" s="1904">
        <v>0.6</v>
      </c>
      <c r="AT143" s="1981"/>
      <c r="AU143" s="1917"/>
      <c r="AV143" s="1917"/>
      <c r="AX143" s="1966">
        <v>1.2</v>
      </c>
      <c r="AY143" s="1902" t="s">
        <v>166</v>
      </c>
      <c r="AZ143" s="1899" t="s">
        <v>167</v>
      </c>
      <c r="BA143" s="1904">
        <v>0.6</v>
      </c>
      <c r="BB143" s="1904">
        <v>0.6</v>
      </c>
      <c r="BC143" s="1904">
        <v>0.6</v>
      </c>
      <c r="BD143" s="1904">
        <v>0.6</v>
      </c>
      <c r="BE143" s="1904">
        <v>0.6</v>
      </c>
      <c r="BF143" s="1904">
        <v>0.6</v>
      </c>
      <c r="BG143" s="1904">
        <v>0.6</v>
      </c>
      <c r="BH143" s="1911">
        <v>0.6</v>
      </c>
      <c r="BI143" s="1904">
        <v>0.6</v>
      </c>
      <c r="BJ143" s="1904">
        <v>0.6</v>
      </c>
      <c r="BK143" s="1981"/>
      <c r="BL143" s="1917"/>
      <c r="BM143" s="1917"/>
      <c r="BO143" s="1966">
        <v>1.2</v>
      </c>
      <c r="BP143" s="1902" t="s">
        <v>166</v>
      </c>
      <c r="BQ143" s="1899" t="s">
        <v>167</v>
      </c>
      <c r="BR143" s="1904">
        <v>0.6</v>
      </c>
      <c r="BS143" s="1904">
        <v>0.6</v>
      </c>
      <c r="BT143" s="1904">
        <v>0.6</v>
      </c>
      <c r="BU143" s="1904">
        <v>0.6</v>
      </c>
      <c r="BV143" s="1904">
        <v>0.6</v>
      </c>
      <c r="BW143" s="1904">
        <v>0.6</v>
      </c>
      <c r="BX143" s="1904">
        <v>0.6</v>
      </c>
      <c r="BY143" s="1911">
        <v>0.6</v>
      </c>
      <c r="BZ143" s="1904">
        <v>0.6</v>
      </c>
      <c r="CA143" s="1904">
        <v>0.6</v>
      </c>
      <c r="CB143" s="1981"/>
      <c r="CC143" s="1917"/>
      <c r="CD143" s="1917"/>
      <c r="CE143" s="2272"/>
    </row>
    <row r="144" spans="1:84">
      <c r="B144" s="1872" t="str">
        <f t="shared" si="128"/>
        <v>1.2.1</v>
      </c>
      <c r="C144" s="1895" t="str">
        <f t="shared" si="124"/>
        <v>雨水利用システム導入の有無</v>
      </c>
      <c r="D144" s="1885">
        <f>IF(I$143&gt;0,G144/I$143,0)</f>
        <v>0.7</v>
      </c>
      <c r="E144" s="1897">
        <f>IF(J$143&gt;0,H144/J$143,0)</f>
        <v>0</v>
      </c>
      <c r="G144" s="1897">
        <f t="shared" si="125"/>
        <v>0.7</v>
      </c>
      <c r="H144" s="1897">
        <f t="shared" si="126"/>
        <v>0</v>
      </c>
      <c r="I144" s="1897"/>
      <c r="J144" s="1897"/>
      <c r="K144" s="1897">
        <f>IF(スコア!M144=0,0,1)</f>
        <v>1</v>
      </c>
      <c r="L144" s="1897">
        <f>IF(スコア!O144=0,0,1)</f>
        <v>0</v>
      </c>
      <c r="M144" s="1897">
        <f>SUMPRODUCT($S$7:$AB$7,S144:AB144)</f>
        <v>0.7</v>
      </c>
      <c r="N144" s="1897">
        <f t="shared" si="102"/>
        <v>0</v>
      </c>
      <c r="P144" s="1898" t="str">
        <f t="shared" si="113"/>
        <v>1.2.1</v>
      </c>
      <c r="Q144" s="1898" t="str">
        <f t="shared" si="114"/>
        <v>LR2 1.2</v>
      </c>
      <c r="R144" s="1899" t="str">
        <f t="shared" si="115"/>
        <v>雨水利用システム導入の有無</v>
      </c>
      <c r="S144" s="1900">
        <f t="shared" si="116"/>
        <v>0.7</v>
      </c>
      <c r="T144" s="1900">
        <f t="shared" si="117"/>
        <v>0.7</v>
      </c>
      <c r="U144" s="1900">
        <f t="shared" si="118"/>
        <v>0.7</v>
      </c>
      <c r="V144" s="1900">
        <f t="shared" si="119"/>
        <v>0.7</v>
      </c>
      <c r="W144" s="1900">
        <f t="shared" si="120"/>
        <v>0.7</v>
      </c>
      <c r="X144" s="1900">
        <f t="shared" si="121"/>
        <v>0.7</v>
      </c>
      <c r="Y144" s="1900">
        <f t="shared" si="122"/>
        <v>0.7</v>
      </c>
      <c r="Z144" s="1908">
        <f t="shared" si="123"/>
        <v>0.7</v>
      </c>
      <c r="AA144" s="1900">
        <f t="shared" si="106"/>
        <v>0.7</v>
      </c>
      <c r="AB144" s="1900">
        <f t="shared" si="107"/>
        <v>0.7</v>
      </c>
      <c r="AC144" s="1980">
        <f t="shared" si="103"/>
        <v>0</v>
      </c>
      <c r="AD144" s="1915">
        <f t="shared" si="104"/>
        <v>0</v>
      </c>
      <c r="AE144" s="1915">
        <f t="shared" si="105"/>
        <v>0</v>
      </c>
      <c r="AG144" s="1898" t="s">
        <v>2781</v>
      </c>
      <c r="AH144" s="1902" t="s">
        <v>168</v>
      </c>
      <c r="AI144" s="1899" t="s">
        <v>2782</v>
      </c>
      <c r="AJ144" s="1904">
        <v>0.7</v>
      </c>
      <c r="AK144" s="1904">
        <v>0.7</v>
      </c>
      <c r="AL144" s="1904">
        <v>0.7</v>
      </c>
      <c r="AM144" s="1904">
        <v>0.7</v>
      </c>
      <c r="AN144" s="1904">
        <v>0.7</v>
      </c>
      <c r="AO144" s="1904">
        <v>0.7</v>
      </c>
      <c r="AP144" s="1904">
        <v>0.7</v>
      </c>
      <c r="AQ144" s="1911">
        <v>0.7</v>
      </c>
      <c r="AR144" s="1904">
        <v>0.7</v>
      </c>
      <c r="AS144" s="1904">
        <v>0.7</v>
      </c>
      <c r="AT144" s="1981"/>
      <c r="AU144" s="1917"/>
      <c r="AV144" s="1917"/>
      <c r="AX144" s="1898" t="s">
        <v>2781</v>
      </c>
      <c r="AY144" s="1902" t="s">
        <v>168</v>
      </c>
      <c r="AZ144" s="1899" t="s">
        <v>2782</v>
      </c>
      <c r="BA144" s="1904">
        <v>0.7</v>
      </c>
      <c r="BB144" s="1904">
        <v>0.7</v>
      </c>
      <c r="BC144" s="1904">
        <v>0.7</v>
      </c>
      <c r="BD144" s="1904">
        <v>0.7</v>
      </c>
      <c r="BE144" s="1904">
        <v>0.7</v>
      </c>
      <c r="BF144" s="1904">
        <v>0.7</v>
      </c>
      <c r="BG144" s="1904">
        <v>0.7</v>
      </c>
      <c r="BH144" s="1911">
        <v>0.7</v>
      </c>
      <c r="BI144" s="1904">
        <v>0.7</v>
      </c>
      <c r="BJ144" s="1904">
        <v>0.7</v>
      </c>
      <c r="BK144" s="1981"/>
      <c r="BL144" s="1917"/>
      <c r="BM144" s="1917"/>
      <c r="BO144" s="1898" t="s">
        <v>2781</v>
      </c>
      <c r="BP144" s="1902" t="s">
        <v>168</v>
      </c>
      <c r="BQ144" s="1899" t="s">
        <v>2782</v>
      </c>
      <c r="BR144" s="1904">
        <v>0.7</v>
      </c>
      <c r="BS144" s="1904">
        <v>0.7</v>
      </c>
      <c r="BT144" s="1904">
        <v>0.7</v>
      </c>
      <c r="BU144" s="1904">
        <v>0.7</v>
      </c>
      <c r="BV144" s="1904">
        <v>0.7</v>
      </c>
      <c r="BW144" s="1904">
        <v>0.7</v>
      </c>
      <c r="BX144" s="1904">
        <v>0.7</v>
      </c>
      <c r="BY144" s="1911">
        <v>0.7</v>
      </c>
      <c r="BZ144" s="1904">
        <v>0.7</v>
      </c>
      <c r="CA144" s="1904">
        <v>0.7</v>
      </c>
      <c r="CB144" s="1981"/>
      <c r="CC144" s="1917"/>
      <c r="CD144" s="1917"/>
      <c r="CE144" s="2272"/>
    </row>
    <row r="145" spans="1:84">
      <c r="B145" s="1872" t="str">
        <f t="shared" si="128"/>
        <v>1.2.2</v>
      </c>
      <c r="C145" s="1895" t="str">
        <f t="shared" si="124"/>
        <v>雑排水等再利用システム導入の有無</v>
      </c>
      <c r="D145" s="1885">
        <f>IF(I$143&gt;0,G145/I$143,0)</f>
        <v>0.3</v>
      </c>
      <c r="E145" s="1897">
        <f>IF(J$143&gt;0,H145/J$143,0)</f>
        <v>0</v>
      </c>
      <c r="G145" s="1897">
        <f t="shared" si="125"/>
        <v>0.3</v>
      </c>
      <c r="H145" s="1897">
        <f t="shared" si="126"/>
        <v>0</v>
      </c>
      <c r="I145" s="1897"/>
      <c r="J145" s="1897"/>
      <c r="K145" s="1897">
        <f>IF(スコア!M145=0,0,1)</f>
        <v>1</v>
      </c>
      <c r="L145" s="1897">
        <f>IF(スコア!O145=0,0,1)</f>
        <v>0</v>
      </c>
      <c r="M145" s="1897">
        <f>SUMPRODUCT($S$7:$AB$7,S145:AB145)</f>
        <v>0.3</v>
      </c>
      <c r="N145" s="1897">
        <f t="shared" si="102"/>
        <v>0</v>
      </c>
      <c r="P145" s="1898" t="str">
        <f t="shared" si="113"/>
        <v>1.2.2</v>
      </c>
      <c r="Q145" s="1898" t="str">
        <f t="shared" si="114"/>
        <v>LR2 1.2</v>
      </c>
      <c r="R145" s="1899" t="str">
        <f t="shared" si="115"/>
        <v>雑排水等再利用システム導入の有無</v>
      </c>
      <c r="S145" s="1900">
        <f t="shared" si="116"/>
        <v>0.3</v>
      </c>
      <c r="T145" s="1900">
        <f t="shared" si="117"/>
        <v>0.3</v>
      </c>
      <c r="U145" s="1900">
        <f t="shared" si="118"/>
        <v>0.3</v>
      </c>
      <c r="V145" s="1900">
        <f t="shared" si="119"/>
        <v>0.3</v>
      </c>
      <c r="W145" s="1900">
        <f t="shared" si="120"/>
        <v>0.3</v>
      </c>
      <c r="X145" s="1900">
        <f t="shared" si="121"/>
        <v>0.3</v>
      </c>
      <c r="Y145" s="1900">
        <f t="shared" si="122"/>
        <v>0.3</v>
      </c>
      <c r="Z145" s="1908">
        <f t="shared" si="123"/>
        <v>0.3</v>
      </c>
      <c r="AA145" s="1900">
        <f t="shared" si="106"/>
        <v>0.3</v>
      </c>
      <c r="AB145" s="1900">
        <f t="shared" si="107"/>
        <v>0.3</v>
      </c>
      <c r="AC145" s="1980">
        <f t="shared" si="103"/>
        <v>0</v>
      </c>
      <c r="AD145" s="1915">
        <f t="shared" si="104"/>
        <v>0</v>
      </c>
      <c r="AE145" s="1915">
        <f t="shared" si="105"/>
        <v>0</v>
      </c>
      <c r="AG145" s="1898" t="s">
        <v>2783</v>
      </c>
      <c r="AH145" s="1902" t="s">
        <v>168</v>
      </c>
      <c r="AI145" s="1899" t="s">
        <v>169</v>
      </c>
      <c r="AJ145" s="1904">
        <v>0.3</v>
      </c>
      <c r="AK145" s="1904">
        <v>0.3</v>
      </c>
      <c r="AL145" s="1904">
        <v>0.3</v>
      </c>
      <c r="AM145" s="1904">
        <v>0.3</v>
      </c>
      <c r="AN145" s="1904">
        <v>0.3</v>
      </c>
      <c r="AO145" s="1904">
        <v>0.3</v>
      </c>
      <c r="AP145" s="1904">
        <v>0.3</v>
      </c>
      <c r="AQ145" s="1911">
        <v>0.3</v>
      </c>
      <c r="AR145" s="1904">
        <v>0.3</v>
      </c>
      <c r="AS145" s="1904">
        <v>0.3</v>
      </c>
      <c r="AT145" s="1981"/>
      <c r="AU145" s="1917"/>
      <c r="AV145" s="1917"/>
      <c r="AX145" s="1898" t="s">
        <v>2783</v>
      </c>
      <c r="AY145" s="1902" t="s">
        <v>168</v>
      </c>
      <c r="AZ145" s="1899" t="s">
        <v>169</v>
      </c>
      <c r="BA145" s="1904">
        <v>0.3</v>
      </c>
      <c r="BB145" s="1904">
        <v>0.3</v>
      </c>
      <c r="BC145" s="1904">
        <v>0.3</v>
      </c>
      <c r="BD145" s="1904">
        <v>0.3</v>
      </c>
      <c r="BE145" s="1904">
        <v>0.3</v>
      </c>
      <c r="BF145" s="1904">
        <v>0.3</v>
      </c>
      <c r="BG145" s="1904">
        <v>0.3</v>
      </c>
      <c r="BH145" s="1911">
        <v>0.3</v>
      </c>
      <c r="BI145" s="1904">
        <v>0.3</v>
      </c>
      <c r="BJ145" s="1904">
        <v>0.3</v>
      </c>
      <c r="BK145" s="1981"/>
      <c r="BL145" s="1917"/>
      <c r="BM145" s="1917"/>
      <c r="BO145" s="1898" t="s">
        <v>2783</v>
      </c>
      <c r="BP145" s="1902" t="s">
        <v>168</v>
      </c>
      <c r="BQ145" s="1899" t="s">
        <v>169</v>
      </c>
      <c r="BR145" s="1904">
        <v>0.3</v>
      </c>
      <c r="BS145" s="1904">
        <v>0.3</v>
      </c>
      <c r="BT145" s="1904">
        <v>0.3</v>
      </c>
      <c r="BU145" s="1904">
        <v>0.3</v>
      </c>
      <c r="BV145" s="1904">
        <v>0.3</v>
      </c>
      <c r="BW145" s="1904">
        <v>0.3</v>
      </c>
      <c r="BX145" s="1904">
        <v>0.3</v>
      </c>
      <c r="BY145" s="1911">
        <v>0.3</v>
      </c>
      <c r="BZ145" s="1904">
        <v>0.3</v>
      </c>
      <c r="CA145" s="1904">
        <v>0.3</v>
      </c>
      <c r="CB145" s="1981"/>
      <c r="CC145" s="1917"/>
      <c r="CD145" s="1917"/>
      <c r="CE145" s="2272"/>
    </row>
    <row r="146" spans="1:84" s="1355" customFormat="1">
      <c r="A146"/>
      <c r="B146" s="1872">
        <f t="shared" si="128"/>
        <v>2</v>
      </c>
      <c r="C146" s="1887" t="str">
        <f t="shared" si="124"/>
        <v>非再生性資源の使用量削減</v>
      </c>
      <c r="D146" s="1883">
        <f>IF(I$140=0,0,G146/I$140)</f>
        <v>0.6</v>
      </c>
      <c r="E146" s="1884">
        <f>IF(J$140=0,0,H146/J$140)</f>
        <v>0</v>
      </c>
      <c r="F146"/>
      <c r="G146" s="1884">
        <f t="shared" si="125"/>
        <v>0.6</v>
      </c>
      <c r="H146" s="1884">
        <f t="shared" si="126"/>
        <v>0</v>
      </c>
      <c r="I146" s="1884">
        <f>G147+G148+G149+G150+G151+G152</f>
        <v>1</v>
      </c>
      <c r="J146" s="1884">
        <f>H147+H148+H149+H150+H151+H152</f>
        <v>0</v>
      </c>
      <c r="K146" s="1884">
        <f>IF(スコア!M146=0,0,1)</f>
        <v>1</v>
      </c>
      <c r="L146" s="1884">
        <f>IF(スコア!O146=0,0,1)</f>
        <v>0</v>
      </c>
      <c r="M146" s="1884">
        <f t="shared" si="127"/>
        <v>0.6</v>
      </c>
      <c r="N146" s="1884">
        <f t="shared" si="102"/>
        <v>0</v>
      </c>
      <c r="O146"/>
      <c r="P146" s="1886">
        <f t="shared" si="113"/>
        <v>2</v>
      </c>
      <c r="Q146" s="1886" t="str">
        <f t="shared" si="114"/>
        <v>LR2</v>
      </c>
      <c r="R146" s="1887" t="str">
        <f t="shared" si="115"/>
        <v>非再生性資源の使用量削減</v>
      </c>
      <c r="S146" s="1888">
        <f t="shared" si="116"/>
        <v>0.6</v>
      </c>
      <c r="T146" s="1888">
        <f t="shared" si="117"/>
        <v>0.6</v>
      </c>
      <c r="U146" s="1888">
        <f t="shared" si="118"/>
        <v>0.6</v>
      </c>
      <c r="V146" s="1888">
        <f t="shared" si="119"/>
        <v>0.6</v>
      </c>
      <c r="W146" s="1888">
        <f t="shared" si="120"/>
        <v>0.6</v>
      </c>
      <c r="X146" s="1888">
        <f t="shared" si="121"/>
        <v>0.6</v>
      </c>
      <c r="Y146" s="1888">
        <f t="shared" si="122"/>
        <v>0.6</v>
      </c>
      <c r="Z146" s="1947">
        <f t="shared" si="123"/>
        <v>0.6</v>
      </c>
      <c r="AA146" s="1888">
        <f t="shared" si="106"/>
        <v>0.6</v>
      </c>
      <c r="AB146" s="1888">
        <f t="shared" si="107"/>
        <v>0.6</v>
      </c>
      <c r="AC146" s="1976">
        <f t="shared" si="103"/>
        <v>0</v>
      </c>
      <c r="AD146" s="1977">
        <f t="shared" si="104"/>
        <v>0</v>
      </c>
      <c r="AE146" s="1977">
        <f t="shared" si="105"/>
        <v>0</v>
      </c>
      <c r="AF146"/>
      <c r="AG146" s="1886">
        <v>2</v>
      </c>
      <c r="AH146" s="1891" t="s">
        <v>1588</v>
      </c>
      <c r="AI146" s="1887" t="s">
        <v>1277</v>
      </c>
      <c r="AJ146" s="1892">
        <v>0.6</v>
      </c>
      <c r="AK146" s="1892">
        <v>0.6</v>
      </c>
      <c r="AL146" s="1892">
        <v>0.6</v>
      </c>
      <c r="AM146" s="1892">
        <v>0.6</v>
      </c>
      <c r="AN146" s="1892">
        <v>0.6</v>
      </c>
      <c r="AO146" s="1892">
        <v>0.6</v>
      </c>
      <c r="AP146" s="1892">
        <v>0.6</v>
      </c>
      <c r="AQ146" s="1892">
        <v>0.6</v>
      </c>
      <c r="AR146" s="1892">
        <v>0.6</v>
      </c>
      <c r="AS146" s="1892">
        <v>0.6</v>
      </c>
      <c r="AT146" s="1978"/>
      <c r="AU146" s="1979"/>
      <c r="AV146" s="1979"/>
      <c r="AW146"/>
      <c r="AX146" s="1886">
        <v>2</v>
      </c>
      <c r="AY146" s="1891" t="s">
        <v>1588</v>
      </c>
      <c r="AZ146" s="1887" t="s">
        <v>1277</v>
      </c>
      <c r="BA146" s="1892">
        <v>0.6</v>
      </c>
      <c r="BB146" s="1892">
        <v>0.6</v>
      </c>
      <c r="BC146" s="1892">
        <v>0.6</v>
      </c>
      <c r="BD146" s="1892">
        <v>0.6</v>
      </c>
      <c r="BE146" s="1892">
        <v>0.6</v>
      </c>
      <c r="BF146" s="1892">
        <v>0.6</v>
      </c>
      <c r="BG146" s="1892">
        <v>0.6</v>
      </c>
      <c r="BH146" s="1892">
        <v>0.6</v>
      </c>
      <c r="BI146" s="1892">
        <v>0.6</v>
      </c>
      <c r="BJ146" s="1892">
        <v>0.6</v>
      </c>
      <c r="BK146" s="1978"/>
      <c r="BL146" s="1979"/>
      <c r="BM146" s="1979"/>
      <c r="BN146"/>
      <c r="BO146" s="1886">
        <v>2</v>
      </c>
      <c r="BP146" s="1891" t="s">
        <v>1588</v>
      </c>
      <c r="BQ146" s="1887" t="s">
        <v>1277</v>
      </c>
      <c r="BR146" s="1892">
        <v>0.6</v>
      </c>
      <c r="BS146" s="1892">
        <v>0.6</v>
      </c>
      <c r="BT146" s="1892">
        <v>0.6</v>
      </c>
      <c r="BU146" s="1892">
        <v>0.6</v>
      </c>
      <c r="BV146" s="1892">
        <v>0.6</v>
      </c>
      <c r="BW146" s="1892">
        <v>0.6</v>
      </c>
      <c r="BX146" s="1892">
        <v>0.6</v>
      </c>
      <c r="BY146" s="1892">
        <v>0.6</v>
      </c>
      <c r="BZ146" s="1892">
        <v>0.6</v>
      </c>
      <c r="CA146" s="1892">
        <v>0.6</v>
      </c>
      <c r="CB146" s="1978"/>
      <c r="CC146" s="1979"/>
      <c r="CD146" s="1979"/>
      <c r="CE146" s="2282"/>
      <c r="CF146"/>
    </row>
    <row r="147" spans="1:84" s="1355" customFormat="1">
      <c r="A147"/>
      <c r="B147" s="1872" t="str">
        <f t="shared" si="128"/>
        <v>2.1</v>
      </c>
      <c r="C147" s="1899" t="str">
        <f t="shared" si="124"/>
        <v>材料使用量の削減</v>
      </c>
      <c r="D147" s="1896">
        <f t="shared" ref="D147:E152" si="129">IF(I$146=0,0,G147/I$146)</f>
        <v>0.1</v>
      </c>
      <c r="E147" s="1897">
        <f t="shared" si="129"/>
        <v>0</v>
      </c>
      <c r="F147"/>
      <c r="G147" s="1897">
        <f t="shared" si="125"/>
        <v>0.1</v>
      </c>
      <c r="H147" s="1897">
        <f t="shared" si="126"/>
        <v>0</v>
      </c>
      <c r="I147" s="1897"/>
      <c r="J147" s="1897"/>
      <c r="K147" s="1897">
        <f>IF(スコア!M147=0,0,1)</f>
        <v>1</v>
      </c>
      <c r="L147" s="1897">
        <f>IF(スコア!O147=0,0,1)</f>
        <v>0</v>
      </c>
      <c r="M147" s="1897">
        <f t="shared" si="127"/>
        <v>0.1</v>
      </c>
      <c r="N147" s="1897">
        <f t="shared" si="102"/>
        <v>0</v>
      </c>
      <c r="O147"/>
      <c r="P147" s="1898" t="str">
        <f t="shared" si="113"/>
        <v>2.1</v>
      </c>
      <c r="Q147" s="1898" t="str">
        <f t="shared" si="114"/>
        <v>LR2 2</v>
      </c>
      <c r="R147" s="1899" t="str">
        <f t="shared" si="115"/>
        <v>材料使用量の削減</v>
      </c>
      <c r="S147" s="1900">
        <f t="shared" si="116"/>
        <v>0.1</v>
      </c>
      <c r="T147" s="1900">
        <f t="shared" si="117"/>
        <v>0.1</v>
      </c>
      <c r="U147" s="1900">
        <f t="shared" si="118"/>
        <v>0.1</v>
      </c>
      <c r="V147" s="1900">
        <f t="shared" si="119"/>
        <v>0.1</v>
      </c>
      <c r="W147" s="1900">
        <f t="shared" si="120"/>
        <v>0.1</v>
      </c>
      <c r="X147" s="1900">
        <f t="shared" si="121"/>
        <v>0.1</v>
      </c>
      <c r="Y147" s="1900">
        <f t="shared" si="122"/>
        <v>0.1</v>
      </c>
      <c r="Z147" s="1908">
        <f t="shared" si="123"/>
        <v>0.1</v>
      </c>
      <c r="AA147" s="1900">
        <f t="shared" si="106"/>
        <v>0.1</v>
      </c>
      <c r="AB147" s="1900">
        <f t="shared" si="107"/>
        <v>0.1</v>
      </c>
      <c r="AC147" s="1980">
        <f t="shared" si="103"/>
        <v>0</v>
      </c>
      <c r="AD147" s="1915">
        <f t="shared" si="104"/>
        <v>0</v>
      </c>
      <c r="AE147" s="1915">
        <f t="shared" si="105"/>
        <v>0</v>
      </c>
      <c r="AF147"/>
      <c r="AG147" s="1898" t="s">
        <v>2784</v>
      </c>
      <c r="AH147" s="1891" t="s">
        <v>170</v>
      </c>
      <c r="AI147" s="1899" t="s">
        <v>1278</v>
      </c>
      <c r="AJ147" s="1955">
        <v>0.1</v>
      </c>
      <c r="AK147" s="1955">
        <v>0.1</v>
      </c>
      <c r="AL147" s="1955">
        <v>0.1</v>
      </c>
      <c r="AM147" s="1955">
        <v>0.1</v>
      </c>
      <c r="AN147" s="1955">
        <v>0.1</v>
      </c>
      <c r="AO147" s="1955">
        <v>0.1</v>
      </c>
      <c r="AP147" s="1955">
        <v>0.1</v>
      </c>
      <c r="AQ147" s="1955">
        <v>0.1</v>
      </c>
      <c r="AR147" s="1955">
        <v>0.1</v>
      </c>
      <c r="AS147" s="1955">
        <v>0.1</v>
      </c>
      <c r="AT147" s="1982"/>
      <c r="AU147" s="1979"/>
      <c r="AV147" s="1979"/>
      <c r="AW147"/>
      <c r="AX147" s="1898" t="s">
        <v>2785</v>
      </c>
      <c r="AY147" s="1891" t="s">
        <v>170</v>
      </c>
      <c r="AZ147" s="1899" t="s">
        <v>1278</v>
      </c>
      <c r="BA147" s="1955">
        <v>0.1</v>
      </c>
      <c r="BB147" s="1955">
        <v>0.1</v>
      </c>
      <c r="BC147" s="1955">
        <v>0.1</v>
      </c>
      <c r="BD147" s="1955">
        <v>0.1</v>
      </c>
      <c r="BE147" s="1955">
        <v>0.1</v>
      </c>
      <c r="BF147" s="1955">
        <v>0.1</v>
      </c>
      <c r="BG147" s="1955">
        <v>0.1</v>
      </c>
      <c r="BH147" s="1955">
        <v>0.1</v>
      </c>
      <c r="BI147" s="1955">
        <v>0.1</v>
      </c>
      <c r="BJ147" s="1955">
        <v>0.1</v>
      </c>
      <c r="BK147" s="1982"/>
      <c r="BL147" s="1979"/>
      <c r="BM147" s="1979"/>
      <c r="BN147"/>
      <c r="BO147" s="1898" t="s">
        <v>2785</v>
      </c>
      <c r="BP147" s="1891" t="s">
        <v>170</v>
      </c>
      <c r="BQ147" s="1899" t="s">
        <v>1278</v>
      </c>
      <c r="BR147" s="1955">
        <v>0.1</v>
      </c>
      <c r="BS147" s="1955">
        <v>0.1</v>
      </c>
      <c r="BT147" s="1955">
        <v>0.1</v>
      </c>
      <c r="BU147" s="1955">
        <v>0.1</v>
      </c>
      <c r="BV147" s="1955">
        <v>0.1</v>
      </c>
      <c r="BW147" s="1955">
        <v>0.1</v>
      </c>
      <c r="BX147" s="1955">
        <v>0.1</v>
      </c>
      <c r="BY147" s="1955">
        <v>0.1</v>
      </c>
      <c r="BZ147" s="1955">
        <v>0.1</v>
      </c>
      <c r="CA147" s="1955">
        <v>0.1</v>
      </c>
      <c r="CB147" s="1978"/>
      <c r="CC147" s="1979"/>
      <c r="CD147" s="1979"/>
      <c r="CE147" s="2282"/>
      <c r="CF147"/>
    </row>
    <row r="148" spans="1:84">
      <c r="B148" s="1872" t="str">
        <f t="shared" si="128"/>
        <v>2.2</v>
      </c>
      <c r="C148" s="1899" t="str">
        <f t="shared" si="124"/>
        <v>既存建築躯体等の継続使用</v>
      </c>
      <c r="D148" s="1896">
        <f t="shared" si="129"/>
        <v>0.2</v>
      </c>
      <c r="E148" s="1897">
        <f t="shared" si="129"/>
        <v>0</v>
      </c>
      <c r="G148" s="1897">
        <f t="shared" si="125"/>
        <v>0.2</v>
      </c>
      <c r="H148" s="1897">
        <f t="shared" si="126"/>
        <v>0</v>
      </c>
      <c r="I148" s="1897"/>
      <c r="J148" s="1897"/>
      <c r="K148" s="1897">
        <f>IF(スコア!M148=0,0,1)</f>
        <v>1</v>
      </c>
      <c r="L148" s="1897">
        <f>IF(スコア!O148=0,0,1)</f>
        <v>0</v>
      </c>
      <c r="M148" s="1897">
        <f t="shared" si="127"/>
        <v>0.2</v>
      </c>
      <c r="N148" s="1897">
        <f t="shared" si="102"/>
        <v>0</v>
      </c>
      <c r="P148" s="1898" t="str">
        <f t="shared" si="113"/>
        <v>2.2</v>
      </c>
      <c r="Q148" s="1898" t="str">
        <f t="shared" si="114"/>
        <v>LR2 2</v>
      </c>
      <c r="R148" s="1899" t="str">
        <f t="shared" si="115"/>
        <v>既存建築躯体等の継続使用</v>
      </c>
      <c r="S148" s="1900">
        <f t="shared" si="116"/>
        <v>0.2</v>
      </c>
      <c r="T148" s="1900">
        <f t="shared" si="117"/>
        <v>0.2</v>
      </c>
      <c r="U148" s="1900">
        <f t="shared" si="118"/>
        <v>0.2</v>
      </c>
      <c r="V148" s="1900">
        <f t="shared" si="119"/>
        <v>0.2</v>
      </c>
      <c r="W148" s="1900">
        <f t="shared" si="120"/>
        <v>0.2</v>
      </c>
      <c r="X148" s="1900">
        <f t="shared" si="121"/>
        <v>0.2</v>
      </c>
      <c r="Y148" s="1900">
        <f t="shared" si="122"/>
        <v>0.2</v>
      </c>
      <c r="Z148" s="1908">
        <f t="shared" si="123"/>
        <v>0.2</v>
      </c>
      <c r="AA148" s="1900">
        <f t="shared" si="106"/>
        <v>0.2</v>
      </c>
      <c r="AB148" s="1900">
        <f t="shared" si="107"/>
        <v>0.2</v>
      </c>
      <c r="AC148" s="1980">
        <f t="shared" si="103"/>
        <v>0</v>
      </c>
      <c r="AD148" s="1915">
        <f t="shared" si="104"/>
        <v>0</v>
      </c>
      <c r="AE148" s="1915">
        <f t="shared" si="105"/>
        <v>0</v>
      </c>
      <c r="AG148" s="1898" t="s">
        <v>2786</v>
      </c>
      <c r="AH148" s="1902" t="s">
        <v>170</v>
      </c>
      <c r="AI148" s="1899" t="s">
        <v>1279</v>
      </c>
      <c r="AJ148" s="1904">
        <v>0.2</v>
      </c>
      <c r="AK148" s="1904">
        <v>0.2</v>
      </c>
      <c r="AL148" s="1904">
        <v>0.2</v>
      </c>
      <c r="AM148" s="1904">
        <v>0.2</v>
      </c>
      <c r="AN148" s="1904">
        <v>0.2</v>
      </c>
      <c r="AO148" s="1904">
        <v>0.2</v>
      </c>
      <c r="AP148" s="1904">
        <v>0.2</v>
      </c>
      <c r="AQ148" s="1904">
        <v>0.2</v>
      </c>
      <c r="AR148" s="1904">
        <v>0.2</v>
      </c>
      <c r="AS148" s="1904">
        <v>0.2</v>
      </c>
      <c r="AT148" s="1981"/>
      <c r="AU148" s="1917"/>
      <c r="AV148" s="1917"/>
      <c r="AX148" s="1898" t="s">
        <v>2787</v>
      </c>
      <c r="AY148" s="1902" t="s">
        <v>170</v>
      </c>
      <c r="AZ148" s="1899" t="s">
        <v>1279</v>
      </c>
      <c r="BA148" s="1904">
        <v>0.2</v>
      </c>
      <c r="BB148" s="1904">
        <v>0.2</v>
      </c>
      <c r="BC148" s="1904">
        <v>0.2</v>
      </c>
      <c r="BD148" s="1904">
        <v>0.2</v>
      </c>
      <c r="BE148" s="1904">
        <v>0.2</v>
      </c>
      <c r="BF148" s="1904">
        <v>0.2</v>
      </c>
      <c r="BG148" s="1904">
        <v>0.2</v>
      </c>
      <c r="BH148" s="1904">
        <v>0.2</v>
      </c>
      <c r="BI148" s="1904">
        <v>0.2</v>
      </c>
      <c r="BJ148" s="1904">
        <v>0.2</v>
      </c>
      <c r="BK148" s="1981"/>
      <c r="BL148" s="1917"/>
      <c r="BM148" s="1917"/>
      <c r="BO148" s="1898" t="s">
        <v>2787</v>
      </c>
      <c r="BP148" s="1902" t="s">
        <v>170</v>
      </c>
      <c r="BQ148" s="1899" t="s">
        <v>1279</v>
      </c>
      <c r="BR148" s="1904">
        <v>0.2</v>
      </c>
      <c r="BS148" s="1904">
        <v>0.2</v>
      </c>
      <c r="BT148" s="1904">
        <v>0.2</v>
      </c>
      <c r="BU148" s="1904">
        <v>0.2</v>
      </c>
      <c r="BV148" s="1904">
        <v>0.2</v>
      </c>
      <c r="BW148" s="1904">
        <v>0.2</v>
      </c>
      <c r="BX148" s="1904">
        <v>0.2</v>
      </c>
      <c r="BY148" s="1904">
        <v>0.2</v>
      </c>
      <c r="BZ148" s="1904">
        <v>0.2</v>
      </c>
      <c r="CA148" s="1904">
        <v>0.2</v>
      </c>
      <c r="CB148" s="1981"/>
      <c r="CC148" s="1917"/>
      <c r="CD148" s="1917"/>
      <c r="CE148" s="2272"/>
    </row>
    <row r="149" spans="1:84">
      <c r="B149" s="1872" t="str">
        <f t="shared" si="128"/>
        <v>2.3</v>
      </c>
      <c r="C149" s="1899" t="str">
        <f t="shared" si="124"/>
        <v>躯体材料におけるリサイクル材の使用</v>
      </c>
      <c r="D149" s="1896">
        <f t="shared" si="129"/>
        <v>0.2</v>
      </c>
      <c r="E149" s="1897">
        <f t="shared" si="129"/>
        <v>0</v>
      </c>
      <c r="G149" s="1897">
        <f t="shared" si="125"/>
        <v>0.2</v>
      </c>
      <c r="H149" s="1897">
        <f t="shared" si="126"/>
        <v>0</v>
      </c>
      <c r="I149" s="1897"/>
      <c r="J149" s="1897"/>
      <c r="K149" s="1897">
        <f>IF(スコア!M149=0,0,1)</f>
        <v>1</v>
      </c>
      <c r="L149" s="1897">
        <f>IF(スコア!O149=0,0,1)</f>
        <v>0</v>
      </c>
      <c r="M149" s="1897">
        <f t="shared" si="127"/>
        <v>0.2</v>
      </c>
      <c r="N149" s="1897">
        <f t="shared" si="102"/>
        <v>0</v>
      </c>
      <c r="P149" s="1898" t="str">
        <f t="shared" si="113"/>
        <v>2.3</v>
      </c>
      <c r="Q149" s="1898" t="str">
        <f t="shared" si="114"/>
        <v>LR2 2</v>
      </c>
      <c r="R149" s="1899" t="str">
        <f t="shared" si="115"/>
        <v>躯体材料におけるリサイクル材の使用</v>
      </c>
      <c r="S149" s="1900">
        <f t="shared" si="116"/>
        <v>0.2</v>
      </c>
      <c r="T149" s="1900">
        <f t="shared" si="117"/>
        <v>0.2</v>
      </c>
      <c r="U149" s="1900">
        <f t="shared" si="118"/>
        <v>0.2</v>
      </c>
      <c r="V149" s="1900">
        <f t="shared" si="119"/>
        <v>0.2</v>
      </c>
      <c r="W149" s="1900">
        <f t="shared" si="120"/>
        <v>0.2</v>
      </c>
      <c r="X149" s="1900">
        <f t="shared" si="121"/>
        <v>0.2</v>
      </c>
      <c r="Y149" s="1900">
        <f t="shared" si="122"/>
        <v>0.2</v>
      </c>
      <c r="Z149" s="1908">
        <f t="shared" si="123"/>
        <v>0.2</v>
      </c>
      <c r="AA149" s="1900">
        <f t="shared" si="106"/>
        <v>0.2</v>
      </c>
      <c r="AB149" s="1900">
        <f t="shared" si="107"/>
        <v>0.2</v>
      </c>
      <c r="AC149" s="1980">
        <f t="shared" si="103"/>
        <v>0</v>
      </c>
      <c r="AD149" s="1915">
        <f t="shared" si="104"/>
        <v>0</v>
      </c>
      <c r="AE149" s="1915">
        <f t="shared" si="105"/>
        <v>0</v>
      </c>
      <c r="AG149" s="1898" t="s">
        <v>2788</v>
      </c>
      <c r="AH149" s="1902" t="s">
        <v>170</v>
      </c>
      <c r="AI149" s="1899" t="s">
        <v>1280</v>
      </c>
      <c r="AJ149" s="1904">
        <v>0.2</v>
      </c>
      <c r="AK149" s="1904">
        <v>0.2</v>
      </c>
      <c r="AL149" s="1904">
        <v>0.2</v>
      </c>
      <c r="AM149" s="1904">
        <v>0.2</v>
      </c>
      <c r="AN149" s="1904">
        <v>0.2</v>
      </c>
      <c r="AO149" s="1904">
        <v>0.2</v>
      </c>
      <c r="AP149" s="1904">
        <v>0.2</v>
      </c>
      <c r="AQ149" s="1904">
        <v>0.2</v>
      </c>
      <c r="AR149" s="1904">
        <v>0.2</v>
      </c>
      <c r="AS149" s="1904">
        <v>0.2</v>
      </c>
      <c r="AT149" s="1981"/>
      <c r="AU149" s="1917"/>
      <c r="AV149" s="1917"/>
      <c r="AX149" s="1898" t="s">
        <v>2789</v>
      </c>
      <c r="AY149" s="1902" t="s">
        <v>170</v>
      </c>
      <c r="AZ149" s="1899" t="s">
        <v>1280</v>
      </c>
      <c r="BA149" s="1904">
        <v>0.2</v>
      </c>
      <c r="BB149" s="1904">
        <v>0.2</v>
      </c>
      <c r="BC149" s="1904">
        <v>0.2</v>
      </c>
      <c r="BD149" s="1904">
        <v>0.2</v>
      </c>
      <c r="BE149" s="1904">
        <v>0.2</v>
      </c>
      <c r="BF149" s="1904">
        <v>0.2</v>
      </c>
      <c r="BG149" s="1904">
        <v>0.2</v>
      </c>
      <c r="BH149" s="1904">
        <v>0.2</v>
      </c>
      <c r="BI149" s="1904">
        <v>0.2</v>
      </c>
      <c r="BJ149" s="1904">
        <v>0.2</v>
      </c>
      <c r="BK149" s="1981"/>
      <c r="BL149" s="1917"/>
      <c r="BM149" s="1917"/>
      <c r="BO149" s="1898" t="s">
        <v>2789</v>
      </c>
      <c r="BP149" s="1902" t="s">
        <v>170</v>
      </c>
      <c r="BQ149" s="1899" t="s">
        <v>1280</v>
      </c>
      <c r="BR149" s="1904">
        <v>0.2</v>
      </c>
      <c r="BS149" s="1904">
        <v>0.2</v>
      </c>
      <c r="BT149" s="1904">
        <v>0.2</v>
      </c>
      <c r="BU149" s="1904">
        <v>0.2</v>
      </c>
      <c r="BV149" s="1904">
        <v>0.2</v>
      </c>
      <c r="BW149" s="1904">
        <v>0.2</v>
      </c>
      <c r="BX149" s="1904">
        <v>0.2</v>
      </c>
      <c r="BY149" s="1904">
        <v>0.2</v>
      </c>
      <c r="BZ149" s="1904">
        <v>0.2</v>
      </c>
      <c r="CA149" s="1904">
        <v>0.2</v>
      </c>
      <c r="CB149" s="1981"/>
      <c r="CC149" s="1917"/>
      <c r="CD149" s="1917"/>
      <c r="CE149" s="2272"/>
    </row>
    <row r="150" spans="1:84">
      <c r="B150" s="1872" t="str">
        <f t="shared" si="128"/>
        <v>2.4</v>
      </c>
      <c r="C150" s="1899" t="str">
        <f t="shared" si="124"/>
        <v>躯体材料以外におけるリサイクル材の使用</v>
      </c>
      <c r="D150" s="1896">
        <f t="shared" si="129"/>
        <v>0.2</v>
      </c>
      <c r="E150" s="1897">
        <f t="shared" si="129"/>
        <v>0</v>
      </c>
      <c r="G150" s="1897">
        <f t="shared" si="125"/>
        <v>0.2</v>
      </c>
      <c r="H150" s="1897">
        <f t="shared" si="126"/>
        <v>0</v>
      </c>
      <c r="I150" s="1897"/>
      <c r="J150" s="1897"/>
      <c r="K150" s="1897">
        <f>IF(スコア!M150=0,0,1)</f>
        <v>1</v>
      </c>
      <c r="L150" s="1897">
        <f>IF(スコア!O150=0,0,1)</f>
        <v>0</v>
      </c>
      <c r="M150" s="1897">
        <f t="shared" si="127"/>
        <v>0.2</v>
      </c>
      <c r="N150" s="1897">
        <f t="shared" si="102"/>
        <v>0</v>
      </c>
      <c r="P150" s="1898" t="str">
        <f t="shared" si="113"/>
        <v>2.4</v>
      </c>
      <c r="Q150" s="1898" t="str">
        <f t="shared" si="114"/>
        <v>LR2 2</v>
      </c>
      <c r="R150" s="1899" t="str">
        <f t="shared" si="115"/>
        <v>躯体材料以外におけるリサイクル材の使用</v>
      </c>
      <c r="S150" s="1900">
        <f t="shared" si="116"/>
        <v>0.2</v>
      </c>
      <c r="T150" s="1900">
        <f t="shared" si="117"/>
        <v>0.2</v>
      </c>
      <c r="U150" s="1900">
        <f t="shared" si="118"/>
        <v>0.2</v>
      </c>
      <c r="V150" s="1900">
        <f t="shared" si="119"/>
        <v>0.2</v>
      </c>
      <c r="W150" s="1900">
        <f t="shared" si="120"/>
        <v>0.2</v>
      </c>
      <c r="X150" s="1900">
        <f t="shared" si="121"/>
        <v>0.2</v>
      </c>
      <c r="Y150" s="1900">
        <f t="shared" si="122"/>
        <v>0.2</v>
      </c>
      <c r="Z150" s="1908">
        <f t="shared" si="123"/>
        <v>0.2</v>
      </c>
      <c r="AA150" s="1900">
        <f t="shared" si="106"/>
        <v>0.2</v>
      </c>
      <c r="AB150" s="1900">
        <f t="shared" si="107"/>
        <v>0.2</v>
      </c>
      <c r="AC150" s="1980">
        <f t="shared" si="103"/>
        <v>0</v>
      </c>
      <c r="AD150" s="1915">
        <f t="shared" si="104"/>
        <v>0</v>
      </c>
      <c r="AE150" s="1915">
        <f t="shared" si="105"/>
        <v>0</v>
      </c>
      <c r="AG150" s="1898" t="s">
        <v>2790</v>
      </c>
      <c r="AH150" s="1902" t="s">
        <v>170</v>
      </c>
      <c r="AI150" s="1899" t="s">
        <v>1611</v>
      </c>
      <c r="AJ150" s="1904">
        <v>0.2</v>
      </c>
      <c r="AK150" s="1904">
        <v>0.2</v>
      </c>
      <c r="AL150" s="1904">
        <v>0.2</v>
      </c>
      <c r="AM150" s="1904">
        <v>0.2</v>
      </c>
      <c r="AN150" s="1904">
        <v>0.2</v>
      </c>
      <c r="AO150" s="1904">
        <v>0.2</v>
      </c>
      <c r="AP150" s="1904">
        <v>0.2</v>
      </c>
      <c r="AQ150" s="1904">
        <v>0.2</v>
      </c>
      <c r="AR150" s="1904">
        <v>0.2</v>
      </c>
      <c r="AS150" s="1904">
        <v>0.2</v>
      </c>
      <c r="AT150" s="1981"/>
      <c r="AU150" s="1917"/>
      <c r="AV150" s="1917"/>
      <c r="AX150" s="1898" t="s">
        <v>2791</v>
      </c>
      <c r="AY150" s="1902" t="s">
        <v>170</v>
      </c>
      <c r="AZ150" s="1899" t="s">
        <v>1611</v>
      </c>
      <c r="BA150" s="1904">
        <v>0.2</v>
      </c>
      <c r="BB150" s="1904">
        <v>0.2</v>
      </c>
      <c r="BC150" s="1904">
        <v>0.2</v>
      </c>
      <c r="BD150" s="1904">
        <v>0.2</v>
      </c>
      <c r="BE150" s="1904">
        <v>0.2</v>
      </c>
      <c r="BF150" s="1904">
        <v>0.2</v>
      </c>
      <c r="BG150" s="1904">
        <v>0.2</v>
      </c>
      <c r="BH150" s="1904">
        <v>0.2</v>
      </c>
      <c r="BI150" s="1904">
        <v>0.2</v>
      </c>
      <c r="BJ150" s="1904">
        <v>0.2</v>
      </c>
      <c r="BK150" s="1981"/>
      <c r="BL150" s="1917"/>
      <c r="BM150" s="1917"/>
      <c r="BO150" s="1898" t="s">
        <v>2791</v>
      </c>
      <c r="BP150" s="1902" t="s">
        <v>170</v>
      </c>
      <c r="BQ150" s="1899" t="s">
        <v>1611</v>
      </c>
      <c r="BR150" s="1904">
        <v>0.2</v>
      </c>
      <c r="BS150" s="1904">
        <v>0.2</v>
      </c>
      <c r="BT150" s="1904">
        <v>0.2</v>
      </c>
      <c r="BU150" s="1904">
        <v>0.2</v>
      </c>
      <c r="BV150" s="1904">
        <v>0.2</v>
      </c>
      <c r="BW150" s="1904">
        <v>0.2</v>
      </c>
      <c r="BX150" s="1904">
        <v>0.2</v>
      </c>
      <c r="BY150" s="1904">
        <v>0.2</v>
      </c>
      <c r="BZ150" s="1904">
        <v>0.2</v>
      </c>
      <c r="CA150" s="1904">
        <v>0.2</v>
      </c>
      <c r="CB150" s="1981"/>
      <c r="CC150" s="1917"/>
      <c r="CD150" s="1917"/>
      <c r="CE150" s="2272"/>
    </row>
    <row r="151" spans="1:84">
      <c r="B151" s="1872" t="str">
        <f t="shared" si="128"/>
        <v>2.5</v>
      </c>
      <c r="C151" s="1895" t="str">
        <f t="shared" si="124"/>
        <v>持続可能な森林から産出された木材</v>
      </c>
      <c r="D151" s="1896">
        <f t="shared" si="129"/>
        <v>0.1</v>
      </c>
      <c r="E151" s="1897">
        <f t="shared" si="129"/>
        <v>0</v>
      </c>
      <c r="G151" s="1897">
        <f t="shared" si="125"/>
        <v>0.1</v>
      </c>
      <c r="H151" s="1897">
        <f t="shared" si="126"/>
        <v>0</v>
      </c>
      <c r="I151" s="1897"/>
      <c r="J151" s="1897"/>
      <c r="K151" s="1897">
        <f>IF(スコア!M151=0,0,1)</f>
        <v>1</v>
      </c>
      <c r="L151" s="1897">
        <f>IF(スコア!O151=0,0,1)</f>
        <v>0</v>
      </c>
      <c r="M151" s="1897">
        <f t="shared" si="127"/>
        <v>0.1</v>
      </c>
      <c r="N151" s="1897">
        <f t="shared" si="102"/>
        <v>0</v>
      </c>
      <c r="P151" s="1898" t="str">
        <f t="shared" si="113"/>
        <v>2.5</v>
      </c>
      <c r="Q151" s="1898" t="str">
        <f t="shared" si="114"/>
        <v>LR2 2</v>
      </c>
      <c r="R151" s="1899" t="str">
        <f t="shared" si="115"/>
        <v>持続可能な森林から産出された木材</v>
      </c>
      <c r="S151" s="1900">
        <f t="shared" si="116"/>
        <v>0.1</v>
      </c>
      <c r="T151" s="1900">
        <f t="shared" si="117"/>
        <v>0.1</v>
      </c>
      <c r="U151" s="1900">
        <f t="shared" si="118"/>
        <v>0.1</v>
      </c>
      <c r="V151" s="1900">
        <f t="shared" si="119"/>
        <v>0.1</v>
      </c>
      <c r="W151" s="1900">
        <f t="shared" si="120"/>
        <v>0.1</v>
      </c>
      <c r="X151" s="1900">
        <f t="shared" si="121"/>
        <v>0.1</v>
      </c>
      <c r="Y151" s="1900">
        <f t="shared" si="122"/>
        <v>0.1</v>
      </c>
      <c r="Z151" s="1908">
        <f t="shared" si="123"/>
        <v>0.1</v>
      </c>
      <c r="AA151" s="1900">
        <f t="shared" si="106"/>
        <v>0.1</v>
      </c>
      <c r="AB151" s="1900">
        <f t="shared" si="107"/>
        <v>0.1</v>
      </c>
      <c r="AC151" s="1980">
        <f t="shared" si="103"/>
        <v>0</v>
      </c>
      <c r="AD151" s="1915">
        <f t="shared" si="104"/>
        <v>0</v>
      </c>
      <c r="AE151" s="1915">
        <f t="shared" si="105"/>
        <v>0</v>
      </c>
      <c r="AG151" s="1898" t="s">
        <v>2792</v>
      </c>
      <c r="AH151" s="1902" t="s">
        <v>170</v>
      </c>
      <c r="AI151" s="1899" t="s">
        <v>2793</v>
      </c>
      <c r="AJ151" s="1904">
        <v>0.1</v>
      </c>
      <c r="AK151" s="1904">
        <v>0.1</v>
      </c>
      <c r="AL151" s="1904">
        <v>0.1</v>
      </c>
      <c r="AM151" s="1904">
        <v>0.1</v>
      </c>
      <c r="AN151" s="1904">
        <v>0.1</v>
      </c>
      <c r="AO151" s="1904">
        <v>0.1</v>
      </c>
      <c r="AP151" s="1904">
        <v>0.1</v>
      </c>
      <c r="AQ151" s="1904">
        <v>0.1</v>
      </c>
      <c r="AR151" s="1904">
        <v>0.1</v>
      </c>
      <c r="AS151" s="1904">
        <v>0.1</v>
      </c>
      <c r="AT151" s="1981"/>
      <c r="AU151" s="1917"/>
      <c r="AV151" s="1917"/>
      <c r="AX151" s="1898" t="s">
        <v>2792</v>
      </c>
      <c r="AY151" s="1902" t="s">
        <v>170</v>
      </c>
      <c r="AZ151" s="1899" t="s">
        <v>2793</v>
      </c>
      <c r="BA151" s="1904">
        <v>0.1</v>
      </c>
      <c r="BB151" s="1904">
        <v>0.1</v>
      </c>
      <c r="BC151" s="1904">
        <v>0.1</v>
      </c>
      <c r="BD151" s="1904">
        <v>0.1</v>
      </c>
      <c r="BE151" s="1904">
        <v>0.1</v>
      </c>
      <c r="BF151" s="1904">
        <v>0.1</v>
      </c>
      <c r="BG151" s="1904">
        <v>0.1</v>
      </c>
      <c r="BH151" s="1904">
        <v>0.1</v>
      </c>
      <c r="BI151" s="1904">
        <v>0.1</v>
      </c>
      <c r="BJ151" s="1904">
        <v>0.1</v>
      </c>
      <c r="BK151" s="1981"/>
      <c r="BL151" s="1917"/>
      <c r="BM151" s="1917"/>
      <c r="BO151" s="1898" t="s">
        <v>2792</v>
      </c>
      <c r="BP151" s="1902" t="s">
        <v>170</v>
      </c>
      <c r="BQ151" s="1899" t="s">
        <v>2793</v>
      </c>
      <c r="BR151" s="1904">
        <v>0.1</v>
      </c>
      <c r="BS151" s="1904">
        <v>0.1</v>
      </c>
      <c r="BT151" s="1904">
        <v>0.1</v>
      </c>
      <c r="BU151" s="1904">
        <v>0.1</v>
      </c>
      <c r="BV151" s="1904">
        <v>0.1</v>
      </c>
      <c r="BW151" s="1904">
        <v>0.1</v>
      </c>
      <c r="BX151" s="1904">
        <v>0.1</v>
      </c>
      <c r="BY151" s="1904">
        <v>0.1</v>
      </c>
      <c r="BZ151" s="1904">
        <v>0.1</v>
      </c>
      <c r="CA151" s="1904">
        <v>0.1</v>
      </c>
      <c r="CB151" s="1981"/>
      <c r="CC151" s="1917"/>
      <c r="CD151" s="1917"/>
      <c r="CE151" s="2272"/>
    </row>
    <row r="152" spans="1:84">
      <c r="B152" s="1872" t="str">
        <f t="shared" si="128"/>
        <v>2.6</v>
      </c>
      <c r="C152" s="1899" t="str">
        <f t="shared" si="124"/>
        <v>部材の再利用可能性向上への取組み</v>
      </c>
      <c r="D152" s="1896">
        <f t="shared" si="129"/>
        <v>0.2</v>
      </c>
      <c r="E152" s="1897">
        <f t="shared" si="129"/>
        <v>0</v>
      </c>
      <c r="G152" s="1897">
        <f t="shared" si="125"/>
        <v>0.2</v>
      </c>
      <c r="H152" s="1897">
        <f t="shared" si="126"/>
        <v>0</v>
      </c>
      <c r="I152" s="1897"/>
      <c r="J152" s="1897"/>
      <c r="K152" s="1897">
        <f>IF(スコア!M152=0,0,1)</f>
        <v>1</v>
      </c>
      <c r="L152" s="1897">
        <f>IF(スコア!O152=0,0,1)</f>
        <v>0</v>
      </c>
      <c r="M152" s="1897">
        <f t="shared" si="127"/>
        <v>0.2</v>
      </c>
      <c r="N152" s="1897">
        <f t="shared" ref="N152:N180" si="130">(AC$7*AC152)+(AD$7*AD152)+(AE$7*AE152)</f>
        <v>0</v>
      </c>
      <c r="P152" s="1898" t="str">
        <f t="shared" si="113"/>
        <v>2.6</v>
      </c>
      <c r="Q152" s="1898" t="str">
        <f t="shared" si="114"/>
        <v>LR2 2</v>
      </c>
      <c r="R152" s="1899" t="str">
        <f t="shared" si="115"/>
        <v>部材の再利用可能性向上への取組み</v>
      </c>
      <c r="S152" s="1900">
        <f t="shared" si="116"/>
        <v>0.2</v>
      </c>
      <c r="T152" s="1900">
        <f t="shared" si="117"/>
        <v>0.2</v>
      </c>
      <c r="U152" s="1900">
        <f t="shared" si="118"/>
        <v>0.2</v>
      </c>
      <c r="V152" s="1900">
        <f t="shared" si="119"/>
        <v>0.2</v>
      </c>
      <c r="W152" s="1900">
        <f t="shared" si="120"/>
        <v>0.2</v>
      </c>
      <c r="X152" s="1900">
        <f t="shared" si="121"/>
        <v>0.2</v>
      </c>
      <c r="Y152" s="1900">
        <f t="shared" si="122"/>
        <v>0.2</v>
      </c>
      <c r="Z152" s="1908">
        <f t="shared" si="123"/>
        <v>0.2</v>
      </c>
      <c r="AA152" s="1900">
        <f t="shared" si="106"/>
        <v>0.2</v>
      </c>
      <c r="AB152" s="1900">
        <f t="shared" si="107"/>
        <v>0.2</v>
      </c>
      <c r="AC152" s="1980">
        <f t="shared" si="103"/>
        <v>0</v>
      </c>
      <c r="AD152" s="1915">
        <f t="shared" si="104"/>
        <v>0</v>
      </c>
      <c r="AE152" s="1915">
        <f t="shared" si="105"/>
        <v>0</v>
      </c>
      <c r="AG152" s="1898" t="s">
        <v>2794</v>
      </c>
      <c r="AH152" s="1902" t="s">
        <v>170</v>
      </c>
      <c r="AI152" s="1899" t="s">
        <v>1282</v>
      </c>
      <c r="AJ152" s="1904">
        <v>0.2</v>
      </c>
      <c r="AK152" s="1904">
        <v>0.2</v>
      </c>
      <c r="AL152" s="1904">
        <v>0.2</v>
      </c>
      <c r="AM152" s="1904">
        <v>0.2</v>
      </c>
      <c r="AN152" s="1904">
        <v>0.2</v>
      </c>
      <c r="AO152" s="1904">
        <v>0.2</v>
      </c>
      <c r="AP152" s="1904">
        <v>0.2</v>
      </c>
      <c r="AQ152" s="1904">
        <v>0.2</v>
      </c>
      <c r="AR152" s="1904">
        <v>0.2</v>
      </c>
      <c r="AS152" s="1904">
        <v>0.2</v>
      </c>
      <c r="AT152" s="1981"/>
      <c r="AU152" s="1917"/>
      <c r="AV152" s="1917"/>
      <c r="AX152" s="1898" t="s">
        <v>1417</v>
      </c>
      <c r="AY152" s="1902" t="s">
        <v>170</v>
      </c>
      <c r="AZ152" s="1899" t="s">
        <v>1282</v>
      </c>
      <c r="BA152" s="1904">
        <v>0.2</v>
      </c>
      <c r="BB152" s="1904">
        <v>0.2</v>
      </c>
      <c r="BC152" s="1904">
        <v>0.2</v>
      </c>
      <c r="BD152" s="1904">
        <v>0.2</v>
      </c>
      <c r="BE152" s="1904">
        <v>0.2</v>
      </c>
      <c r="BF152" s="1904">
        <v>0.2</v>
      </c>
      <c r="BG152" s="1904">
        <v>0.2</v>
      </c>
      <c r="BH152" s="1904">
        <v>0.2</v>
      </c>
      <c r="BI152" s="1904">
        <v>0.2</v>
      </c>
      <c r="BJ152" s="1904">
        <v>0.2</v>
      </c>
      <c r="BK152" s="1981"/>
      <c r="BL152" s="1917"/>
      <c r="BM152" s="1917"/>
      <c r="BO152" s="1898" t="s">
        <v>1417</v>
      </c>
      <c r="BP152" s="1902" t="s">
        <v>170</v>
      </c>
      <c r="BQ152" s="1899" t="s">
        <v>1282</v>
      </c>
      <c r="BR152" s="1904">
        <v>0.2</v>
      </c>
      <c r="BS152" s="1904">
        <v>0.2</v>
      </c>
      <c r="BT152" s="1904">
        <v>0.2</v>
      </c>
      <c r="BU152" s="1904">
        <v>0.2</v>
      </c>
      <c r="BV152" s="1904">
        <v>0.2</v>
      </c>
      <c r="BW152" s="1904">
        <v>0.2</v>
      </c>
      <c r="BX152" s="1904">
        <v>0.2</v>
      </c>
      <c r="BY152" s="1904">
        <v>0.2</v>
      </c>
      <c r="BZ152" s="1904">
        <v>0.2</v>
      </c>
      <c r="CA152" s="1904">
        <v>0.2</v>
      </c>
      <c r="CB152" s="1981"/>
      <c r="CC152" s="1917"/>
      <c r="CD152" s="1917"/>
      <c r="CE152" s="2272"/>
    </row>
    <row r="153" spans="1:84" s="1355" customFormat="1">
      <c r="A153"/>
      <c r="B153" s="1872">
        <f t="shared" si="128"/>
        <v>3</v>
      </c>
      <c r="C153" s="1887" t="str">
        <f t="shared" si="124"/>
        <v>汚染物質含有材料の使用回避</v>
      </c>
      <c r="D153" s="1883">
        <f>IF(I$140=0,0,G153/I$140)</f>
        <v>0.2</v>
      </c>
      <c r="E153" s="1884">
        <f>IF(J$140=0,0,H153/J$140)</f>
        <v>0</v>
      </c>
      <c r="F153"/>
      <c r="G153" s="1884">
        <f t="shared" si="125"/>
        <v>0.2</v>
      </c>
      <c r="H153" s="1884">
        <f t="shared" si="126"/>
        <v>0</v>
      </c>
      <c r="I153" s="1884">
        <f>G154+G155</f>
        <v>1</v>
      </c>
      <c r="J153" s="1884">
        <f>H154+H155</f>
        <v>0</v>
      </c>
      <c r="K153" s="1884">
        <f>IF(スコア!M153=0,0,1)</f>
        <v>1</v>
      </c>
      <c r="L153" s="1884">
        <f>IF(スコア!O153=0,0,1)</f>
        <v>0</v>
      </c>
      <c r="M153" s="1884">
        <f t="shared" si="127"/>
        <v>0.2</v>
      </c>
      <c r="N153" s="1884">
        <f t="shared" si="130"/>
        <v>0</v>
      </c>
      <c r="O153"/>
      <c r="P153" s="1886">
        <f t="shared" si="113"/>
        <v>3</v>
      </c>
      <c r="Q153" s="1886" t="str">
        <f t="shared" si="114"/>
        <v>LR2</v>
      </c>
      <c r="R153" s="1887" t="str">
        <f t="shared" si="115"/>
        <v>汚染物質含有材料の使用回避</v>
      </c>
      <c r="S153" s="1888">
        <f t="shared" si="116"/>
        <v>0.2</v>
      </c>
      <c r="T153" s="1888">
        <f t="shared" si="117"/>
        <v>0.2</v>
      </c>
      <c r="U153" s="1888">
        <f t="shared" si="118"/>
        <v>0.2</v>
      </c>
      <c r="V153" s="1888">
        <f t="shared" si="119"/>
        <v>0.2</v>
      </c>
      <c r="W153" s="1888">
        <f t="shared" si="120"/>
        <v>0.2</v>
      </c>
      <c r="X153" s="1888">
        <f t="shared" si="121"/>
        <v>0.2</v>
      </c>
      <c r="Y153" s="1888">
        <f t="shared" si="122"/>
        <v>0.2</v>
      </c>
      <c r="Z153" s="1947">
        <f t="shared" si="123"/>
        <v>0.2</v>
      </c>
      <c r="AA153" s="1888">
        <f t="shared" si="106"/>
        <v>0.2</v>
      </c>
      <c r="AB153" s="1888">
        <f t="shared" si="107"/>
        <v>0.2</v>
      </c>
      <c r="AC153" s="1976">
        <f t="shared" si="103"/>
        <v>0</v>
      </c>
      <c r="AD153" s="1977">
        <f t="shared" si="104"/>
        <v>0</v>
      </c>
      <c r="AE153" s="1977">
        <f t="shared" si="105"/>
        <v>0</v>
      </c>
      <c r="AF153"/>
      <c r="AG153" s="1886">
        <v>3</v>
      </c>
      <c r="AH153" s="1891" t="s">
        <v>1588</v>
      </c>
      <c r="AI153" s="1887" t="s">
        <v>1283</v>
      </c>
      <c r="AJ153" s="1892">
        <v>0.2</v>
      </c>
      <c r="AK153" s="1892">
        <v>0.2</v>
      </c>
      <c r="AL153" s="1892">
        <v>0.2</v>
      </c>
      <c r="AM153" s="1892">
        <v>0.2</v>
      </c>
      <c r="AN153" s="1892">
        <v>0.2</v>
      </c>
      <c r="AO153" s="1892">
        <v>0.2</v>
      </c>
      <c r="AP153" s="1892">
        <v>0.2</v>
      </c>
      <c r="AQ153" s="1892">
        <v>0.2</v>
      </c>
      <c r="AR153" s="1892">
        <v>0.2</v>
      </c>
      <c r="AS153" s="1892">
        <v>0.2</v>
      </c>
      <c r="AT153" s="1978">
        <v>0</v>
      </c>
      <c r="AU153" s="1979">
        <v>0</v>
      </c>
      <c r="AV153" s="1979">
        <v>0</v>
      </c>
      <c r="AW153"/>
      <c r="AX153" s="1886">
        <v>3</v>
      </c>
      <c r="AY153" s="1891" t="s">
        <v>1588</v>
      </c>
      <c r="AZ153" s="1887" t="s">
        <v>1283</v>
      </c>
      <c r="BA153" s="1892">
        <v>0.2</v>
      </c>
      <c r="BB153" s="1892">
        <v>0.2</v>
      </c>
      <c r="BC153" s="1892">
        <v>0.2</v>
      </c>
      <c r="BD153" s="1892">
        <v>0.2</v>
      </c>
      <c r="BE153" s="1892">
        <v>0.2</v>
      </c>
      <c r="BF153" s="1892">
        <v>0.2</v>
      </c>
      <c r="BG153" s="1892">
        <v>0.2</v>
      </c>
      <c r="BH153" s="1892">
        <v>0.2</v>
      </c>
      <c r="BI153" s="1892">
        <v>0.2</v>
      </c>
      <c r="BJ153" s="1892">
        <v>0.2</v>
      </c>
      <c r="BK153" s="1978"/>
      <c r="BL153" s="1979"/>
      <c r="BM153" s="1979"/>
      <c r="BN153"/>
      <c r="BO153" s="1886">
        <v>3</v>
      </c>
      <c r="BP153" s="1891" t="s">
        <v>1588</v>
      </c>
      <c r="BQ153" s="1887" t="s">
        <v>1283</v>
      </c>
      <c r="BR153" s="1892">
        <v>0.2</v>
      </c>
      <c r="BS153" s="1892">
        <v>0.2</v>
      </c>
      <c r="BT153" s="1892">
        <v>0.2</v>
      </c>
      <c r="BU153" s="1892">
        <v>0.2</v>
      </c>
      <c r="BV153" s="1892">
        <v>0.2</v>
      </c>
      <c r="BW153" s="1892">
        <v>0.2</v>
      </c>
      <c r="BX153" s="1892">
        <v>0.2</v>
      </c>
      <c r="BY153" s="1892">
        <v>0.2</v>
      </c>
      <c r="BZ153" s="1892">
        <v>0.2</v>
      </c>
      <c r="CA153" s="1892">
        <v>0.2</v>
      </c>
      <c r="CB153" s="1978"/>
      <c r="CC153" s="1979"/>
      <c r="CD153" s="1979"/>
      <c r="CE153" s="2282"/>
      <c r="CF153"/>
    </row>
    <row r="154" spans="1:84">
      <c r="B154" s="1872" t="str">
        <f t="shared" si="128"/>
        <v>3.1</v>
      </c>
      <c r="C154" s="1899" t="str">
        <f t="shared" si="124"/>
        <v>有害物質を含まない材料の使用</v>
      </c>
      <c r="D154" s="1896">
        <f>IF(I$153=0,0,G154/I$153)</f>
        <v>0.3</v>
      </c>
      <c r="E154" s="1897">
        <f>IF(J$153=0,0,H154/J$153)</f>
        <v>0</v>
      </c>
      <c r="G154" s="1897">
        <f t="shared" si="125"/>
        <v>0.3</v>
      </c>
      <c r="H154" s="1897">
        <f t="shared" si="126"/>
        <v>0</v>
      </c>
      <c r="I154" s="1897"/>
      <c r="J154" s="1897"/>
      <c r="K154" s="1897">
        <f>IF(スコア!M154=0,0,1)</f>
        <v>1</v>
      </c>
      <c r="L154" s="1897">
        <f>IF(スコア!O154=0,0,1)</f>
        <v>0</v>
      </c>
      <c r="M154" s="1897">
        <f t="shared" si="127"/>
        <v>0.3</v>
      </c>
      <c r="N154" s="1897">
        <f t="shared" si="130"/>
        <v>0</v>
      </c>
      <c r="P154" s="1898" t="str">
        <f t="shared" si="113"/>
        <v>3.1</v>
      </c>
      <c r="Q154" s="1898" t="str">
        <f t="shared" si="114"/>
        <v>LR2 3</v>
      </c>
      <c r="R154" s="1899" t="str">
        <f t="shared" si="115"/>
        <v>有害物質を含まない材料の使用</v>
      </c>
      <c r="S154" s="1900">
        <f t="shared" si="116"/>
        <v>0.3</v>
      </c>
      <c r="T154" s="1900">
        <f t="shared" si="117"/>
        <v>0.3</v>
      </c>
      <c r="U154" s="1900">
        <f t="shared" si="118"/>
        <v>0.3</v>
      </c>
      <c r="V154" s="1900">
        <f t="shared" si="119"/>
        <v>0.3</v>
      </c>
      <c r="W154" s="1900">
        <f t="shared" si="120"/>
        <v>0.3</v>
      </c>
      <c r="X154" s="1900">
        <f t="shared" si="121"/>
        <v>0.3</v>
      </c>
      <c r="Y154" s="1900">
        <f t="shared" si="122"/>
        <v>0.3</v>
      </c>
      <c r="Z154" s="1908">
        <f t="shared" si="123"/>
        <v>0.3</v>
      </c>
      <c r="AA154" s="1900">
        <f t="shared" si="106"/>
        <v>0.3</v>
      </c>
      <c r="AB154" s="1900">
        <f t="shared" si="107"/>
        <v>0.3</v>
      </c>
      <c r="AC154" s="1980">
        <f t="shared" si="103"/>
        <v>0</v>
      </c>
      <c r="AD154" s="1915">
        <f t="shared" si="104"/>
        <v>0</v>
      </c>
      <c r="AE154" s="1915">
        <f t="shared" si="105"/>
        <v>0</v>
      </c>
      <c r="AG154" s="1898" t="s">
        <v>1418</v>
      </c>
      <c r="AH154" s="1902" t="s">
        <v>171</v>
      </c>
      <c r="AI154" s="1899" t="s">
        <v>1284</v>
      </c>
      <c r="AJ154" s="1904">
        <v>0.3</v>
      </c>
      <c r="AK154" s="1904">
        <v>0.3</v>
      </c>
      <c r="AL154" s="1904">
        <v>0.3</v>
      </c>
      <c r="AM154" s="1904">
        <v>0.3</v>
      </c>
      <c r="AN154" s="1904">
        <v>0.3</v>
      </c>
      <c r="AO154" s="1904">
        <v>0.3</v>
      </c>
      <c r="AP154" s="1904">
        <v>0.3</v>
      </c>
      <c r="AQ154" s="1904">
        <v>0.3</v>
      </c>
      <c r="AR154" s="1904">
        <v>0.3</v>
      </c>
      <c r="AS154" s="1904">
        <v>0.3</v>
      </c>
      <c r="AT154" s="1981">
        <v>0</v>
      </c>
      <c r="AU154" s="1917">
        <v>0</v>
      </c>
      <c r="AV154" s="1917">
        <v>0</v>
      </c>
      <c r="AX154" s="1898" t="s">
        <v>1419</v>
      </c>
      <c r="AY154" s="1902" t="s">
        <v>171</v>
      </c>
      <c r="AZ154" s="1899" t="s">
        <v>1284</v>
      </c>
      <c r="BA154" s="1904">
        <v>0.3</v>
      </c>
      <c r="BB154" s="1904">
        <v>0.3</v>
      </c>
      <c r="BC154" s="1904">
        <v>0.3</v>
      </c>
      <c r="BD154" s="1904">
        <v>0.3</v>
      </c>
      <c r="BE154" s="1904">
        <v>0.3</v>
      </c>
      <c r="BF154" s="1904">
        <v>0.3</v>
      </c>
      <c r="BG154" s="1904">
        <v>0.3</v>
      </c>
      <c r="BH154" s="1904">
        <v>0.3</v>
      </c>
      <c r="BI154" s="1904">
        <v>0.3</v>
      </c>
      <c r="BJ154" s="1904">
        <v>0.3</v>
      </c>
      <c r="BK154" s="1981"/>
      <c r="BL154" s="1917"/>
      <c r="BM154" s="1917"/>
      <c r="BO154" s="1898" t="s">
        <v>1419</v>
      </c>
      <c r="BP154" s="1902" t="s">
        <v>171</v>
      </c>
      <c r="BQ154" s="1899" t="s">
        <v>1284</v>
      </c>
      <c r="BR154" s="1904">
        <v>0.3</v>
      </c>
      <c r="BS154" s="1904">
        <v>0.3</v>
      </c>
      <c r="BT154" s="1904">
        <v>0.3</v>
      </c>
      <c r="BU154" s="1904">
        <v>0.3</v>
      </c>
      <c r="BV154" s="1904">
        <v>0.3</v>
      </c>
      <c r="BW154" s="1904">
        <v>0.3</v>
      </c>
      <c r="BX154" s="1904">
        <v>0.3</v>
      </c>
      <c r="BY154" s="1904">
        <v>0.3</v>
      </c>
      <c r="BZ154" s="1904">
        <v>0.3</v>
      </c>
      <c r="CA154" s="1904">
        <v>0.3</v>
      </c>
      <c r="CB154" s="1981"/>
      <c r="CC154" s="1917"/>
      <c r="CD154" s="1917"/>
      <c r="CE154" s="2272"/>
    </row>
    <row r="155" spans="1:84">
      <c r="B155" s="1872" t="str">
        <f t="shared" si="128"/>
        <v>3.2</v>
      </c>
      <c r="C155" s="1899" t="str">
        <f t="shared" si="124"/>
        <v>フロン・ハロンの回避</v>
      </c>
      <c r="D155" s="1896">
        <f>IF(I$153=0,0,G155/I$153)</f>
        <v>0.7</v>
      </c>
      <c r="E155" s="1897">
        <f>IF(J$153=0,0,H155/J$153)</f>
        <v>0</v>
      </c>
      <c r="G155" s="1897">
        <f t="shared" si="125"/>
        <v>0.7</v>
      </c>
      <c r="H155" s="1897">
        <f t="shared" si="126"/>
        <v>0</v>
      </c>
      <c r="I155" s="1897">
        <f>SUM(G156:G158)</f>
        <v>1</v>
      </c>
      <c r="J155" s="1897">
        <f>SUM(H156:H158)</f>
        <v>0</v>
      </c>
      <c r="K155" s="1897">
        <f>IF(スコア!M155=0,0,1)</f>
        <v>1</v>
      </c>
      <c r="L155" s="1897">
        <f>IF(スコア!O155=0,0,1)</f>
        <v>0</v>
      </c>
      <c r="M155" s="1897">
        <f t="shared" si="127"/>
        <v>0.7</v>
      </c>
      <c r="N155" s="1897">
        <f t="shared" si="130"/>
        <v>0</v>
      </c>
      <c r="P155" s="1898" t="str">
        <f t="shared" si="113"/>
        <v>3.2</v>
      </c>
      <c r="Q155" s="1898" t="str">
        <f t="shared" si="114"/>
        <v>LR2 3</v>
      </c>
      <c r="R155" s="1899" t="str">
        <f t="shared" si="115"/>
        <v>フロン・ハロンの回避</v>
      </c>
      <c r="S155" s="1900">
        <f t="shared" si="116"/>
        <v>0.7</v>
      </c>
      <c r="T155" s="1900">
        <f t="shared" si="117"/>
        <v>0.7</v>
      </c>
      <c r="U155" s="1900">
        <f t="shared" si="118"/>
        <v>0.7</v>
      </c>
      <c r="V155" s="1900">
        <f t="shared" si="119"/>
        <v>0.7</v>
      </c>
      <c r="W155" s="1900">
        <f t="shared" si="120"/>
        <v>0.7</v>
      </c>
      <c r="X155" s="1900">
        <f t="shared" si="121"/>
        <v>0.7</v>
      </c>
      <c r="Y155" s="1900">
        <f t="shared" si="122"/>
        <v>0.7</v>
      </c>
      <c r="Z155" s="1908">
        <f t="shared" si="123"/>
        <v>0.7</v>
      </c>
      <c r="AA155" s="1900">
        <f t="shared" si="106"/>
        <v>0.7</v>
      </c>
      <c r="AB155" s="1900">
        <f t="shared" si="107"/>
        <v>0.7</v>
      </c>
      <c r="AC155" s="1980">
        <f t="shared" si="103"/>
        <v>0</v>
      </c>
      <c r="AD155" s="1915">
        <f t="shared" si="104"/>
        <v>0</v>
      </c>
      <c r="AE155" s="1915">
        <f t="shared" si="105"/>
        <v>0</v>
      </c>
      <c r="AG155" s="1898" t="s">
        <v>1420</v>
      </c>
      <c r="AH155" s="1902" t="s">
        <v>171</v>
      </c>
      <c r="AI155" s="1899" t="s">
        <v>172</v>
      </c>
      <c r="AJ155" s="1904">
        <v>0.7</v>
      </c>
      <c r="AK155" s="1904">
        <v>0.7</v>
      </c>
      <c r="AL155" s="1904">
        <v>0.7</v>
      </c>
      <c r="AM155" s="1904">
        <v>0.7</v>
      </c>
      <c r="AN155" s="1904">
        <v>0.7</v>
      </c>
      <c r="AO155" s="1904">
        <v>0.7</v>
      </c>
      <c r="AP155" s="1904">
        <v>0.7</v>
      </c>
      <c r="AQ155" s="1904">
        <v>0.7</v>
      </c>
      <c r="AR155" s="1904">
        <v>0.7</v>
      </c>
      <c r="AS155" s="1904">
        <v>0.7</v>
      </c>
      <c r="AT155" s="1981">
        <v>0</v>
      </c>
      <c r="AU155" s="1917">
        <v>0</v>
      </c>
      <c r="AV155" s="1917">
        <v>0</v>
      </c>
      <c r="AX155" s="1898" t="s">
        <v>1420</v>
      </c>
      <c r="AY155" s="1902" t="s">
        <v>171</v>
      </c>
      <c r="AZ155" s="1899" t="s">
        <v>172</v>
      </c>
      <c r="BA155" s="1904">
        <v>0.7</v>
      </c>
      <c r="BB155" s="1904">
        <v>0.7</v>
      </c>
      <c r="BC155" s="1904">
        <v>0.7</v>
      </c>
      <c r="BD155" s="1904">
        <v>0.7</v>
      </c>
      <c r="BE155" s="1904">
        <v>0.7</v>
      </c>
      <c r="BF155" s="1904">
        <v>0.7</v>
      </c>
      <c r="BG155" s="1904">
        <v>0.7</v>
      </c>
      <c r="BH155" s="1904">
        <v>0.7</v>
      </c>
      <c r="BI155" s="1904">
        <v>0.7</v>
      </c>
      <c r="BJ155" s="1904">
        <v>0.7</v>
      </c>
      <c r="BK155" s="1981"/>
      <c r="BL155" s="1917"/>
      <c r="BM155" s="1917"/>
      <c r="BO155" s="1898" t="s">
        <v>1420</v>
      </c>
      <c r="BP155" s="1902" t="s">
        <v>171</v>
      </c>
      <c r="BQ155" s="1899" t="s">
        <v>172</v>
      </c>
      <c r="BR155" s="1904">
        <v>0.7</v>
      </c>
      <c r="BS155" s="1904">
        <v>0.7</v>
      </c>
      <c r="BT155" s="1904">
        <v>0.7</v>
      </c>
      <c r="BU155" s="1904">
        <v>0.7</v>
      </c>
      <c r="BV155" s="1904">
        <v>0.7</v>
      </c>
      <c r="BW155" s="1904">
        <v>0.7</v>
      </c>
      <c r="BX155" s="1904">
        <v>0.7</v>
      </c>
      <c r="BY155" s="1904">
        <v>0.7</v>
      </c>
      <c r="BZ155" s="1904">
        <v>0.7</v>
      </c>
      <c r="CA155" s="1904">
        <v>0.7</v>
      </c>
      <c r="CB155" s="1981"/>
      <c r="CC155" s="1917"/>
      <c r="CD155" s="1917"/>
      <c r="CE155" s="2272"/>
    </row>
    <row r="156" spans="1:84">
      <c r="B156" s="1872" t="str">
        <f t="shared" si="128"/>
        <v>3.2.1</v>
      </c>
      <c r="C156" s="1895" t="str">
        <f t="shared" si="124"/>
        <v>消火剤</v>
      </c>
      <c r="D156" s="1885">
        <f t="shared" ref="D156:E158" si="131">IF(I$155&gt;0,G156/I$155,0)</f>
        <v>0.33333333333333337</v>
      </c>
      <c r="E156" s="1897">
        <f t="shared" si="131"/>
        <v>0</v>
      </c>
      <c r="G156" s="1897">
        <f t="shared" si="125"/>
        <v>0.33333333333333337</v>
      </c>
      <c r="H156" s="1897">
        <f t="shared" si="126"/>
        <v>0</v>
      </c>
      <c r="I156" s="1897"/>
      <c r="J156" s="1897"/>
      <c r="K156" s="1897">
        <f>IF(スコア!M156=0,0,1)</f>
        <v>1</v>
      </c>
      <c r="L156" s="1897">
        <f>IF(スコア!O156=0,0,1)</f>
        <v>0</v>
      </c>
      <c r="M156" s="1897">
        <f t="shared" si="127"/>
        <v>0.33333333333333337</v>
      </c>
      <c r="N156" s="1897">
        <f t="shared" si="130"/>
        <v>0</v>
      </c>
      <c r="P156" s="1898" t="str">
        <f t="shared" si="113"/>
        <v>3.2.1</v>
      </c>
      <c r="Q156" s="1898" t="str">
        <f t="shared" si="114"/>
        <v>LR2 3.2</v>
      </c>
      <c r="R156" s="1899" t="str">
        <f t="shared" si="115"/>
        <v>消火剤</v>
      </c>
      <c r="S156" s="1900">
        <f t="shared" si="116"/>
        <v>0.33333333333333331</v>
      </c>
      <c r="T156" s="1900">
        <f t="shared" si="117"/>
        <v>0.33333333333333331</v>
      </c>
      <c r="U156" s="1900">
        <f t="shared" si="118"/>
        <v>0.33333333333333331</v>
      </c>
      <c r="V156" s="1900">
        <f t="shared" si="119"/>
        <v>0.33333333333333331</v>
      </c>
      <c r="W156" s="1900">
        <f t="shared" si="120"/>
        <v>0.33333333333333331</v>
      </c>
      <c r="X156" s="1900">
        <f t="shared" si="121"/>
        <v>0.33333333333333331</v>
      </c>
      <c r="Y156" s="1900">
        <f t="shared" si="122"/>
        <v>0.33333333333333331</v>
      </c>
      <c r="Z156" s="1908">
        <f t="shared" si="123"/>
        <v>0.33333333333333331</v>
      </c>
      <c r="AA156" s="1900">
        <f t="shared" si="106"/>
        <v>0.33333333333333331</v>
      </c>
      <c r="AB156" s="1900">
        <f t="shared" si="107"/>
        <v>0.33333333333333331</v>
      </c>
      <c r="AC156" s="1980">
        <f t="shared" ref="AC156:AC180" si="132">IF($P$3=1,BK156,IF($P$3=2,CB156,AT156))</f>
        <v>0</v>
      </c>
      <c r="AD156" s="1915">
        <f t="shared" ref="AD156:AD180" si="133">IF($P$3=1,BL156,IF($P$3=2,CC156,AU156))</f>
        <v>0</v>
      </c>
      <c r="AE156" s="1915">
        <f t="shared" ref="AE156:AE180" si="134">IF($P$3=1,BM156,IF($P$3=2,CD156,AV156))</f>
        <v>0</v>
      </c>
      <c r="AG156" s="1898" t="s">
        <v>1421</v>
      </c>
      <c r="AH156" s="1902" t="s">
        <v>2519</v>
      </c>
      <c r="AI156" s="1899" t="s">
        <v>1422</v>
      </c>
      <c r="AJ156" s="1904">
        <v>0.33333333333333331</v>
      </c>
      <c r="AK156" s="1904">
        <v>0.33333333333333331</v>
      </c>
      <c r="AL156" s="1904">
        <v>0.33333333333333331</v>
      </c>
      <c r="AM156" s="1904">
        <v>0.33333333333333331</v>
      </c>
      <c r="AN156" s="1904">
        <v>0.33333333333333331</v>
      </c>
      <c r="AO156" s="1904">
        <v>0.33333333333333331</v>
      </c>
      <c r="AP156" s="1904">
        <v>0.33333333333333331</v>
      </c>
      <c r="AQ156" s="1904">
        <v>0.33333333333333331</v>
      </c>
      <c r="AR156" s="1904">
        <v>0.33333333333333331</v>
      </c>
      <c r="AS156" s="1904">
        <v>0.33333333333333331</v>
      </c>
      <c r="AT156" s="1981">
        <v>0</v>
      </c>
      <c r="AU156" s="1917">
        <v>0</v>
      </c>
      <c r="AV156" s="1917">
        <v>0</v>
      </c>
      <c r="AX156" s="1898" t="s">
        <v>1421</v>
      </c>
      <c r="AY156" s="1902" t="s">
        <v>2519</v>
      </c>
      <c r="AZ156" s="1899" t="s">
        <v>1422</v>
      </c>
      <c r="BA156" s="1904">
        <v>0.33333333333333331</v>
      </c>
      <c r="BB156" s="1904">
        <v>0.33333333333333331</v>
      </c>
      <c r="BC156" s="1904">
        <v>0.33333333333333331</v>
      </c>
      <c r="BD156" s="1904">
        <v>0.33333333333333331</v>
      </c>
      <c r="BE156" s="1904">
        <v>0.33333333333333331</v>
      </c>
      <c r="BF156" s="1904">
        <v>0.33333333333333331</v>
      </c>
      <c r="BG156" s="1904">
        <v>0.33333333333333331</v>
      </c>
      <c r="BH156" s="1904">
        <v>0.33333333333333331</v>
      </c>
      <c r="BI156" s="1904">
        <v>0.33333333333333331</v>
      </c>
      <c r="BJ156" s="1904">
        <v>0.33333333333333331</v>
      </c>
      <c r="BK156" s="1981"/>
      <c r="BL156" s="1917"/>
      <c r="BM156" s="1917"/>
      <c r="BO156" s="1898" t="s">
        <v>1421</v>
      </c>
      <c r="BP156" s="1902" t="s">
        <v>2519</v>
      </c>
      <c r="BQ156" s="1899" t="s">
        <v>1422</v>
      </c>
      <c r="BR156" s="1904">
        <v>0.33333333333333331</v>
      </c>
      <c r="BS156" s="1904">
        <v>0.33333333333333331</v>
      </c>
      <c r="BT156" s="1904">
        <v>0.33333333333333331</v>
      </c>
      <c r="BU156" s="1904">
        <v>0.33333333333333331</v>
      </c>
      <c r="BV156" s="1904">
        <v>0.33333333333333331</v>
      </c>
      <c r="BW156" s="1904">
        <v>0.33333333333333331</v>
      </c>
      <c r="BX156" s="1904">
        <v>0.33333333333333331</v>
      </c>
      <c r="BY156" s="1904">
        <v>0.33333333333333331</v>
      </c>
      <c r="BZ156" s="1904">
        <v>0.33333333333333331</v>
      </c>
      <c r="CA156" s="1904">
        <v>0.33333333333333331</v>
      </c>
      <c r="CB156" s="1981"/>
      <c r="CC156" s="1917"/>
      <c r="CD156" s="1917"/>
      <c r="CE156" s="2272"/>
    </row>
    <row r="157" spans="1:84">
      <c r="B157" s="1872" t="str">
        <f t="shared" si="128"/>
        <v>3.2.2</v>
      </c>
      <c r="C157" s="1895" t="str">
        <f t="shared" si="124"/>
        <v>発泡剤（断熱材等）</v>
      </c>
      <c r="D157" s="1885">
        <f t="shared" si="131"/>
        <v>0.33333333333333337</v>
      </c>
      <c r="E157" s="1897">
        <f t="shared" si="131"/>
        <v>0</v>
      </c>
      <c r="G157" s="1897">
        <f t="shared" si="125"/>
        <v>0.33333333333333337</v>
      </c>
      <c r="H157" s="1897">
        <f t="shared" si="126"/>
        <v>0</v>
      </c>
      <c r="I157" s="1897"/>
      <c r="J157" s="1897"/>
      <c r="K157" s="1897">
        <f>IF(スコア!M157=0,0,1)</f>
        <v>1</v>
      </c>
      <c r="L157" s="1897">
        <f>IF(スコア!O157=0,0,1)</f>
        <v>0</v>
      </c>
      <c r="M157" s="1897">
        <f t="shared" si="127"/>
        <v>0.33333333333333337</v>
      </c>
      <c r="N157" s="1897">
        <f t="shared" si="130"/>
        <v>0</v>
      </c>
      <c r="P157" s="1898" t="str">
        <f t="shared" si="113"/>
        <v>3.2.2</v>
      </c>
      <c r="Q157" s="1898" t="str">
        <f t="shared" si="114"/>
        <v>LR2 3.2</v>
      </c>
      <c r="R157" s="1899" t="str">
        <f t="shared" si="115"/>
        <v>発泡剤（断熱材等）</v>
      </c>
      <c r="S157" s="1900">
        <f t="shared" si="116"/>
        <v>0.33333333333333331</v>
      </c>
      <c r="T157" s="1900">
        <f t="shared" si="117"/>
        <v>0.33333333333333331</v>
      </c>
      <c r="U157" s="1900">
        <f t="shared" si="118"/>
        <v>0.33333333333333331</v>
      </c>
      <c r="V157" s="1900">
        <f t="shared" si="119"/>
        <v>0.33333333333333331</v>
      </c>
      <c r="W157" s="1900">
        <f t="shared" si="120"/>
        <v>0.33333333333333331</v>
      </c>
      <c r="X157" s="1900">
        <f t="shared" si="121"/>
        <v>0.33333333333333331</v>
      </c>
      <c r="Y157" s="1900">
        <f t="shared" si="122"/>
        <v>0.33333333333333331</v>
      </c>
      <c r="Z157" s="1908">
        <f t="shared" si="123"/>
        <v>0.33333333333333331</v>
      </c>
      <c r="AA157" s="1900">
        <f t="shared" si="106"/>
        <v>0.33333333333333331</v>
      </c>
      <c r="AB157" s="1900">
        <f t="shared" si="107"/>
        <v>0.33333333333333331</v>
      </c>
      <c r="AC157" s="1980">
        <f t="shared" si="132"/>
        <v>0</v>
      </c>
      <c r="AD157" s="1915">
        <f t="shared" si="133"/>
        <v>0</v>
      </c>
      <c r="AE157" s="1915">
        <f t="shared" si="134"/>
        <v>0</v>
      </c>
      <c r="AG157" s="1898" t="s">
        <v>1423</v>
      </c>
      <c r="AH157" s="1902" t="s">
        <v>2519</v>
      </c>
      <c r="AI157" s="1899" t="s">
        <v>2520</v>
      </c>
      <c r="AJ157" s="1904">
        <v>0.33333333333333331</v>
      </c>
      <c r="AK157" s="1904">
        <v>0.33333333333333331</v>
      </c>
      <c r="AL157" s="1904">
        <v>0.33333333333333331</v>
      </c>
      <c r="AM157" s="1904">
        <v>0.33333333333333331</v>
      </c>
      <c r="AN157" s="1904">
        <v>0.33333333333333331</v>
      </c>
      <c r="AO157" s="1904">
        <v>0.33333333333333331</v>
      </c>
      <c r="AP157" s="1904">
        <v>0.33333333333333331</v>
      </c>
      <c r="AQ157" s="1904">
        <v>0.33333333333333331</v>
      </c>
      <c r="AR157" s="1904">
        <v>0.33333333333333331</v>
      </c>
      <c r="AS157" s="1904">
        <v>0.33333333333333331</v>
      </c>
      <c r="AT157" s="1981">
        <v>0</v>
      </c>
      <c r="AU157" s="1917">
        <v>0</v>
      </c>
      <c r="AV157" s="1917">
        <v>0</v>
      </c>
      <c r="AX157" s="1898" t="s">
        <v>1423</v>
      </c>
      <c r="AY157" s="1902" t="s">
        <v>2519</v>
      </c>
      <c r="AZ157" s="1899" t="s">
        <v>2520</v>
      </c>
      <c r="BA157" s="1904">
        <v>0.33333333333333331</v>
      </c>
      <c r="BB157" s="1904">
        <v>0.33333333333333331</v>
      </c>
      <c r="BC157" s="1904">
        <v>0.33333333333333331</v>
      </c>
      <c r="BD157" s="1904">
        <v>0.33333333333333331</v>
      </c>
      <c r="BE157" s="1904">
        <v>0.33333333333333331</v>
      </c>
      <c r="BF157" s="1904">
        <v>0.33333333333333331</v>
      </c>
      <c r="BG157" s="1904">
        <v>0.33333333333333331</v>
      </c>
      <c r="BH157" s="1904">
        <v>0.33333333333333331</v>
      </c>
      <c r="BI157" s="1904">
        <v>0.33333333333333331</v>
      </c>
      <c r="BJ157" s="1904">
        <v>0.33333333333333331</v>
      </c>
      <c r="BK157" s="1981"/>
      <c r="BL157" s="1917"/>
      <c r="BM157" s="1917"/>
      <c r="BO157" s="1898" t="s">
        <v>1423</v>
      </c>
      <c r="BP157" s="1902" t="s">
        <v>2519</v>
      </c>
      <c r="BQ157" s="1899" t="s">
        <v>1424</v>
      </c>
      <c r="BR157" s="1904">
        <v>0.33333333333333331</v>
      </c>
      <c r="BS157" s="1904">
        <v>0.33333333333333331</v>
      </c>
      <c r="BT157" s="1904">
        <v>0.33333333333333331</v>
      </c>
      <c r="BU157" s="1904">
        <v>0.33333333333333331</v>
      </c>
      <c r="BV157" s="1904">
        <v>0.33333333333333331</v>
      </c>
      <c r="BW157" s="1904">
        <v>0.33333333333333331</v>
      </c>
      <c r="BX157" s="1904">
        <v>0.33333333333333331</v>
      </c>
      <c r="BY157" s="1904">
        <v>0.33333333333333331</v>
      </c>
      <c r="BZ157" s="1904">
        <v>0.33333333333333331</v>
      </c>
      <c r="CA157" s="1904">
        <v>0.33333333333333331</v>
      </c>
      <c r="CB157" s="1981"/>
      <c r="CC157" s="1917"/>
      <c r="CD157" s="1917"/>
      <c r="CE157" s="2272"/>
    </row>
    <row r="158" spans="1:84">
      <c r="B158" s="1872" t="str">
        <f t="shared" si="128"/>
        <v>3.2.3</v>
      </c>
      <c r="C158" s="1895" t="str">
        <f t="shared" si="124"/>
        <v>冷媒</v>
      </c>
      <c r="D158" s="1885">
        <f t="shared" si="131"/>
        <v>0.33333333333333337</v>
      </c>
      <c r="E158" s="1897">
        <f t="shared" si="131"/>
        <v>0</v>
      </c>
      <c r="G158" s="1897">
        <f t="shared" si="125"/>
        <v>0.33333333333333337</v>
      </c>
      <c r="H158" s="1897">
        <f t="shared" si="126"/>
        <v>0</v>
      </c>
      <c r="I158" s="1897"/>
      <c r="J158" s="1897"/>
      <c r="K158" s="1897">
        <f>IF(スコア!M158=0,0,1)</f>
        <v>1</v>
      </c>
      <c r="L158" s="1897">
        <f>IF(スコア!O158=0,0,1)</f>
        <v>0</v>
      </c>
      <c r="M158" s="1897">
        <f t="shared" si="127"/>
        <v>0.33333333333333337</v>
      </c>
      <c r="N158" s="1897">
        <f t="shared" si="130"/>
        <v>0</v>
      </c>
      <c r="P158" s="1898" t="str">
        <f t="shared" si="113"/>
        <v>3.2.3</v>
      </c>
      <c r="Q158" s="1898" t="str">
        <f t="shared" si="114"/>
        <v>LR2 3.2</v>
      </c>
      <c r="R158" s="1899" t="str">
        <f t="shared" si="115"/>
        <v>冷媒</v>
      </c>
      <c r="S158" s="1900">
        <f t="shared" si="116"/>
        <v>0.33333333333333331</v>
      </c>
      <c r="T158" s="1900">
        <f t="shared" si="117"/>
        <v>0.33333333333333331</v>
      </c>
      <c r="U158" s="1900">
        <f t="shared" si="118"/>
        <v>0.33333333333333331</v>
      </c>
      <c r="V158" s="1900">
        <f t="shared" si="119"/>
        <v>0.33333333333333331</v>
      </c>
      <c r="W158" s="1900">
        <f t="shared" si="120"/>
        <v>0.33333333333333331</v>
      </c>
      <c r="X158" s="1900">
        <f t="shared" si="121"/>
        <v>0.33333333333333331</v>
      </c>
      <c r="Y158" s="1900">
        <f t="shared" si="122"/>
        <v>0.33333333333333331</v>
      </c>
      <c r="Z158" s="1908">
        <f t="shared" si="123"/>
        <v>0.33333333333333331</v>
      </c>
      <c r="AA158" s="1900">
        <f t="shared" si="106"/>
        <v>0.33333333333333331</v>
      </c>
      <c r="AB158" s="1900">
        <f t="shared" si="107"/>
        <v>0.33333333333333331</v>
      </c>
      <c r="AC158" s="1980">
        <f t="shared" si="132"/>
        <v>0</v>
      </c>
      <c r="AD158" s="1915">
        <f t="shared" si="133"/>
        <v>0</v>
      </c>
      <c r="AE158" s="1915">
        <f t="shared" si="134"/>
        <v>0</v>
      </c>
      <c r="AG158" s="1898" t="s">
        <v>1683</v>
      </c>
      <c r="AH158" s="1902" t="s">
        <v>2519</v>
      </c>
      <c r="AI158" s="1899" t="s">
        <v>2521</v>
      </c>
      <c r="AJ158" s="1904">
        <v>0.33333333333333331</v>
      </c>
      <c r="AK158" s="1904">
        <v>0.33333333333333331</v>
      </c>
      <c r="AL158" s="1904">
        <v>0.33333333333333331</v>
      </c>
      <c r="AM158" s="1904">
        <v>0.33333333333333331</v>
      </c>
      <c r="AN158" s="1904">
        <v>0.33333333333333331</v>
      </c>
      <c r="AO158" s="1904">
        <v>0.33333333333333331</v>
      </c>
      <c r="AP158" s="1904">
        <v>0.33333333333333331</v>
      </c>
      <c r="AQ158" s="1904">
        <v>0.33333333333333331</v>
      </c>
      <c r="AR158" s="1904">
        <v>0.33333333333333331</v>
      </c>
      <c r="AS158" s="1904">
        <v>0.33333333333333331</v>
      </c>
      <c r="AT158" s="1981">
        <v>0</v>
      </c>
      <c r="AU158" s="1917">
        <v>0</v>
      </c>
      <c r="AV158" s="1917">
        <v>0</v>
      </c>
      <c r="AX158" s="1898" t="s">
        <v>1683</v>
      </c>
      <c r="AY158" s="1902" t="s">
        <v>2519</v>
      </c>
      <c r="AZ158" s="1899" t="s">
        <v>2521</v>
      </c>
      <c r="BA158" s="1904">
        <v>0.33333333333333331</v>
      </c>
      <c r="BB158" s="1904">
        <v>0.33333333333333331</v>
      </c>
      <c r="BC158" s="1904">
        <v>0.33333333333333331</v>
      </c>
      <c r="BD158" s="1904">
        <v>0.33333333333333331</v>
      </c>
      <c r="BE158" s="1904">
        <v>0.33333333333333331</v>
      </c>
      <c r="BF158" s="1904">
        <v>0.33333333333333331</v>
      </c>
      <c r="BG158" s="1904">
        <v>0.33333333333333331</v>
      </c>
      <c r="BH158" s="1904">
        <v>0.33333333333333331</v>
      </c>
      <c r="BI158" s="1904">
        <v>0.33333333333333331</v>
      </c>
      <c r="BJ158" s="1904">
        <v>0.33333333333333331</v>
      </c>
      <c r="BK158" s="1981"/>
      <c r="BL158" s="1917"/>
      <c r="BM158" s="1917"/>
      <c r="BO158" s="1898" t="s">
        <v>1683</v>
      </c>
      <c r="BP158" s="1902" t="s">
        <v>2519</v>
      </c>
      <c r="BQ158" s="1899" t="s">
        <v>2521</v>
      </c>
      <c r="BR158" s="1904">
        <v>0.33333333333333331</v>
      </c>
      <c r="BS158" s="1904">
        <v>0.33333333333333331</v>
      </c>
      <c r="BT158" s="1904">
        <v>0.33333333333333331</v>
      </c>
      <c r="BU158" s="1904">
        <v>0.33333333333333331</v>
      </c>
      <c r="BV158" s="1904">
        <v>0.33333333333333331</v>
      </c>
      <c r="BW158" s="1904">
        <v>0.33333333333333331</v>
      </c>
      <c r="BX158" s="1904">
        <v>0.33333333333333331</v>
      </c>
      <c r="BY158" s="1904">
        <v>0.33333333333333331</v>
      </c>
      <c r="BZ158" s="1904">
        <v>0.33333333333333331</v>
      </c>
      <c r="CA158" s="1904">
        <v>0.33333333333333331</v>
      </c>
      <c r="CB158" s="1981"/>
      <c r="CC158" s="1917"/>
      <c r="CD158" s="1917"/>
      <c r="CE158" s="2272"/>
    </row>
    <row r="159" spans="1:84" s="1355" customFormat="1">
      <c r="A159"/>
      <c r="B159" s="1872" t="str">
        <f t="shared" si="128"/>
        <v>LR3</v>
      </c>
      <c r="C159" s="1873" t="str">
        <f t="shared" si="124"/>
        <v>敷地外環境</v>
      </c>
      <c r="D159" s="1963" t="e">
        <f>IF(I$116=0,0,G159/I$116)</f>
        <v>#N/A</v>
      </c>
      <c r="E159" s="1875">
        <f>IF(J$116=0,0,H159/J$116)</f>
        <v>0</v>
      </c>
      <c r="F159"/>
      <c r="G159" s="1875" t="e">
        <f t="shared" si="125"/>
        <v>#N/A</v>
      </c>
      <c r="H159" s="1875">
        <f t="shared" si="126"/>
        <v>0</v>
      </c>
      <c r="I159" s="1875" t="e">
        <f>G160+G161+G169</f>
        <v>#N/A</v>
      </c>
      <c r="J159" s="1875">
        <f>H160+H161+H169</f>
        <v>0</v>
      </c>
      <c r="K159" s="1875" t="e">
        <f>IF(スコア!Q159=0,0,1)</f>
        <v>#N/A</v>
      </c>
      <c r="L159" s="1875">
        <f>IF(スコア!O159=0,0,1)</f>
        <v>0</v>
      </c>
      <c r="M159" s="1875">
        <f t="shared" si="127"/>
        <v>0.3</v>
      </c>
      <c r="N159" s="1875">
        <f t="shared" si="130"/>
        <v>0</v>
      </c>
      <c r="O159"/>
      <c r="P159" s="1968" t="str">
        <f t="shared" si="113"/>
        <v>LR3</v>
      </c>
      <c r="Q159" s="1968" t="str">
        <f t="shared" si="114"/>
        <v>LR</v>
      </c>
      <c r="R159" s="1876" t="str">
        <f t="shared" si="115"/>
        <v>敷地外環境</v>
      </c>
      <c r="S159" s="1877">
        <f t="shared" si="116"/>
        <v>0.3</v>
      </c>
      <c r="T159" s="1877">
        <f t="shared" si="117"/>
        <v>0.3</v>
      </c>
      <c r="U159" s="1877">
        <f t="shared" si="118"/>
        <v>0.3</v>
      </c>
      <c r="V159" s="1877">
        <f t="shared" si="119"/>
        <v>0.3</v>
      </c>
      <c r="W159" s="1877">
        <f t="shared" si="120"/>
        <v>0.3</v>
      </c>
      <c r="X159" s="1877">
        <f t="shared" si="121"/>
        <v>0.3</v>
      </c>
      <c r="Y159" s="1877">
        <f t="shared" si="122"/>
        <v>0.3</v>
      </c>
      <c r="Z159" s="1877">
        <f t="shared" si="123"/>
        <v>0.3</v>
      </c>
      <c r="AA159" s="1877">
        <f t="shared" si="106"/>
        <v>0.3</v>
      </c>
      <c r="AB159" s="1877">
        <f t="shared" si="107"/>
        <v>0.3</v>
      </c>
      <c r="AC159" s="1970">
        <f t="shared" si="132"/>
        <v>0</v>
      </c>
      <c r="AD159" s="1971">
        <f t="shared" si="133"/>
        <v>0</v>
      </c>
      <c r="AE159" s="1971">
        <f t="shared" si="134"/>
        <v>0</v>
      </c>
      <c r="AF159"/>
      <c r="AG159" s="1968" t="s">
        <v>1684</v>
      </c>
      <c r="AH159" s="1972" t="s">
        <v>1685</v>
      </c>
      <c r="AI159" s="1876" t="s">
        <v>1686</v>
      </c>
      <c r="AJ159" s="1880">
        <v>0.3</v>
      </c>
      <c r="AK159" s="1880">
        <v>0.3</v>
      </c>
      <c r="AL159" s="1880">
        <v>0.3</v>
      </c>
      <c r="AM159" s="1880">
        <v>0.3</v>
      </c>
      <c r="AN159" s="1880">
        <v>0.3</v>
      </c>
      <c r="AO159" s="1880">
        <v>0.3</v>
      </c>
      <c r="AP159" s="1880">
        <v>0.3</v>
      </c>
      <c r="AQ159" s="1880">
        <v>0.3</v>
      </c>
      <c r="AR159" s="1880">
        <v>0.3</v>
      </c>
      <c r="AS159" s="1880">
        <v>0.3</v>
      </c>
      <c r="AT159" s="1974">
        <v>0</v>
      </c>
      <c r="AU159" s="1975">
        <v>0</v>
      </c>
      <c r="AV159" s="1975">
        <v>0</v>
      </c>
      <c r="AW159"/>
      <c r="AX159" s="1968" t="s">
        <v>1684</v>
      </c>
      <c r="AY159" s="1972" t="s">
        <v>1685</v>
      </c>
      <c r="AZ159" s="1876" t="s">
        <v>1686</v>
      </c>
      <c r="BA159" s="1880">
        <v>0.3</v>
      </c>
      <c r="BB159" s="1880">
        <v>0.3</v>
      </c>
      <c r="BC159" s="1880">
        <v>0.3</v>
      </c>
      <c r="BD159" s="1880">
        <v>0.3</v>
      </c>
      <c r="BE159" s="1880">
        <v>0.3</v>
      </c>
      <c r="BF159" s="1880">
        <v>0.3</v>
      </c>
      <c r="BG159" s="1880">
        <v>0.3</v>
      </c>
      <c r="BH159" s="1880">
        <v>0.3</v>
      </c>
      <c r="BI159" s="1880">
        <v>0.3</v>
      </c>
      <c r="BJ159" s="1880">
        <v>0.3</v>
      </c>
      <c r="BK159" s="1974"/>
      <c r="BL159" s="1975"/>
      <c r="BM159" s="1975"/>
      <c r="BN159"/>
      <c r="BO159" s="1968" t="s">
        <v>1684</v>
      </c>
      <c r="BP159" s="1972" t="s">
        <v>1685</v>
      </c>
      <c r="BQ159" s="1876" t="s">
        <v>1686</v>
      </c>
      <c r="BR159" s="1880">
        <v>0.3</v>
      </c>
      <c r="BS159" s="1880">
        <v>0.3</v>
      </c>
      <c r="BT159" s="1880">
        <v>0.3</v>
      </c>
      <c r="BU159" s="1880">
        <v>0.3</v>
      </c>
      <c r="BV159" s="1880">
        <v>0.3</v>
      </c>
      <c r="BW159" s="1880">
        <v>0.3</v>
      </c>
      <c r="BX159" s="1880">
        <v>0.3</v>
      </c>
      <c r="BY159" s="1880">
        <v>0.3</v>
      </c>
      <c r="BZ159" s="1880">
        <v>0.3</v>
      </c>
      <c r="CA159" s="1880">
        <v>0.3</v>
      </c>
      <c r="CB159" s="1974"/>
      <c r="CC159" s="1975"/>
      <c r="CD159" s="1975"/>
      <c r="CE159" s="2282"/>
      <c r="CF159"/>
    </row>
    <row r="160" spans="1:84" s="1355" customFormat="1">
      <c r="A160"/>
      <c r="B160" s="1879">
        <f t="shared" si="128"/>
        <v>1</v>
      </c>
      <c r="C160" s="1887" t="str">
        <f t="shared" si="124"/>
        <v>地球温暖化への配慮</v>
      </c>
      <c r="D160" s="1883" t="e">
        <f>IF(I$159=0,0,G160/I$159)</f>
        <v>#N/A</v>
      </c>
      <c r="E160" s="1883">
        <f>IF(J$159=0,0,H160/J$159)</f>
        <v>0</v>
      </c>
      <c r="F160"/>
      <c r="G160" s="1884" t="e">
        <f t="shared" si="125"/>
        <v>#N/A</v>
      </c>
      <c r="H160" s="1884">
        <f t="shared" si="126"/>
        <v>0</v>
      </c>
      <c r="I160" s="1884"/>
      <c r="J160" s="1884"/>
      <c r="K160" s="1884" t="e">
        <f>IF(スコア!M160=0,0,1)</f>
        <v>#N/A</v>
      </c>
      <c r="L160" s="1884">
        <f>IF(スコア!O160=0,0,1)</f>
        <v>0</v>
      </c>
      <c r="M160" s="1884">
        <f t="shared" si="127"/>
        <v>0.33333333333333337</v>
      </c>
      <c r="N160" s="1884">
        <f t="shared" si="130"/>
        <v>0</v>
      </c>
      <c r="O160"/>
      <c r="P160" s="1983">
        <f t="shared" si="113"/>
        <v>1</v>
      </c>
      <c r="Q160" s="1891" t="str">
        <f t="shared" si="114"/>
        <v>LR3</v>
      </c>
      <c r="R160" s="1887" t="str">
        <f t="shared" si="115"/>
        <v>地球温暖化への配慮</v>
      </c>
      <c r="S160" s="1892">
        <f t="shared" si="116"/>
        <v>0.33333333333333331</v>
      </c>
      <c r="T160" s="1892">
        <f t="shared" si="117"/>
        <v>0.33333333333333331</v>
      </c>
      <c r="U160" s="1892">
        <f t="shared" si="118"/>
        <v>0.33333333333333331</v>
      </c>
      <c r="V160" s="1892">
        <f t="shared" si="119"/>
        <v>0.33333333333333331</v>
      </c>
      <c r="W160" s="1892">
        <f t="shared" si="120"/>
        <v>0.33333333333333331</v>
      </c>
      <c r="X160" s="1892">
        <f t="shared" si="121"/>
        <v>0.33333333333333331</v>
      </c>
      <c r="Y160" s="1892">
        <f t="shared" si="122"/>
        <v>0.33333333333333331</v>
      </c>
      <c r="Z160" s="1892">
        <f t="shared" si="123"/>
        <v>0.33333333333333331</v>
      </c>
      <c r="AA160" s="1892">
        <f t="shared" ref="AA160:AA180" si="135">IF($P$3=1,BI160,IF($P$3=2,BZ160,AR160))</f>
        <v>0.33333333333333331</v>
      </c>
      <c r="AB160" s="1892">
        <f t="shared" ref="AB160:AB180" si="136">IF($P$3=1,BJ160,IF($P$3=2,CA160,AS160))</f>
        <v>0.33333333333333331</v>
      </c>
      <c r="AC160" s="1890">
        <f t="shared" si="132"/>
        <v>0</v>
      </c>
      <c r="AD160" s="1888">
        <f t="shared" si="133"/>
        <v>0</v>
      </c>
      <c r="AE160" s="1888">
        <f t="shared" si="134"/>
        <v>0</v>
      </c>
      <c r="AF160"/>
      <c r="AG160" s="1886">
        <v>1</v>
      </c>
      <c r="AH160" s="1891" t="s">
        <v>1589</v>
      </c>
      <c r="AI160" s="1887" t="s">
        <v>670</v>
      </c>
      <c r="AJ160" s="1892">
        <v>0.33333333333333331</v>
      </c>
      <c r="AK160" s="1892">
        <v>0.33333333333333331</v>
      </c>
      <c r="AL160" s="1892">
        <v>0.33333333333333331</v>
      </c>
      <c r="AM160" s="1892">
        <v>0.33333333333333331</v>
      </c>
      <c r="AN160" s="1892">
        <v>0.33333333333333331</v>
      </c>
      <c r="AO160" s="1892">
        <v>0.33333333333333331</v>
      </c>
      <c r="AP160" s="1892">
        <v>0.33333333333333331</v>
      </c>
      <c r="AQ160" s="1892">
        <v>0.33333333333333331</v>
      </c>
      <c r="AR160" s="1892">
        <v>0.33333333333333331</v>
      </c>
      <c r="AS160" s="1892">
        <v>0.33333333333333331</v>
      </c>
      <c r="AT160" s="1893">
        <v>0</v>
      </c>
      <c r="AU160" s="1892">
        <v>0</v>
      </c>
      <c r="AV160" s="1892">
        <v>0</v>
      </c>
      <c r="AW160"/>
      <c r="AX160" s="1886">
        <v>1</v>
      </c>
      <c r="AY160" s="1891" t="s">
        <v>1589</v>
      </c>
      <c r="AZ160" s="1887" t="s">
        <v>670</v>
      </c>
      <c r="BA160" s="1892">
        <f t="shared" ref="BA160:BJ161" si="137">1/3</f>
        <v>0.33333333333333331</v>
      </c>
      <c r="BB160" s="1892">
        <f t="shared" si="137"/>
        <v>0.33333333333333331</v>
      </c>
      <c r="BC160" s="1892">
        <f t="shared" si="137"/>
        <v>0.33333333333333331</v>
      </c>
      <c r="BD160" s="1892">
        <f t="shared" si="137"/>
        <v>0.33333333333333331</v>
      </c>
      <c r="BE160" s="1892">
        <f t="shared" si="137"/>
        <v>0.33333333333333331</v>
      </c>
      <c r="BF160" s="1892">
        <f t="shared" si="137"/>
        <v>0.33333333333333331</v>
      </c>
      <c r="BG160" s="1892">
        <f t="shared" si="137"/>
        <v>0.33333333333333331</v>
      </c>
      <c r="BH160" s="1892">
        <f t="shared" si="137"/>
        <v>0.33333333333333331</v>
      </c>
      <c r="BI160" s="1892">
        <f t="shared" si="137"/>
        <v>0.33333333333333331</v>
      </c>
      <c r="BJ160" s="1892">
        <f t="shared" si="137"/>
        <v>0.33333333333333331</v>
      </c>
      <c r="BK160" s="1893"/>
      <c r="BL160" s="1892"/>
      <c r="BM160" s="1892"/>
      <c r="BN160"/>
      <c r="BO160" s="1886">
        <v>1</v>
      </c>
      <c r="BP160" s="1891" t="s">
        <v>1589</v>
      </c>
      <c r="BQ160" s="1887" t="s">
        <v>670</v>
      </c>
      <c r="BR160" s="1892">
        <f t="shared" ref="BR160:CA161" si="138">1/3</f>
        <v>0.33333333333333331</v>
      </c>
      <c r="BS160" s="1892">
        <f t="shared" si="138"/>
        <v>0.33333333333333331</v>
      </c>
      <c r="BT160" s="1892">
        <f t="shared" si="138"/>
        <v>0.33333333333333331</v>
      </c>
      <c r="BU160" s="1892">
        <f t="shared" si="138"/>
        <v>0.33333333333333331</v>
      </c>
      <c r="BV160" s="1892">
        <f t="shared" si="138"/>
        <v>0.33333333333333331</v>
      </c>
      <c r="BW160" s="1892">
        <f t="shared" si="138"/>
        <v>0.33333333333333331</v>
      </c>
      <c r="BX160" s="1892">
        <f t="shared" si="138"/>
        <v>0.33333333333333331</v>
      </c>
      <c r="BY160" s="1892">
        <f t="shared" si="138"/>
        <v>0.33333333333333331</v>
      </c>
      <c r="BZ160" s="1892">
        <f t="shared" si="138"/>
        <v>0.33333333333333331</v>
      </c>
      <c r="CA160" s="1892">
        <f t="shared" si="138"/>
        <v>0.33333333333333331</v>
      </c>
      <c r="CB160" s="1893"/>
      <c r="CC160" s="1892"/>
      <c r="CD160" s="1892"/>
      <c r="CE160" s="2277"/>
      <c r="CF160"/>
    </row>
    <row r="161" spans="1:84" s="1355" customFormat="1">
      <c r="A161"/>
      <c r="B161" s="1872">
        <f t="shared" si="128"/>
        <v>2</v>
      </c>
      <c r="C161" s="1887" t="str">
        <f t="shared" si="124"/>
        <v>地域環境への配慮</v>
      </c>
      <c r="D161" s="1883" t="e">
        <f>IF(I$159=0,0,G161/I$159)</f>
        <v>#N/A</v>
      </c>
      <c r="E161" s="1883">
        <f>IF(J$159=0,0,H161/J$159)</f>
        <v>0</v>
      </c>
      <c r="F161"/>
      <c r="G161" s="1884">
        <f t="shared" si="125"/>
        <v>0.33333333333333337</v>
      </c>
      <c r="H161" s="1884">
        <f t="shared" si="126"/>
        <v>0</v>
      </c>
      <c r="I161" s="1884">
        <f>G162+G163+G164</f>
        <v>1</v>
      </c>
      <c r="J161" s="1884">
        <f>H162+H163+H164</f>
        <v>0</v>
      </c>
      <c r="K161" s="1884">
        <f>IF(スコア!M161=0,0,1)</f>
        <v>1</v>
      </c>
      <c r="L161" s="1884">
        <f>IF(スコア!O161=0,0,1)</f>
        <v>0</v>
      </c>
      <c r="M161" s="1884">
        <f t="shared" si="127"/>
        <v>0.33333333333333337</v>
      </c>
      <c r="N161" s="1884">
        <f t="shared" si="130"/>
        <v>0</v>
      </c>
      <c r="O161"/>
      <c r="P161" s="1983">
        <f t="shared" si="113"/>
        <v>2</v>
      </c>
      <c r="Q161" s="1891" t="str">
        <f t="shared" si="114"/>
        <v>LR3</v>
      </c>
      <c r="R161" s="1887" t="str">
        <f t="shared" si="115"/>
        <v>地域環境への配慮</v>
      </c>
      <c r="S161" s="1892">
        <f t="shared" si="116"/>
        <v>0.33333333333333331</v>
      </c>
      <c r="T161" s="1892">
        <f t="shared" si="117"/>
        <v>0.33333333333333331</v>
      </c>
      <c r="U161" s="1892">
        <f t="shared" si="118"/>
        <v>0.33333333333333331</v>
      </c>
      <c r="V161" s="1892">
        <f t="shared" si="119"/>
        <v>0.33333333333333331</v>
      </c>
      <c r="W161" s="1892">
        <f t="shared" si="120"/>
        <v>0.33333333333333331</v>
      </c>
      <c r="X161" s="1892">
        <f t="shared" si="121"/>
        <v>0.33333333333333331</v>
      </c>
      <c r="Y161" s="1892">
        <f t="shared" si="122"/>
        <v>0.33333333333333331</v>
      </c>
      <c r="Z161" s="1892">
        <f t="shared" si="123"/>
        <v>0.33333333333333331</v>
      </c>
      <c r="AA161" s="1892">
        <f t="shared" si="135"/>
        <v>0.33333333333333331</v>
      </c>
      <c r="AB161" s="1892">
        <f t="shared" si="136"/>
        <v>0.33333333333333331</v>
      </c>
      <c r="AC161" s="1890">
        <f t="shared" si="132"/>
        <v>0</v>
      </c>
      <c r="AD161" s="1888">
        <f t="shared" si="133"/>
        <v>0</v>
      </c>
      <c r="AE161" s="1888">
        <f t="shared" si="134"/>
        <v>0</v>
      </c>
      <c r="AF161"/>
      <c r="AG161" s="1886">
        <v>2</v>
      </c>
      <c r="AH161" s="1891" t="s">
        <v>1589</v>
      </c>
      <c r="AI161" s="1887" t="s">
        <v>671</v>
      </c>
      <c r="AJ161" s="1892">
        <v>0.33333333333333331</v>
      </c>
      <c r="AK161" s="1892">
        <v>0.33333333333333331</v>
      </c>
      <c r="AL161" s="1892">
        <v>0.33333333333333331</v>
      </c>
      <c r="AM161" s="1892">
        <v>0.33333333333333331</v>
      </c>
      <c r="AN161" s="1892">
        <v>0.33333333333333331</v>
      </c>
      <c r="AO161" s="1892">
        <v>0.33333333333333331</v>
      </c>
      <c r="AP161" s="1892">
        <v>0.33333333333333331</v>
      </c>
      <c r="AQ161" s="1892">
        <v>0.33333333333333331</v>
      </c>
      <c r="AR161" s="1892">
        <v>0.33333333333333331</v>
      </c>
      <c r="AS161" s="1892">
        <v>0.33333333333333331</v>
      </c>
      <c r="AT161" s="1893">
        <v>0</v>
      </c>
      <c r="AU161" s="1892">
        <v>0</v>
      </c>
      <c r="AV161" s="1892">
        <v>0</v>
      </c>
      <c r="AW161"/>
      <c r="AX161" s="1886">
        <v>2</v>
      </c>
      <c r="AY161" s="1891" t="s">
        <v>1589</v>
      </c>
      <c r="AZ161" s="1887" t="s">
        <v>671</v>
      </c>
      <c r="BA161" s="1892">
        <f t="shared" si="137"/>
        <v>0.33333333333333331</v>
      </c>
      <c r="BB161" s="1892">
        <f t="shared" si="137"/>
        <v>0.33333333333333331</v>
      </c>
      <c r="BC161" s="1892">
        <f t="shared" si="137"/>
        <v>0.33333333333333331</v>
      </c>
      <c r="BD161" s="1892">
        <f t="shared" si="137"/>
        <v>0.33333333333333331</v>
      </c>
      <c r="BE161" s="1892">
        <f t="shared" si="137"/>
        <v>0.33333333333333331</v>
      </c>
      <c r="BF161" s="1892">
        <f t="shared" si="137"/>
        <v>0.33333333333333331</v>
      </c>
      <c r="BG161" s="1892">
        <f t="shared" si="137"/>
        <v>0.33333333333333331</v>
      </c>
      <c r="BH161" s="1892">
        <f t="shared" si="137"/>
        <v>0.33333333333333331</v>
      </c>
      <c r="BI161" s="1892">
        <f t="shared" si="137"/>
        <v>0.33333333333333331</v>
      </c>
      <c r="BJ161" s="1892">
        <f t="shared" si="137"/>
        <v>0.33333333333333331</v>
      </c>
      <c r="BK161" s="1893"/>
      <c r="BL161" s="1892"/>
      <c r="BM161" s="1892"/>
      <c r="BN161"/>
      <c r="BO161" s="1886">
        <v>2</v>
      </c>
      <c r="BP161" s="1891" t="s">
        <v>1589</v>
      </c>
      <c r="BQ161" s="1887" t="s">
        <v>671</v>
      </c>
      <c r="BR161" s="1892">
        <f t="shared" si="138"/>
        <v>0.33333333333333331</v>
      </c>
      <c r="BS161" s="1892">
        <f t="shared" si="138"/>
        <v>0.33333333333333331</v>
      </c>
      <c r="BT161" s="1892">
        <f t="shared" si="138"/>
        <v>0.33333333333333331</v>
      </c>
      <c r="BU161" s="1892">
        <f t="shared" si="138"/>
        <v>0.33333333333333331</v>
      </c>
      <c r="BV161" s="1892">
        <f t="shared" si="138"/>
        <v>0.33333333333333331</v>
      </c>
      <c r="BW161" s="1892">
        <f t="shared" si="138"/>
        <v>0.33333333333333331</v>
      </c>
      <c r="BX161" s="1892">
        <f t="shared" si="138"/>
        <v>0.33333333333333331</v>
      </c>
      <c r="BY161" s="1892">
        <f t="shared" si="138"/>
        <v>0.33333333333333331</v>
      </c>
      <c r="BZ161" s="1892">
        <f t="shared" si="138"/>
        <v>0.33333333333333331</v>
      </c>
      <c r="CA161" s="1892">
        <f t="shared" si="138"/>
        <v>0.33333333333333331</v>
      </c>
      <c r="CB161" s="1893"/>
      <c r="CC161" s="1892"/>
      <c r="CD161" s="1892"/>
      <c r="CE161" s="2277"/>
      <c r="CF161"/>
    </row>
    <row r="162" spans="1:84">
      <c r="B162" s="1872" t="str">
        <f t="shared" si="128"/>
        <v>2.1</v>
      </c>
      <c r="C162" s="1899" t="str">
        <f t="shared" si="124"/>
        <v>大気汚染防止</v>
      </c>
      <c r="D162" s="1896">
        <f t="shared" ref="D162:E164" si="139">IF(I$161=0,0,G162/I$161)</f>
        <v>0.25</v>
      </c>
      <c r="E162" s="1896">
        <f t="shared" si="139"/>
        <v>0</v>
      </c>
      <c r="G162" s="1897">
        <f t="shared" si="125"/>
        <v>0.25</v>
      </c>
      <c r="H162" s="1897">
        <f t="shared" si="126"/>
        <v>0</v>
      </c>
      <c r="I162" s="1897"/>
      <c r="J162" s="1897"/>
      <c r="K162" s="1897">
        <f>IF(スコア!M162=0,0,1)</f>
        <v>1</v>
      </c>
      <c r="L162" s="1897">
        <f>IF(スコア!O162=0,0,1)</f>
        <v>0</v>
      </c>
      <c r="M162" s="1897">
        <f t="shared" si="127"/>
        <v>0.25</v>
      </c>
      <c r="N162" s="1897">
        <f t="shared" si="130"/>
        <v>0</v>
      </c>
      <c r="P162" s="1984" t="str">
        <f t="shared" si="113"/>
        <v>2.1</v>
      </c>
      <c r="Q162" s="1902" t="str">
        <f t="shared" si="114"/>
        <v>LR3 2</v>
      </c>
      <c r="R162" s="1899" t="str">
        <f t="shared" si="115"/>
        <v>大気汚染防止</v>
      </c>
      <c r="S162" s="1904">
        <f t="shared" si="116"/>
        <v>0.25</v>
      </c>
      <c r="T162" s="1904">
        <f t="shared" si="117"/>
        <v>0.25</v>
      </c>
      <c r="U162" s="1904">
        <f t="shared" si="118"/>
        <v>0.25</v>
      </c>
      <c r="V162" s="1904">
        <f t="shared" si="119"/>
        <v>0.25</v>
      </c>
      <c r="W162" s="1904">
        <f t="shared" si="120"/>
        <v>0.25</v>
      </c>
      <c r="X162" s="1904">
        <f t="shared" si="121"/>
        <v>0.25</v>
      </c>
      <c r="Y162" s="1904">
        <f t="shared" si="122"/>
        <v>0.25</v>
      </c>
      <c r="Z162" s="1904">
        <f t="shared" si="123"/>
        <v>0.25</v>
      </c>
      <c r="AA162" s="1904">
        <f t="shared" si="135"/>
        <v>0.25</v>
      </c>
      <c r="AB162" s="1904">
        <f t="shared" si="136"/>
        <v>0.25</v>
      </c>
      <c r="AC162" s="1901">
        <f t="shared" si="132"/>
        <v>0</v>
      </c>
      <c r="AD162" s="1900">
        <f t="shared" si="133"/>
        <v>0</v>
      </c>
      <c r="AE162" s="1900">
        <f t="shared" si="134"/>
        <v>0</v>
      </c>
      <c r="AG162" s="1985" t="s">
        <v>1687</v>
      </c>
      <c r="AH162" s="1902" t="s">
        <v>2522</v>
      </c>
      <c r="AI162" s="1899" t="s">
        <v>672</v>
      </c>
      <c r="AJ162" s="1904">
        <v>0.25</v>
      </c>
      <c r="AK162" s="1904">
        <v>0.25</v>
      </c>
      <c r="AL162" s="1904">
        <v>0.25</v>
      </c>
      <c r="AM162" s="1904">
        <v>0.25</v>
      </c>
      <c r="AN162" s="1904">
        <v>0.25</v>
      </c>
      <c r="AO162" s="1904">
        <v>0.25</v>
      </c>
      <c r="AP162" s="1904">
        <v>0.25</v>
      </c>
      <c r="AQ162" s="1904">
        <v>0.25</v>
      </c>
      <c r="AR162" s="1904">
        <v>0.25</v>
      </c>
      <c r="AS162" s="1904">
        <v>0.25</v>
      </c>
      <c r="AT162" s="1905"/>
      <c r="AU162" s="1904"/>
      <c r="AV162" s="1904"/>
      <c r="AX162" s="1985" t="s">
        <v>1688</v>
      </c>
      <c r="AY162" s="1902" t="s">
        <v>2522</v>
      </c>
      <c r="AZ162" s="1899" t="s">
        <v>672</v>
      </c>
      <c r="BA162" s="1904">
        <v>0.25</v>
      </c>
      <c r="BB162" s="1904">
        <v>0.25</v>
      </c>
      <c r="BC162" s="1904">
        <v>0.25</v>
      </c>
      <c r="BD162" s="1904">
        <v>0.25</v>
      </c>
      <c r="BE162" s="1904">
        <v>0.25</v>
      </c>
      <c r="BF162" s="1904">
        <v>0.25</v>
      </c>
      <c r="BG162" s="1904">
        <v>0.25</v>
      </c>
      <c r="BH162" s="1904">
        <v>0.25</v>
      </c>
      <c r="BI162" s="1904">
        <v>0.25</v>
      </c>
      <c r="BJ162" s="1904">
        <v>0.25</v>
      </c>
      <c r="BK162" s="1905"/>
      <c r="BL162" s="1904"/>
      <c r="BM162" s="1904"/>
      <c r="BO162" s="1985" t="s">
        <v>1688</v>
      </c>
      <c r="BP162" s="1902" t="s">
        <v>2522</v>
      </c>
      <c r="BQ162" s="1899" t="s">
        <v>672</v>
      </c>
      <c r="BR162" s="1904">
        <v>0.25</v>
      </c>
      <c r="BS162" s="1904">
        <v>0.25</v>
      </c>
      <c r="BT162" s="1904">
        <v>0.25</v>
      </c>
      <c r="BU162" s="1904">
        <v>0.25</v>
      </c>
      <c r="BV162" s="1904">
        <v>0.25</v>
      </c>
      <c r="BW162" s="1904">
        <v>0.25</v>
      </c>
      <c r="BX162" s="1904">
        <v>0.25</v>
      </c>
      <c r="BY162" s="1904">
        <v>0.25</v>
      </c>
      <c r="BZ162" s="1904">
        <v>0.25</v>
      </c>
      <c r="CA162" s="1904">
        <v>0.25</v>
      </c>
      <c r="CB162" s="1905"/>
      <c r="CC162" s="1904"/>
      <c r="CD162" s="1904"/>
      <c r="CE162" s="2278"/>
    </row>
    <row r="163" spans="1:84">
      <c r="B163" s="1872" t="str">
        <f t="shared" si="128"/>
        <v>2.2</v>
      </c>
      <c r="C163" s="1899" t="str">
        <f t="shared" si="124"/>
        <v>温熱環境悪化の改善</v>
      </c>
      <c r="D163" s="1896">
        <f t="shared" si="139"/>
        <v>0.5</v>
      </c>
      <c r="E163" s="1896">
        <f t="shared" si="139"/>
        <v>0</v>
      </c>
      <c r="G163" s="1897">
        <f t="shared" si="125"/>
        <v>0.5</v>
      </c>
      <c r="H163" s="1897">
        <f t="shared" si="126"/>
        <v>0</v>
      </c>
      <c r="I163" s="1897"/>
      <c r="J163" s="1897"/>
      <c r="K163" s="1897">
        <f>IF(スコア!M163=0,0,1)</f>
        <v>1</v>
      </c>
      <c r="L163" s="1897">
        <f>IF(スコア!O163=0,0,1)</f>
        <v>0</v>
      </c>
      <c r="M163" s="1897">
        <f t="shared" si="127"/>
        <v>0.5</v>
      </c>
      <c r="N163" s="1897">
        <f t="shared" si="130"/>
        <v>0</v>
      </c>
      <c r="P163" s="1984" t="str">
        <f t="shared" si="113"/>
        <v>2.2</v>
      </c>
      <c r="Q163" s="1902" t="str">
        <f t="shared" si="114"/>
        <v>LR3 2</v>
      </c>
      <c r="R163" s="1899" t="str">
        <f t="shared" si="115"/>
        <v>温熱環境悪化の改善</v>
      </c>
      <c r="S163" s="1955">
        <f t="shared" si="116"/>
        <v>0.5</v>
      </c>
      <c r="T163" s="1955">
        <f t="shared" si="117"/>
        <v>0.5</v>
      </c>
      <c r="U163" s="1955">
        <f t="shared" si="118"/>
        <v>0.5</v>
      </c>
      <c r="V163" s="1955">
        <f t="shared" si="119"/>
        <v>0.5</v>
      </c>
      <c r="W163" s="1955">
        <f t="shared" si="120"/>
        <v>0.5</v>
      </c>
      <c r="X163" s="1955">
        <f t="shared" si="121"/>
        <v>0.5</v>
      </c>
      <c r="Y163" s="1955">
        <f t="shared" si="122"/>
        <v>0.5</v>
      </c>
      <c r="Z163" s="1955">
        <f t="shared" si="123"/>
        <v>0.5</v>
      </c>
      <c r="AA163" s="1955">
        <f t="shared" si="135"/>
        <v>0.5</v>
      </c>
      <c r="AB163" s="1955">
        <f t="shared" si="136"/>
        <v>0.5</v>
      </c>
      <c r="AC163" s="1954">
        <f t="shared" si="132"/>
        <v>0</v>
      </c>
      <c r="AD163" s="1953">
        <f t="shared" si="133"/>
        <v>0</v>
      </c>
      <c r="AE163" s="1953">
        <f t="shared" si="134"/>
        <v>0</v>
      </c>
      <c r="AG163" s="1985" t="s">
        <v>1689</v>
      </c>
      <c r="AH163" s="1902" t="s">
        <v>2522</v>
      </c>
      <c r="AI163" s="1899" t="s">
        <v>1931</v>
      </c>
      <c r="AJ163" s="1955">
        <v>0.5</v>
      </c>
      <c r="AK163" s="1955">
        <v>0.5</v>
      </c>
      <c r="AL163" s="1955">
        <v>0.5</v>
      </c>
      <c r="AM163" s="1955">
        <v>0.5</v>
      </c>
      <c r="AN163" s="1955">
        <v>0.5</v>
      </c>
      <c r="AO163" s="1955">
        <v>0.5</v>
      </c>
      <c r="AP163" s="1955">
        <v>0.5</v>
      </c>
      <c r="AQ163" s="1955">
        <v>0.5</v>
      </c>
      <c r="AR163" s="1955">
        <v>0.5</v>
      </c>
      <c r="AS163" s="1955">
        <v>0.5</v>
      </c>
      <c r="AT163" s="1956"/>
      <c r="AU163" s="1955"/>
      <c r="AV163" s="1955"/>
      <c r="AX163" s="1985" t="s">
        <v>1689</v>
      </c>
      <c r="AY163" s="1902" t="s">
        <v>2522</v>
      </c>
      <c r="AZ163" s="1899" t="s">
        <v>1931</v>
      </c>
      <c r="BA163" s="1955">
        <v>0.5</v>
      </c>
      <c r="BB163" s="1955">
        <v>0.5</v>
      </c>
      <c r="BC163" s="1955">
        <v>0.5</v>
      </c>
      <c r="BD163" s="1955">
        <v>0.5</v>
      </c>
      <c r="BE163" s="1955">
        <v>0.5</v>
      </c>
      <c r="BF163" s="1955">
        <v>0.5</v>
      </c>
      <c r="BG163" s="1955">
        <v>0.5</v>
      </c>
      <c r="BH163" s="1955">
        <v>0.5</v>
      </c>
      <c r="BI163" s="1955">
        <v>0.5</v>
      </c>
      <c r="BJ163" s="1955">
        <v>0.5</v>
      </c>
      <c r="BK163" s="1956"/>
      <c r="BL163" s="1955"/>
      <c r="BM163" s="1955"/>
      <c r="BO163" s="1985" t="s">
        <v>1689</v>
      </c>
      <c r="BP163" s="1902" t="s">
        <v>2522</v>
      </c>
      <c r="BQ163" s="1899" t="s">
        <v>1931</v>
      </c>
      <c r="BR163" s="1955">
        <v>0.5</v>
      </c>
      <c r="BS163" s="1955">
        <v>0.5</v>
      </c>
      <c r="BT163" s="1955">
        <v>0.5</v>
      </c>
      <c r="BU163" s="1955">
        <v>0.5</v>
      </c>
      <c r="BV163" s="1955">
        <v>0.5</v>
      </c>
      <c r="BW163" s="1955">
        <v>0.5</v>
      </c>
      <c r="BX163" s="1955">
        <v>0.5</v>
      </c>
      <c r="BY163" s="1955">
        <v>0.5</v>
      </c>
      <c r="BZ163" s="1955">
        <v>0.5</v>
      </c>
      <c r="CA163" s="1955">
        <v>0.5</v>
      </c>
      <c r="CB163" s="1956"/>
      <c r="CC163" s="1955"/>
      <c r="CD163" s="1955"/>
      <c r="CE163" s="2281"/>
    </row>
    <row r="164" spans="1:84">
      <c r="B164" s="1872" t="str">
        <f t="shared" si="128"/>
        <v>2.3</v>
      </c>
      <c r="C164" s="1899" t="str">
        <f t="shared" si="124"/>
        <v>地域インフラへの負荷抑制</v>
      </c>
      <c r="D164" s="1896">
        <f t="shared" si="139"/>
        <v>0.25</v>
      </c>
      <c r="E164" s="1896">
        <f t="shared" si="139"/>
        <v>0</v>
      </c>
      <c r="G164" s="1897">
        <f t="shared" si="125"/>
        <v>0.25</v>
      </c>
      <c r="H164" s="1897">
        <f t="shared" si="126"/>
        <v>0</v>
      </c>
      <c r="I164" s="1897">
        <f>SUM(G165:G168)</f>
        <v>1</v>
      </c>
      <c r="J164" s="1897">
        <f>SUM(H165:H168)</f>
        <v>0</v>
      </c>
      <c r="K164" s="1897">
        <f>IF(スコア!M164=0,0,1)</f>
        <v>1</v>
      </c>
      <c r="L164" s="1897">
        <f>IF(スコア!O164=0,0,1)</f>
        <v>0</v>
      </c>
      <c r="M164" s="1897">
        <f t="shared" si="127"/>
        <v>0.25</v>
      </c>
      <c r="N164" s="1897">
        <f t="shared" si="130"/>
        <v>0</v>
      </c>
      <c r="P164" s="1984" t="str">
        <f t="shared" si="113"/>
        <v>2.3</v>
      </c>
      <c r="Q164" s="1902" t="str">
        <f t="shared" si="114"/>
        <v>LR3 2</v>
      </c>
      <c r="R164" s="1899" t="str">
        <f t="shared" si="115"/>
        <v>地域インフラへの負荷抑制</v>
      </c>
      <c r="S164" s="1955">
        <f t="shared" si="116"/>
        <v>0.25</v>
      </c>
      <c r="T164" s="1955">
        <f t="shared" si="117"/>
        <v>0.25</v>
      </c>
      <c r="U164" s="1955">
        <f t="shared" si="118"/>
        <v>0.25</v>
      </c>
      <c r="V164" s="1955">
        <f t="shared" si="119"/>
        <v>0.25</v>
      </c>
      <c r="W164" s="1955">
        <f t="shared" si="120"/>
        <v>0.25</v>
      </c>
      <c r="X164" s="1955">
        <f t="shared" si="121"/>
        <v>0.25</v>
      </c>
      <c r="Y164" s="1955">
        <f t="shared" si="122"/>
        <v>0.25</v>
      </c>
      <c r="Z164" s="1955">
        <f t="shared" si="123"/>
        <v>0.25</v>
      </c>
      <c r="AA164" s="1955">
        <f t="shared" si="135"/>
        <v>0.25</v>
      </c>
      <c r="AB164" s="1955">
        <f t="shared" si="136"/>
        <v>0.25</v>
      </c>
      <c r="AC164" s="1954">
        <f t="shared" si="132"/>
        <v>0</v>
      </c>
      <c r="AD164" s="1953">
        <f t="shared" si="133"/>
        <v>0</v>
      </c>
      <c r="AE164" s="1953">
        <f t="shared" si="134"/>
        <v>0</v>
      </c>
      <c r="AG164" s="1985" t="s">
        <v>1690</v>
      </c>
      <c r="AH164" s="1902" t="s">
        <v>2522</v>
      </c>
      <c r="AI164" s="1899" t="s">
        <v>673</v>
      </c>
      <c r="AJ164" s="1955">
        <v>0.25</v>
      </c>
      <c r="AK164" s="1955">
        <v>0.25</v>
      </c>
      <c r="AL164" s="1955">
        <v>0.25</v>
      </c>
      <c r="AM164" s="1955">
        <v>0.25</v>
      </c>
      <c r="AN164" s="1955">
        <v>0.25</v>
      </c>
      <c r="AO164" s="1955">
        <v>0.25</v>
      </c>
      <c r="AP164" s="1955">
        <v>0.25</v>
      </c>
      <c r="AQ164" s="1955">
        <v>0.25</v>
      </c>
      <c r="AR164" s="1955">
        <v>0.25</v>
      </c>
      <c r="AS164" s="1955">
        <v>0.25</v>
      </c>
      <c r="AT164" s="1956"/>
      <c r="AU164" s="1955"/>
      <c r="AV164" s="1955"/>
      <c r="AX164" s="1985" t="s">
        <v>1691</v>
      </c>
      <c r="AY164" s="1902" t="s">
        <v>2522</v>
      </c>
      <c r="AZ164" s="1899" t="s">
        <v>673</v>
      </c>
      <c r="BA164" s="1955">
        <v>0.25</v>
      </c>
      <c r="BB164" s="1955">
        <v>0.25</v>
      </c>
      <c r="BC164" s="1955">
        <v>0.25</v>
      </c>
      <c r="BD164" s="1955">
        <v>0.25</v>
      </c>
      <c r="BE164" s="1955">
        <v>0.25</v>
      </c>
      <c r="BF164" s="1955">
        <v>0.25</v>
      </c>
      <c r="BG164" s="1955">
        <v>0.25</v>
      </c>
      <c r="BH164" s="1955">
        <v>0.25</v>
      </c>
      <c r="BI164" s="1955">
        <v>0.25</v>
      </c>
      <c r="BJ164" s="1955">
        <v>0.25</v>
      </c>
      <c r="BK164" s="1956"/>
      <c r="BL164" s="1955"/>
      <c r="BM164" s="1955"/>
      <c r="BO164" s="1985" t="s">
        <v>1691</v>
      </c>
      <c r="BP164" s="1902" t="s">
        <v>2522</v>
      </c>
      <c r="BQ164" s="1899" t="s">
        <v>673</v>
      </c>
      <c r="BR164" s="1955">
        <v>0.25</v>
      </c>
      <c r="BS164" s="1955">
        <v>0.25</v>
      </c>
      <c r="BT164" s="1955">
        <v>0.25</v>
      </c>
      <c r="BU164" s="1955">
        <v>0.25</v>
      </c>
      <c r="BV164" s="1955">
        <v>0.25</v>
      </c>
      <c r="BW164" s="1955">
        <v>0.25</v>
      </c>
      <c r="BX164" s="1955">
        <v>0.25</v>
      </c>
      <c r="BY164" s="1955">
        <v>0.25</v>
      </c>
      <c r="BZ164" s="1955">
        <v>0.25</v>
      </c>
      <c r="CA164" s="1955">
        <v>0.25</v>
      </c>
      <c r="CB164" s="1956"/>
      <c r="CC164" s="1955"/>
      <c r="CD164" s="1955"/>
      <c r="CE164" s="2281"/>
    </row>
    <row r="165" spans="1:84">
      <c r="B165" s="1872" t="str">
        <f t="shared" si="128"/>
        <v>2.3.1</v>
      </c>
      <c r="C165" s="1986" t="str">
        <f t="shared" si="124"/>
        <v>雨水排水負荷低減</v>
      </c>
      <c r="D165" s="1896">
        <f t="shared" ref="D165:E168" si="140">IF(I$164=0,0,G165/I$164)</f>
        <v>0.25</v>
      </c>
      <c r="E165" s="1896">
        <f t="shared" si="140"/>
        <v>0</v>
      </c>
      <c r="G165" s="1897">
        <f t="shared" si="125"/>
        <v>0.25</v>
      </c>
      <c r="H165" s="1897">
        <f t="shared" si="126"/>
        <v>0</v>
      </c>
      <c r="I165" s="1897"/>
      <c r="J165" s="1897"/>
      <c r="K165" s="1897">
        <f>IF(スコア!M165=0,0,1)</f>
        <v>1</v>
      </c>
      <c r="L165" s="1897">
        <f>IF(スコア!O165=0,0,1)</f>
        <v>0</v>
      </c>
      <c r="M165" s="1897">
        <f t="shared" si="127"/>
        <v>0.25</v>
      </c>
      <c r="N165" s="1897">
        <f t="shared" si="130"/>
        <v>0</v>
      </c>
      <c r="P165" s="1985" t="str">
        <f t="shared" si="113"/>
        <v>2.3.1</v>
      </c>
      <c r="Q165" s="1902" t="str">
        <f t="shared" si="114"/>
        <v>LR3 2.3</v>
      </c>
      <c r="R165" s="1986" t="str">
        <f t="shared" si="115"/>
        <v>雨水排水負荷低減</v>
      </c>
      <c r="S165" s="1904">
        <f t="shared" si="116"/>
        <v>0.25</v>
      </c>
      <c r="T165" s="1904">
        <f t="shared" si="117"/>
        <v>0.25</v>
      </c>
      <c r="U165" s="1904">
        <f t="shared" si="118"/>
        <v>0.25</v>
      </c>
      <c r="V165" s="1904">
        <f t="shared" si="119"/>
        <v>0.25</v>
      </c>
      <c r="W165" s="1904">
        <f t="shared" si="120"/>
        <v>0.25</v>
      </c>
      <c r="X165" s="1904">
        <f t="shared" si="121"/>
        <v>0.25</v>
      </c>
      <c r="Y165" s="1904">
        <f t="shared" si="122"/>
        <v>0.25</v>
      </c>
      <c r="Z165" s="1904">
        <f t="shared" si="123"/>
        <v>0.25</v>
      </c>
      <c r="AA165" s="1904">
        <f t="shared" si="135"/>
        <v>0.25</v>
      </c>
      <c r="AB165" s="1904">
        <f t="shared" si="136"/>
        <v>0.25</v>
      </c>
      <c r="AC165" s="1954">
        <f t="shared" si="132"/>
        <v>0</v>
      </c>
      <c r="AD165" s="1953">
        <f t="shared" si="133"/>
        <v>0</v>
      </c>
      <c r="AE165" s="1953">
        <f t="shared" si="134"/>
        <v>0</v>
      </c>
      <c r="AG165" s="1985" t="s">
        <v>1692</v>
      </c>
      <c r="AH165" s="1902" t="s">
        <v>2523</v>
      </c>
      <c r="AI165" s="1986" t="s">
        <v>1932</v>
      </c>
      <c r="AJ165" s="1904">
        <v>0.25</v>
      </c>
      <c r="AK165" s="1904">
        <v>0.25</v>
      </c>
      <c r="AL165" s="1904">
        <v>0.25</v>
      </c>
      <c r="AM165" s="1904">
        <v>0.25</v>
      </c>
      <c r="AN165" s="1904">
        <v>0.25</v>
      </c>
      <c r="AO165" s="1904">
        <v>0.25</v>
      </c>
      <c r="AP165" s="1904">
        <v>0.25</v>
      </c>
      <c r="AQ165" s="1904">
        <v>0.25</v>
      </c>
      <c r="AR165" s="1904">
        <v>0.25</v>
      </c>
      <c r="AS165" s="1904">
        <v>0.25</v>
      </c>
      <c r="AT165" s="1956"/>
      <c r="AU165" s="1955"/>
      <c r="AV165" s="1955"/>
      <c r="AX165" s="1985" t="s">
        <v>1692</v>
      </c>
      <c r="AY165" s="1902" t="s">
        <v>2523</v>
      </c>
      <c r="AZ165" s="1986" t="s">
        <v>1932</v>
      </c>
      <c r="BA165" s="1904">
        <v>0.25</v>
      </c>
      <c r="BB165" s="1904">
        <v>0.25</v>
      </c>
      <c r="BC165" s="1904">
        <v>0.25</v>
      </c>
      <c r="BD165" s="1904">
        <v>0.25</v>
      </c>
      <c r="BE165" s="1904">
        <v>0.25</v>
      </c>
      <c r="BF165" s="1904">
        <v>0.25</v>
      </c>
      <c r="BG165" s="1904">
        <v>0.25</v>
      </c>
      <c r="BH165" s="1904">
        <v>0.25</v>
      </c>
      <c r="BI165" s="1904">
        <v>0.25</v>
      </c>
      <c r="BJ165" s="1904">
        <v>0.25</v>
      </c>
      <c r="BK165" s="1956"/>
      <c r="BL165" s="1955"/>
      <c r="BM165" s="1955"/>
      <c r="BO165" s="1985" t="s">
        <v>1692</v>
      </c>
      <c r="BP165" s="1902" t="s">
        <v>2523</v>
      </c>
      <c r="BQ165" s="1986" t="s">
        <v>1932</v>
      </c>
      <c r="BR165" s="1904">
        <v>0.25</v>
      </c>
      <c r="BS165" s="1904">
        <v>0.25</v>
      </c>
      <c r="BT165" s="1904">
        <v>0.25</v>
      </c>
      <c r="BU165" s="1904">
        <v>0.25</v>
      </c>
      <c r="BV165" s="1904">
        <v>0.25</v>
      </c>
      <c r="BW165" s="1904">
        <v>0.25</v>
      </c>
      <c r="BX165" s="1904">
        <v>0.25</v>
      </c>
      <c r="BY165" s="1904">
        <v>0.25</v>
      </c>
      <c r="BZ165" s="1904">
        <v>0.25</v>
      </c>
      <c r="CA165" s="1904">
        <v>0.25</v>
      </c>
      <c r="CB165" s="1956"/>
      <c r="CC165" s="1955"/>
      <c r="CD165" s="1955"/>
      <c r="CE165" s="2281"/>
    </row>
    <row r="166" spans="1:84">
      <c r="B166" s="1872" t="str">
        <f t="shared" si="128"/>
        <v>2.3.2</v>
      </c>
      <c r="C166" s="1986" t="str">
        <f t="shared" si="124"/>
        <v>汚水処理負荷抑制</v>
      </c>
      <c r="D166" s="1896">
        <f t="shared" si="140"/>
        <v>0.25</v>
      </c>
      <c r="E166" s="1896">
        <f t="shared" si="140"/>
        <v>0</v>
      </c>
      <c r="G166" s="1897">
        <f t="shared" si="125"/>
        <v>0.25</v>
      </c>
      <c r="H166" s="1897">
        <f t="shared" si="126"/>
        <v>0</v>
      </c>
      <c r="I166" s="1897"/>
      <c r="J166" s="1897"/>
      <c r="K166" s="1897">
        <f>IF(スコア!M166=0,0,1)</f>
        <v>1</v>
      </c>
      <c r="L166" s="1897">
        <f>IF(スコア!O166=0,0,1)</f>
        <v>0</v>
      </c>
      <c r="M166" s="1897">
        <f t="shared" si="127"/>
        <v>0.25</v>
      </c>
      <c r="N166" s="1897">
        <f t="shared" si="130"/>
        <v>0</v>
      </c>
      <c r="P166" s="1985" t="str">
        <f t="shared" si="113"/>
        <v>2.3.2</v>
      </c>
      <c r="Q166" s="1902" t="str">
        <f t="shared" si="114"/>
        <v>LR3 2.3</v>
      </c>
      <c r="R166" s="1986" t="str">
        <f t="shared" si="115"/>
        <v>汚水処理負荷抑制</v>
      </c>
      <c r="S166" s="1904">
        <f t="shared" si="116"/>
        <v>0.25</v>
      </c>
      <c r="T166" s="1904">
        <f t="shared" si="117"/>
        <v>0.25</v>
      </c>
      <c r="U166" s="1904">
        <f t="shared" si="118"/>
        <v>0.25</v>
      </c>
      <c r="V166" s="1904">
        <f t="shared" si="119"/>
        <v>0.25</v>
      </c>
      <c r="W166" s="1904">
        <f t="shared" si="120"/>
        <v>0.25</v>
      </c>
      <c r="X166" s="1904">
        <f t="shared" si="121"/>
        <v>0.25</v>
      </c>
      <c r="Y166" s="1904">
        <f t="shared" si="122"/>
        <v>0.25</v>
      </c>
      <c r="Z166" s="1904">
        <f t="shared" si="123"/>
        <v>0.25</v>
      </c>
      <c r="AA166" s="1904">
        <f t="shared" si="135"/>
        <v>0.25</v>
      </c>
      <c r="AB166" s="1904">
        <f t="shared" si="136"/>
        <v>0.25</v>
      </c>
      <c r="AC166" s="1954">
        <f t="shared" si="132"/>
        <v>0</v>
      </c>
      <c r="AD166" s="1953">
        <f t="shared" si="133"/>
        <v>0</v>
      </c>
      <c r="AE166" s="1953">
        <f t="shared" si="134"/>
        <v>0</v>
      </c>
      <c r="AG166" s="1985" t="s">
        <v>1693</v>
      </c>
      <c r="AH166" s="1902" t="s">
        <v>2523</v>
      </c>
      <c r="AI166" s="1986" t="s">
        <v>1933</v>
      </c>
      <c r="AJ166" s="1904">
        <v>0.25</v>
      </c>
      <c r="AK166" s="1904">
        <v>0.25</v>
      </c>
      <c r="AL166" s="1904">
        <v>0.25</v>
      </c>
      <c r="AM166" s="1904">
        <v>0.25</v>
      </c>
      <c r="AN166" s="1904">
        <v>0.25</v>
      </c>
      <c r="AO166" s="1904">
        <v>0.25</v>
      </c>
      <c r="AP166" s="1904">
        <v>0.25</v>
      </c>
      <c r="AQ166" s="1904">
        <v>0.25</v>
      </c>
      <c r="AR166" s="1904">
        <v>0.25</v>
      </c>
      <c r="AS166" s="1904">
        <v>0.25</v>
      </c>
      <c r="AT166" s="1956"/>
      <c r="AU166" s="1955"/>
      <c r="AV166" s="1955"/>
      <c r="AX166" s="1985" t="s">
        <v>1693</v>
      </c>
      <c r="AY166" s="1902" t="s">
        <v>2523</v>
      </c>
      <c r="AZ166" s="1986" t="s">
        <v>1933</v>
      </c>
      <c r="BA166" s="1904">
        <v>0.25</v>
      </c>
      <c r="BB166" s="1904">
        <v>0.25</v>
      </c>
      <c r="BC166" s="1904">
        <v>0.25</v>
      </c>
      <c r="BD166" s="1904">
        <v>0.25</v>
      </c>
      <c r="BE166" s="1904">
        <v>0.25</v>
      </c>
      <c r="BF166" s="1904">
        <v>0.25</v>
      </c>
      <c r="BG166" s="1904">
        <v>0.25</v>
      </c>
      <c r="BH166" s="1904">
        <v>0.25</v>
      </c>
      <c r="BI166" s="1904">
        <v>0.25</v>
      </c>
      <c r="BJ166" s="1904">
        <v>0.25</v>
      </c>
      <c r="BK166" s="1956"/>
      <c r="BL166" s="1955"/>
      <c r="BM166" s="1955"/>
      <c r="BO166" s="1985" t="s">
        <v>1693</v>
      </c>
      <c r="BP166" s="1902" t="s">
        <v>2523</v>
      </c>
      <c r="BQ166" s="1986" t="s">
        <v>1933</v>
      </c>
      <c r="BR166" s="1904">
        <v>0.25</v>
      </c>
      <c r="BS166" s="1904">
        <v>0.25</v>
      </c>
      <c r="BT166" s="1904">
        <v>0.25</v>
      </c>
      <c r="BU166" s="1904">
        <v>0.25</v>
      </c>
      <c r="BV166" s="1904">
        <v>0.25</v>
      </c>
      <c r="BW166" s="1904">
        <v>0.25</v>
      </c>
      <c r="BX166" s="1904">
        <v>0.25</v>
      </c>
      <c r="BY166" s="1904">
        <v>0.25</v>
      </c>
      <c r="BZ166" s="1904">
        <v>0.25</v>
      </c>
      <c r="CA166" s="1904">
        <v>0.25</v>
      </c>
      <c r="CB166" s="1956"/>
      <c r="CC166" s="1955"/>
      <c r="CD166" s="1955"/>
      <c r="CE166" s="2281"/>
    </row>
    <row r="167" spans="1:84">
      <c r="B167" s="1872" t="str">
        <f t="shared" si="128"/>
        <v>2.3.3</v>
      </c>
      <c r="C167" s="1986" t="str">
        <f t="shared" si="124"/>
        <v>交通負荷抑制</v>
      </c>
      <c r="D167" s="1896">
        <f t="shared" si="140"/>
        <v>0.25</v>
      </c>
      <c r="E167" s="1896">
        <f t="shared" si="140"/>
        <v>0</v>
      </c>
      <c r="G167" s="1897">
        <f t="shared" si="125"/>
        <v>0.25</v>
      </c>
      <c r="H167" s="1897">
        <f t="shared" si="126"/>
        <v>0</v>
      </c>
      <c r="I167" s="1897"/>
      <c r="J167" s="1897"/>
      <c r="K167" s="1897">
        <f>IF(スコア!M167=0,0,1)</f>
        <v>1</v>
      </c>
      <c r="L167" s="1897">
        <f>IF(スコア!O167=0,0,1)</f>
        <v>0</v>
      </c>
      <c r="M167" s="1897">
        <f t="shared" si="127"/>
        <v>0.25</v>
      </c>
      <c r="N167" s="1897">
        <f t="shared" si="130"/>
        <v>0</v>
      </c>
      <c r="P167" s="1985" t="str">
        <f t="shared" si="113"/>
        <v>2.3.3</v>
      </c>
      <c r="Q167" s="1902" t="str">
        <f t="shared" si="114"/>
        <v>LR3 2.3</v>
      </c>
      <c r="R167" s="1986" t="str">
        <f t="shared" si="115"/>
        <v>交通負荷抑制</v>
      </c>
      <c r="S167" s="1904">
        <f t="shared" si="116"/>
        <v>0.25</v>
      </c>
      <c r="T167" s="1904">
        <f t="shared" si="117"/>
        <v>0.25</v>
      </c>
      <c r="U167" s="1904">
        <f t="shared" si="118"/>
        <v>0.25</v>
      </c>
      <c r="V167" s="1904">
        <f t="shared" si="119"/>
        <v>0.25</v>
      </c>
      <c r="W167" s="1904">
        <f t="shared" si="120"/>
        <v>0.25</v>
      </c>
      <c r="X167" s="1904">
        <f t="shared" si="121"/>
        <v>0.25</v>
      </c>
      <c r="Y167" s="1904">
        <f t="shared" si="122"/>
        <v>0.25</v>
      </c>
      <c r="Z167" s="1904">
        <f t="shared" si="123"/>
        <v>0.25</v>
      </c>
      <c r="AA167" s="1904">
        <f t="shared" si="135"/>
        <v>0.25</v>
      </c>
      <c r="AB167" s="1904">
        <f t="shared" si="136"/>
        <v>0.25</v>
      </c>
      <c r="AC167" s="1954">
        <f t="shared" si="132"/>
        <v>0</v>
      </c>
      <c r="AD167" s="1953">
        <f t="shared" si="133"/>
        <v>0</v>
      </c>
      <c r="AE167" s="1953">
        <f t="shared" si="134"/>
        <v>0</v>
      </c>
      <c r="AG167" s="1985" t="s">
        <v>1694</v>
      </c>
      <c r="AH167" s="1902" t="s">
        <v>2523</v>
      </c>
      <c r="AI167" s="1986" t="s">
        <v>674</v>
      </c>
      <c r="AJ167" s="1904">
        <v>0.25</v>
      </c>
      <c r="AK167" s="1904">
        <v>0.25</v>
      </c>
      <c r="AL167" s="1904">
        <v>0.25</v>
      </c>
      <c r="AM167" s="1904">
        <v>0.25</v>
      </c>
      <c r="AN167" s="1904">
        <v>0.25</v>
      </c>
      <c r="AO167" s="1904">
        <v>0.25</v>
      </c>
      <c r="AP167" s="1904">
        <v>0.25</v>
      </c>
      <c r="AQ167" s="1904">
        <v>0.25</v>
      </c>
      <c r="AR167" s="1904">
        <v>0.25</v>
      </c>
      <c r="AS167" s="1904">
        <v>0.25</v>
      </c>
      <c r="AT167" s="1956"/>
      <c r="AU167" s="1955"/>
      <c r="AV167" s="1955"/>
      <c r="AX167" s="1985" t="s">
        <v>1695</v>
      </c>
      <c r="AY167" s="1902" t="s">
        <v>2523</v>
      </c>
      <c r="AZ167" s="1986" t="s">
        <v>674</v>
      </c>
      <c r="BA167" s="1904">
        <v>0.25</v>
      </c>
      <c r="BB167" s="1904">
        <v>0.25</v>
      </c>
      <c r="BC167" s="1904">
        <v>0.25</v>
      </c>
      <c r="BD167" s="1904">
        <v>0.25</v>
      </c>
      <c r="BE167" s="1904">
        <v>0.25</v>
      </c>
      <c r="BF167" s="1904">
        <v>0.25</v>
      </c>
      <c r="BG167" s="1904">
        <v>0.25</v>
      </c>
      <c r="BH167" s="1904">
        <v>0.25</v>
      </c>
      <c r="BI167" s="1904">
        <v>0.25</v>
      </c>
      <c r="BJ167" s="1904">
        <v>0.25</v>
      </c>
      <c r="BK167" s="1956"/>
      <c r="BL167" s="1955"/>
      <c r="BM167" s="1955"/>
      <c r="BO167" s="1985" t="s">
        <v>1695</v>
      </c>
      <c r="BP167" s="1902" t="s">
        <v>2523</v>
      </c>
      <c r="BQ167" s="1986" t="s">
        <v>674</v>
      </c>
      <c r="BR167" s="1904">
        <v>0.25</v>
      </c>
      <c r="BS167" s="1904">
        <v>0.25</v>
      </c>
      <c r="BT167" s="1904">
        <v>0.25</v>
      </c>
      <c r="BU167" s="1904">
        <v>0.25</v>
      </c>
      <c r="BV167" s="1904">
        <v>0.25</v>
      </c>
      <c r="BW167" s="1904">
        <v>0.25</v>
      </c>
      <c r="BX167" s="1904">
        <v>0.25</v>
      </c>
      <c r="BY167" s="1904">
        <v>0.25</v>
      </c>
      <c r="BZ167" s="1904">
        <v>0.25</v>
      </c>
      <c r="CA167" s="1904">
        <v>0.25</v>
      </c>
      <c r="CB167" s="1956"/>
      <c r="CC167" s="1955"/>
      <c r="CD167" s="1955"/>
      <c r="CE167" s="2281"/>
    </row>
    <row r="168" spans="1:84">
      <c r="B168" s="1872" t="str">
        <f t="shared" si="128"/>
        <v>2.3.4</v>
      </c>
      <c r="C168" s="875" t="str">
        <f t="shared" si="124"/>
        <v>廃棄物処理負荷抑制</v>
      </c>
      <c r="D168" s="1896">
        <f t="shared" si="140"/>
        <v>0.25</v>
      </c>
      <c r="E168" s="1896">
        <f t="shared" si="140"/>
        <v>0</v>
      </c>
      <c r="G168" s="1897">
        <f t="shared" si="125"/>
        <v>0.25</v>
      </c>
      <c r="H168" s="1897">
        <f t="shared" si="126"/>
        <v>0</v>
      </c>
      <c r="I168" s="1897"/>
      <c r="J168" s="1897"/>
      <c r="K168" s="1897">
        <f>IF(スコア!M168=0,0,1)</f>
        <v>1</v>
      </c>
      <c r="L168" s="1897">
        <f>IF(スコア!O168=0,0,1)</f>
        <v>0</v>
      </c>
      <c r="M168" s="1897">
        <f t="shared" si="127"/>
        <v>0.25</v>
      </c>
      <c r="N168" s="1897">
        <f t="shared" si="130"/>
        <v>0</v>
      </c>
      <c r="P168" s="1985" t="str">
        <f t="shared" si="113"/>
        <v>2.3.4</v>
      </c>
      <c r="Q168" s="1902" t="str">
        <f t="shared" si="114"/>
        <v>LR3 2.3</v>
      </c>
      <c r="R168" s="875" t="str">
        <f t="shared" si="115"/>
        <v>廃棄物処理負荷抑制</v>
      </c>
      <c r="S168" s="1904">
        <f t="shared" si="116"/>
        <v>0.25</v>
      </c>
      <c r="T168" s="1904">
        <f t="shared" si="117"/>
        <v>0.25</v>
      </c>
      <c r="U168" s="1904">
        <f t="shared" si="118"/>
        <v>0.25</v>
      </c>
      <c r="V168" s="1904">
        <f t="shared" si="119"/>
        <v>0.25</v>
      </c>
      <c r="W168" s="1904">
        <f t="shared" si="120"/>
        <v>0.25</v>
      </c>
      <c r="X168" s="1904">
        <f t="shared" si="121"/>
        <v>0.25</v>
      </c>
      <c r="Y168" s="1904">
        <f t="shared" si="122"/>
        <v>0.25</v>
      </c>
      <c r="Z168" s="1904">
        <f t="shared" si="123"/>
        <v>0.25</v>
      </c>
      <c r="AA168" s="1904">
        <f t="shared" si="135"/>
        <v>0.25</v>
      </c>
      <c r="AB168" s="1904">
        <f t="shared" si="136"/>
        <v>0.25</v>
      </c>
      <c r="AC168" s="1954">
        <f t="shared" si="132"/>
        <v>0</v>
      </c>
      <c r="AD168" s="1953">
        <f t="shared" si="133"/>
        <v>0</v>
      </c>
      <c r="AE168" s="1953">
        <f t="shared" si="134"/>
        <v>0</v>
      </c>
      <c r="AG168" s="1985" t="s">
        <v>1696</v>
      </c>
      <c r="AH168" s="1902" t="s">
        <v>2523</v>
      </c>
      <c r="AI168" s="875" t="s">
        <v>991</v>
      </c>
      <c r="AJ168" s="1904">
        <v>0.25</v>
      </c>
      <c r="AK168" s="1904">
        <v>0.25</v>
      </c>
      <c r="AL168" s="1904">
        <v>0.25</v>
      </c>
      <c r="AM168" s="1904">
        <v>0.25</v>
      </c>
      <c r="AN168" s="1904">
        <v>0.25</v>
      </c>
      <c r="AO168" s="1904">
        <v>0.25</v>
      </c>
      <c r="AP168" s="1904">
        <v>0.25</v>
      </c>
      <c r="AQ168" s="1904">
        <v>0.25</v>
      </c>
      <c r="AR168" s="1904">
        <v>0.25</v>
      </c>
      <c r="AS168" s="1904">
        <v>0.25</v>
      </c>
      <c r="AT168" s="1956"/>
      <c r="AU168" s="1955"/>
      <c r="AV168" s="1955"/>
      <c r="AX168" s="1985" t="s">
        <v>1697</v>
      </c>
      <c r="AY168" s="1902" t="s">
        <v>2523</v>
      </c>
      <c r="AZ168" s="875" t="s">
        <v>991</v>
      </c>
      <c r="BA168" s="1904">
        <v>0.25</v>
      </c>
      <c r="BB168" s="1904">
        <v>0.25</v>
      </c>
      <c r="BC168" s="1904">
        <v>0.25</v>
      </c>
      <c r="BD168" s="1904">
        <v>0.25</v>
      </c>
      <c r="BE168" s="1904">
        <v>0.25</v>
      </c>
      <c r="BF168" s="1904">
        <v>0.25</v>
      </c>
      <c r="BG168" s="1904">
        <v>0.25</v>
      </c>
      <c r="BH168" s="1904">
        <v>0.25</v>
      </c>
      <c r="BI168" s="1904">
        <v>0.25</v>
      </c>
      <c r="BJ168" s="1904">
        <v>0.25</v>
      </c>
      <c r="BK168" s="1956"/>
      <c r="BL168" s="1955"/>
      <c r="BM168" s="1955"/>
      <c r="BO168" s="1985" t="s">
        <v>1697</v>
      </c>
      <c r="BP168" s="1902" t="s">
        <v>2523</v>
      </c>
      <c r="BQ168" s="875" t="s">
        <v>991</v>
      </c>
      <c r="BR168" s="1904">
        <v>0.25</v>
      </c>
      <c r="BS168" s="1904">
        <v>0.25</v>
      </c>
      <c r="BT168" s="1904">
        <v>0.25</v>
      </c>
      <c r="BU168" s="1904">
        <v>0.25</v>
      </c>
      <c r="BV168" s="1904">
        <v>0.25</v>
      </c>
      <c r="BW168" s="1904">
        <v>0.25</v>
      </c>
      <c r="BX168" s="1904">
        <v>0.25</v>
      </c>
      <c r="BY168" s="1904">
        <v>0.25</v>
      </c>
      <c r="BZ168" s="1904">
        <v>0.25</v>
      </c>
      <c r="CA168" s="1904">
        <v>0.25</v>
      </c>
      <c r="CB168" s="1956"/>
      <c r="CC168" s="1955"/>
      <c r="CD168" s="1955"/>
      <c r="CE168" s="2281"/>
    </row>
    <row r="169" spans="1:84" s="1355" customFormat="1">
      <c r="A169"/>
      <c r="B169" s="1872">
        <f t="shared" si="128"/>
        <v>3</v>
      </c>
      <c r="C169" s="1887" t="str">
        <f t="shared" si="124"/>
        <v>周辺環境への配慮</v>
      </c>
      <c r="D169" s="1883" t="e">
        <f>IF(I$159=0,0,G169/I$159)</f>
        <v>#N/A</v>
      </c>
      <c r="E169" s="1883">
        <f>IF(J$159=0,0,H169/J$159)</f>
        <v>0</v>
      </c>
      <c r="F169"/>
      <c r="G169" s="1884">
        <f t="shared" si="125"/>
        <v>0.33333333333333337</v>
      </c>
      <c r="H169" s="1884">
        <f t="shared" si="126"/>
        <v>0</v>
      </c>
      <c r="I169" s="1884">
        <f>G170+G174+G178</f>
        <v>1</v>
      </c>
      <c r="J169" s="1884">
        <f>H170+H174+H178</f>
        <v>0</v>
      </c>
      <c r="K169" s="1884">
        <f>IF(スコア!M169=0,0,1)</f>
        <v>1</v>
      </c>
      <c r="L169" s="1884">
        <f>IF(スコア!O169=0,0,1)</f>
        <v>0</v>
      </c>
      <c r="M169" s="1884">
        <f t="shared" si="127"/>
        <v>0.33333333333333337</v>
      </c>
      <c r="N169" s="1884">
        <f t="shared" si="130"/>
        <v>0</v>
      </c>
      <c r="O169"/>
      <c r="P169" s="1983">
        <f t="shared" ref="P169:P180" si="141">IF($P$3=1,AX169,IF($P$3=2,BO169,AG169))</f>
        <v>3</v>
      </c>
      <c r="Q169" s="1891" t="str">
        <f t="shared" ref="Q169:Q180" si="142">IF($P$3=1,AY169,IF($P$3=2,BP169,AH169))</f>
        <v>LR3</v>
      </c>
      <c r="R169" s="1887" t="str">
        <f t="shared" ref="R169:R180" si="143">IF($P$3=1,AZ169,IF($P$3=2,BQ169,AI169))</f>
        <v>周辺環境への配慮</v>
      </c>
      <c r="S169" s="1892">
        <f t="shared" ref="S169:S180" si="144">IF($P$3=1,BA169,IF($P$3=2,BR169,AJ169))</f>
        <v>0.33333333333333331</v>
      </c>
      <c r="T169" s="1892">
        <f t="shared" ref="T169:T180" si="145">IF($P$3=1,BB169,IF($P$3=2,BS169,AK169))</f>
        <v>0.33333333333333331</v>
      </c>
      <c r="U169" s="1892">
        <f t="shared" ref="U169:U180" si="146">IF($P$3=1,BC169,IF($P$3=2,BT169,AL169))</f>
        <v>0.33333333333333331</v>
      </c>
      <c r="V169" s="1892">
        <f t="shared" ref="V169:V180" si="147">IF($P$3=1,BD169,IF($P$3=2,BU169,AM169))</f>
        <v>0.33333333333333331</v>
      </c>
      <c r="W169" s="1892">
        <f t="shared" ref="W169:W180" si="148">IF($P$3=1,BE169,IF($P$3=2,BV169,AN169))</f>
        <v>0.33333333333333331</v>
      </c>
      <c r="X169" s="1892">
        <f t="shared" ref="X169:X180" si="149">IF($P$3=1,BF169,IF($P$3=2,BW169,AO169))</f>
        <v>0.33333333333333331</v>
      </c>
      <c r="Y169" s="1892">
        <f t="shared" ref="Y169:Y180" si="150">IF($P$3=1,BG169,IF($P$3=2,BX169,AP169))</f>
        <v>0.33333333333333331</v>
      </c>
      <c r="Z169" s="1892">
        <f t="shared" ref="Z169:Z180" si="151">IF($P$3=1,BH169,IF($P$3=2,BY169,AQ169))</f>
        <v>0.33333333333333331</v>
      </c>
      <c r="AA169" s="1892">
        <f t="shared" si="135"/>
        <v>0.33333333333333331</v>
      </c>
      <c r="AB169" s="1892">
        <f t="shared" si="136"/>
        <v>0.33333333333333331</v>
      </c>
      <c r="AC169" s="1890">
        <f t="shared" si="132"/>
        <v>0</v>
      </c>
      <c r="AD169" s="1888">
        <f t="shared" si="133"/>
        <v>0</v>
      </c>
      <c r="AE169" s="1888">
        <f t="shared" si="134"/>
        <v>0</v>
      </c>
      <c r="AF169"/>
      <c r="AG169" s="1886">
        <v>3</v>
      </c>
      <c r="AH169" s="1891" t="s">
        <v>1589</v>
      </c>
      <c r="AI169" s="1887" t="s">
        <v>992</v>
      </c>
      <c r="AJ169" s="1892">
        <v>0.33333333333333331</v>
      </c>
      <c r="AK169" s="1892">
        <v>0.33333333333333331</v>
      </c>
      <c r="AL169" s="1892">
        <v>0.33333333333333331</v>
      </c>
      <c r="AM169" s="1892">
        <v>0.33333333333333331</v>
      </c>
      <c r="AN169" s="1892">
        <v>0.33333333333333331</v>
      </c>
      <c r="AO169" s="1892">
        <v>0.33333333333333331</v>
      </c>
      <c r="AP169" s="1892">
        <v>0.33333333333333331</v>
      </c>
      <c r="AQ169" s="1892">
        <v>0.33333333333333331</v>
      </c>
      <c r="AR169" s="1892">
        <v>0.33333333333333331</v>
      </c>
      <c r="AS169" s="1892">
        <v>0.33333333333333331</v>
      </c>
      <c r="AT169" s="1893">
        <v>0</v>
      </c>
      <c r="AU169" s="1892">
        <v>0</v>
      </c>
      <c r="AV169" s="1892">
        <v>0</v>
      </c>
      <c r="AW169"/>
      <c r="AX169" s="1886">
        <v>3</v>
      </c>
      <c r="AY169" s="1891" t="s">
        <v>1589</v>
      </c>
      <c r="AZ169" s="1887" t="s">
        <v>992</v>
      </c>
      <c r="BA169" s="1892">
        <f t="shared" ref="BA169:BJ169" si="152">1/3</f>
        <v>0.33333333333333331</v>
      </c>
      <c r="BB169" s="1892">
        <f t="shared" si="152"/>
        <v>0.33333333333333331</v>
      </c>
      <c r="BC169" s="1892">
        <f t="shared" si="152"/>
        <v>0.33333333333333331</v>
      </c>
      <c r="BD169" s="1892">
        <f t="shared" si="152"/>
        <v>0.33333333333333331</v>
      </c>
      <c r="BE169" s="1892">
        <f t="shared" si="152"/>
        <v>0.33333333333333331</v>
      </c>
      <c r="BF169" s="1892">
        <f t="shared" si="152"/>
        <v>0.33333333333333331</v>
      </c>
      <c r="BG169" s="1892">
        <f t="shared" si="152"/>
        <v>0.33333333333333331</v>
      </c>
      <c r="BH169" s="1892">
        <f t="shared" si="152"/>
        <v>0.33333333333333331</v>
      </c>
      <c r="BI169" s="1892">
        <f t="shared" si="152"/>
        <v>0.33333333333333331</v>
      </c>
      <c r="BJ169" s="1892">
        <f t="shared" si="152"/>
        <v>0.33333333333333331</v>
      </c>
      <c r="BK169" s="1893"/>
      <c r="BL169" s="1892"/>
      <c r="BM169" s="1892"/>
      <c r="BN169"/>
      <c r="BO169" s="1886">
        <v>3</v>
      </c>
      <c r="BP169" s="1891" t="s">
        <v>1589</v>
      </c>
      <c r="BQ169" s="1887" t="s">
        <v>992</v>
      </c>
      <c r="BR169" s="1892">
        <f t="shared" ref="BR169:CA169" si="153">1/3</f>
        <v>0.33333333333333331</v>
      </c>
      <c r="BS169" s="1892">
        <f t="shared" si="153"/>
        <v>0.33333333333333331</v>
      </c>
      <c r="BT169" s="1892">
        <f t="shared" si="153"/>
        <v>0.33333333333333331</v>
      </c>
      <c r="BU169" s="1892">
        <f t="shared" si="153"/>
        <v>0.33333333333333331</v>
      </c>
      <c r="BV169" s="1892">
        <f t="shared" si="153"/>
        <v>0.33333333333333331</v>
      </c>
      <c r="BW169" s="1892">
        <f t="shared" si="153"/>
        <v>0.33333333333333331</v>
      </c>
      <c r="BX169" s="1892">
        <f t="shared" si="153"/>
        <v>0.33333333333333331</v>
      </c>
      <c r="BY169" s="1892">
        <f t="shared" si="153"/>
        <v>0.33333333333333331</v>
      </c>
      <c r="BZ169" s="1892">
        <f t="shared" si="153"/>
        <v>0.33333333333333331</v>
      </c>
      <c r="CA169" s="1892">
        <f t="shared" si="153"/>
        <v>0.33333333333333331</v>
      </c>
      <c r="CB169" s="1893"/>
      <c r="CC169" s="1892"/>
      <c r="CD169" s="1892"/>
      <c r="CE169" s="2277"/>
      <c r="CF169"/>
    </row>
    <row r="170" spans="1:84">
      <c r="B170" s="1872" t="str">
        <f t="shared" si="128"/>
        <v>3.1</v>
      </c>
      <c r="C170" s="1899" t="str">
        <f t="shared" si="124"/>
        <v>騒音・振動・悪臭の防止</v>
      </c>
      <c r="D170" s="1896">
        <f>IF(I$169=0,0,G170/I$169)</f>
        <v>0.4</v>
      </c>
      <c r="E170" s="1896">
        <f>IF(J$169=0,0,H170/J$169)</f>
        <v>0</v>
      </c>
      <c r="G170" s="1897">
        <f t="shared" si="125"/>
        <v>0.4</v>
      </c>
      <c r="H170" s="1897">
        <f t="shared" si="126"/>
        <v>0</v>
      </c>
      <c r="I170" s="1897">
        <f>SUM(G171:G173)</f>
        <v>1</v>
      </c>
      <c r="J170" s="1897">
        <f>SUM(H171:H173)</f>
        <v>0</v>
      </c>
      <c r="K170" s="1897">
        <f>IF(スコア!M170=0,0,1)</f>
        <v>1</v>
      </c>
      <c r="L170" s="1897">
        <f>IF(スコア!O170=0,0,1)</f>
        <v>0</v>
      </c>
      <c r="M170" s="1897">
        <f t="shared" si="127"/>
        <v>0.4</v>
      </c>
      <c r="N170" s="1897">
        <f t="shared" si="130"/>
        <v>0</v>
      </c>
      <c r="P170" s="1984" t="str">
        <f t="shared" si="141"/>
        <v>3.1</v>
      </c>
      <c r="Q170" s="1902" t="str">
        <f t="shared" si="142"/>
        <v>LR3 3</v>
      </c>
      <c r="R170" s="1899" t="str">
        <f t="shared" si="143"/>
        <v>騒音・振動・悪臭の防止</v>
      </c>
      <c r="S170" s="1955">
        <f t="shared" si="144"/>
        <v>0.4</v>
      </c>
      <c r="T170" s="1955">
        <f t="shared" si="145"/>
        <v>0.4</v>
      </c>
      <c r="U170" s="1955">
        <f t="shared" si="146"/>
        <v>0.4</v>
      </c>
      <c r="V170" s="1955">
        <f t="shared" si="147"/>
        <v>0.4</v>
      </c>
      <c r="W170" s="1955">
        <f t="shared" si="148"/>
        <v>0.4</v>
      </c>
      <c r="X170" s="1955">
        <f t="shared" si="149"/>
        <v>0.4</v>
      </c>
      <c r="Y170" s="1955">
        <f t="shared" si="150"/>
        <v>0.4</v>
      </c>
      <c r="Z170" s="1955">
        <f t="shared" si="151"/>
        <v>0.4</v>
      </c>
      <c r="AA170" s="1955">
        <f t="shared" si="135"/>
        <v>0.4</v>
      </c>
      <c r="AB170" s="1955">
        <f t="shared" si="136"/>
        <v>0.4</v>
      </c>
      <c r="AC170" s="1954">
        <f t="shared" si="132"/>
        <v>0</v>
      </c>
      <c r="AD170" s="1953">
        <f t="shared" si="133"/>
        <v>0</v>
      </c>
      <c r="AE170" s="1953">
        <f t="shared" si="134"/>
        <v>0</v>
      </c>
      <c r="AG170" s="1985" t="s">
        <v>1698</v>
      </c>
      <c r="AH170" s="1902" t="s">
        <v>2524</v>
      </c>
      <c r="AI170" s="1899" t="s">
        <v>993</v>
      </c>
      <c r="AJ170" s="1955">
        <v>0.4</v>
      </c>
      <c r="AK170" s="1955">
        <v>0.4</v>
      </c>
      <c r="AL170" s="1955">
        <v>0.4</v>
      </c>
      <c r="AM170" s="1955">
        <v>0.4</v>
      </c>
      <c r="AN170" s="1955">
        <v>0.4</v>
      </c>
      <c r="AO170" s="1955">
        <v>0.4</v>
      </c>
      <c r="AP170" s="1955">
        <v>0.4</v>
      </c>
      <c r="AQ170" s="1955">
        <v>0.4</v>
      </c>
      <c r="AR170" s="1955">
        <v>0.4</v>
      </c>
      <c r="AS170" s="1955">
        <v>0.4</v>
      </c>
      <c r="AT170" s="1956"/>
      <c r="AU170" s="1955"/>
      <c r="AV170" s="1955"/>
      <c r="AX170" s="1985" t="s">
        <v>1699</v>
      </c>
      <c r="AY170" s="1902" t="s">
        <v>2524</v>
      </c>
      <c r="AZ170" s="1899" t="s">
        <v>993</v>
      </c>
      <c r="BA170" s="1955">
        <v>0.4</v>
      </c>
      <c r="BB170" s="1955">
        <v>0.4</v>
      </c>
      <c r="BC170" s="1955">
        <v>0.4</v>
      </c>
      <c r="BD170" s="1955">
        <v>0.4</v>
      </c>
      <c r="BE170" s="1955">
        <v>0.4</v>
      </c>
      <c r="BF170" s="1955">
        <v>0.4</v>
      </c>
      <c r="BG170" s="1955">
        <v>0.4</v>
      </c>
      <c r="BH170" s="1955">
        <v>0.4</v>
      </c>
      <c r="BI170" s="1955">
        <v>0.4</v>
      </c>
      <c r="BJ170" s="1955">
        <v>0.4</v>
      </c>
      <c r="BK170" s="1956"/>
      <c r="BL170" s="1955"/>
      <c r="BM170" s="1955"/>
      <c r="BO170" s="1985" t="s">
        <v>1699</v>
      </c>
      <c r="BP170" s="1902" t="s">
        <v>2524</v>
      </c>
      <c r="BQ170" s="1899" t="s">
        <v>993</v>
      </c>
      <c r="BR170" s="1955">
        <v>0.4</v>
      </c>
      <c r="BS170" s="1955">
        <v>0.4</v>
      </c>
      <c r="BT170" s="1955">
        <v>0.4</v>
      </c>
      <c r="BU170" s="1955">
        <v>0.4</v>
      </c>
      <c r="BV170" s="1955">
        <v>0.4</v>
      </c>
      <c r="BW170" s="1955">
        <v>0.4</v>
      </c>
      <c r="BX170" s="1955">
        <v>0.4</v>
      </c>
      <c r="BY170" s="1955">
        <v>0.4</v>
      </c>
      <c r="BZ170" s="1955">
        <v>0.4</v>
      </c>
      <c r="CA170" s="1955">
        <v>0.4</v>
      </c>
      <c r="CB170" s="1956"/>
      <c r="CC170" s="1955"/>
      <c r="CD170" s="1955"/>
      <c r="CE170" s="2281"/>
    </row>
    <row r="171" spans="1:84">
      <c r="B171" s="1872" t="str">
        <f t="shared" si="128"/>
        <v>3.1.1</v>
      </c>
      <c r="C171" s="1899" t="str">
        <f t="shared" si="124"/>
        <v>騒音</v>
      </c>
      <c r="D171" s="1896">
        <f t="shared" ref="D171:E173" si="154">IF(I$170=0,0,G171/I$170)</f>
        <v>0.33333333333333337</v>
      </c>
      <c r="E171" s="1896">
        <f t="shared" si="154"/>
        <v>0</v>
      </c>
      <c r="G171" s="1897">
        <f t="shared" si="125"/>
        <v>0.33333333333333337</v>
      </c>
      <c r="H171" s="1897">
        <f t="shared" si="126"/>
        <v>0</v>
      </c>
      <c r="I171" s="1897"/>
      <c r="J171" s="1897"/>
      <c r="K171" s="1897">
        <f>IF(スコア!M171=0,0,1)</f>
        <v>1</v>
      </c>
      <c r="L171" s="1897">
        <f>IF(スコア!O171=0,0,1)</f>
        <v>0</v>
      </c>
      <c r="M171" s="1897">
        <f t="shared" si="127"/>
        <v>0.33333333333333337</v>
      </c>
      <c r="N171" s="1897">
        <f t="shared" si="130"/>
        <v>0</v>
      </c>
      <c r="P171" s="1985" t="str">
        <f t="shared" si="141"/>
        <v>3.1.1</v>
      </c>
      <c r="Q171" s="1898" t="str">
        <f t="shared" si="142"/>
        <v>LR3 3.1</v>
      </c>
      <c r="R171" s="1899" t="str">
        <f t="shared" si="143"/>
        <v>騒音</v>
      </c>
      <c r="S171" s="1904">
        <f t="shared" si="144"/>
        <v>0.33333333333333331</v>
      </c>
      <c r="T171" s="1904">
        <f t="shared" si="145"/>
        <v>0.33333333333333331</v>
      </c>
      <c r="U171" s="1904">
        <f t="shared" si="146"/>
        <v>0.33333333333333331</v>
      </c>
      <c r="V171" s="1904">
        <f t="shared" si="147"/>
        <v>0.33333333333333331</v>
      </c>
      <c r="W171" s="1904">
        <f t="shared" si="148"/>
        <v>0.33333333333333331</v>
      </c>
      <c r="X171" s="1904">
        <f t="shared" si="149"/>
        <v>0.33333333333333331</v>
      </c>
      <c r="Y171" s="1904">
        <f t="shared" si="150"/>
        <v>0.33333333333333331</v>
      </c>
      <c r="Z171" s="1904">
        <f t="shared" si="151"/>
        <v>0.33333333333333331</v>
      </c>
      <c r="AA171" s="1904">
        <f t="shared" si="135"/>
        <v>0.33333333333333331</v>
      </c>
      <c r="AB171" s="1904">
        <f t="shared" si="136"/>
        <v>0.33333333333333331</v>
      </c>
      <c r="AC171" s="1901">
        <f t="shared" si="132"/>
        <v>0</v>
      </c>
      <c r="AD171" s="1900">
        <f t="shared" si="133"/>
        <v>0</v>
      </c>
      <c r="AE171" s="1900">
        <f t="shared" si="134"/>
        <v>0</v>
      </c>
      <c r="AG171" s="1985" t="s">
        <v>1700</v>
      </c>
      <c r="AH171" s="1898" t="s">
        <v>2525</v>
      </c>
      <c r="AI171" s="1899" t="s">
        <v>994</v>
      </c>
      <c r="AJ171" s="1904">
        <v>0.33333333333333331</v>
      </c>
      <c r="AK171" s="1904">
        <v>0.33333333333333331</v>
      </c>
      <c r="AL171" s="1904">
        <v>0.33333333333333331</v>
      </c>
      <c r="AM171" s="1904">
        <v>0.33333333333333331</v>
      </c>
      <c r="AN171" s="1904">
        <v>0.33333333333333331</v>
      </c>
      <c r="AO171" s="1904">
        <v>0.33333333333333331</v>
      </c>
      <c r="AP171" s="1904">
        <v>0.33333333333333331</v>
      </c>
      <c r="AQ171" s="1904">
        <v>0.33333333333333331</v>
      </c>
      <c r="AR171" s="1904">
        <v>0.33333333333333331</v>
      </c>
      <c r="AS171" s="1904">
        <v>0.33333333333333331</v>
      </c>
      <c r="AT171" s="1905"/>
      <c r="AU171" s="1904"/>
      <c r="AV171" s="1904"/>
      <c r="AX171" s="1985" t="s">
        <v>1701</v>
      </c>
      <c r="AY171" s="1898" t="s">
        <v>2525</v>
      </c>
      <c r="AZ171" s="1899" t="s">
        <v>994</v>
      </c>
      <c r="BA171" s="1904">
        <v>0.33333333333333331</v>
      </c>
      <c r="BB171" s="1904">
        <v>0.33333333333333331</v>
      </c>
      <c r="BC171" s="1904">
        <v>0.33333333333333331</v>
      </c>
      <c r="BD171" s="1904">
        <v>0.33333333333333331</v>
      </c>
      <c r="BE171" s="1904">
        <v>0.33333333333333331</v>
      </c>
      <c r="BF171" s="1904">
        <v>0.33333333333333331</v>
      </c>
      <c r="BG171" s="1904">
        <v>0.33333333333333331</v>
      </c>
      <c r="BH171" s="1904">
        <v>0.33333333333333331</v>
      </c>
      <c r="BI171" s="1904">
        <v>0.33333333333333331</v>
      </c>
      <c r="BJ171" s="1904">
        <v>0.33333333333333331</v>
      </c>
      <c r="BK171" s="1905"/>
      <c r="BL171" s="1904"/>
      <c r="BM171" s="1904"/>
      <c r="BO171" s="1985" t="s">
        <v>1701</v>
      </c>
      <c r="BP171" s="1898" t="s">
        <v>2525</v>
      </c>
      <c r="BQ171" s="1899" t="s">
        <v>994</v>
      </c>
      <c r="BR171" s="1904">
        <v>0.33333333333333331</v>
      </c>
      <c r="BS171" s="1904">
        <v>0.33333333333333331</v>
      </c>
      <c r="BT171" s="1904">
        <v>0.33333333333333331</v>
      </c>
      <c r="BU171" s="1904">
        <v>0.33333333333333331</v>
      </c>
      <c r="BV171" s="1904">
        <v>0.33333333333333331</v>
      </c>
      <c r="BW171" s="1904">
        <v>0.33333333333333331</v>
      </c>
      <c r="BX171" s="1904">
        <v>0.33333333333333331</v>
      </c>
      <c r="BY171" s="1904">
        <v>0.33333333333333331</v>
      </c>
      <c r="BZ171" s="1904">
        <v>0.33333333333333331</v>
      </c>
      <c r="CA171" s="1904">
        <v>0.33333333333333331</v>
      </c>
      <c r="CB171" s="1904"/>
      <c r="CC171" s="1904"/>
      <c r="CD171" s="1904"/>
      <c r="CE171" s="2278"/>
    </row>
    <row r="172" spans="1:84">
      <c r="B172" s="1872" t="str">
        <f t="shared" si="128"/>
        <v>3.1.2</v>
      </c>
      <c r="C172" s="1899" t="str">
        <f t="shared" si="124"/>
        <v>振動</v>
      </c>
      <c r="D172" s="1896">
        <f t="shared" si="154"/>
        <v>0.33333333333333337</v>
      </c>
      <c r="E172" s="1896">
        <f t="shared" si="154"/>
        <v>0</v>
      </c>
      <c r="G172" s="1897">
        <f t="shared" si="125"/>
        <v>0.33333333333333337</v>
      </c>
      <c r="H172" s="1897">
        <f t="shared" si="126"/>
        <v>0</v>
      </c>
      <c r="I172" s="1897"/>
      <c r="J172" s="1897"/>
      <c r="K172" s="1897">
        <f>IF(スコア!M172=0,0,1)</f>
        <v>1</v>
      </c>
      <c r="L172" s="1897">
        <f>IF(スコア!O172=0,0,1)</f>
        <v>0</v>
      </c>
      <c r="M172" s="1897">
        <f t="shared" si="127"/>
        <v>0.33333333333333337</v>
      </c>
      <c r="N172" s="1897">
        <f t="shared" si="130"/>
        <v>0</v>
      </c>
      <c r="P172" s="1985" t="str">
        <f t="shared" si="141"/>
        <v>3.1.2</v>
      </c>
      <c r="Q172" s="1898" t="str">
        <f t="shared" si="142"/>
        <v>LR3 3.1</v>
      </c>
      <c r="R172" s="1899" t="str">
        <f t="shared" si="143"/>
        <v>振動</v>
      </c>
      <c r="S172" s="1904">
        <f t="shared" si="144"/>
        <v>0.33333333333333331</v>
      </c>
      <c r="T172" s="1904">
        <f t="shared" si="145"/>
        <v>0.33333333333333331</v>
      </c>
      <c r="U172" s="1904">
        <f t="shared" si="146"/>
        <v>0.33333333333333331</v>
      </c>
      <c r="V172" s="1904">
        <f t="shared" si="147"/>
        <v>0.33333333333333331</v>
      </c>
      <c r="W172" s="1904">
        <f t="shared" si="148"/>
        <v>0.33333333333333331</v>
      </c>
      <c r="X172" s="1904">
        <f t="shared" si="149"/>
        <v>0.33333333333333331</v>
      </c>
      <c r="Y172" s="1904">
        <f t="shared" si="150"/>
        <v>0.33333333333333331</v>
      </c>
      <c r="Z172" s="1904">
        <f t="shared" si="151"/>
        <v>0.33333333333333331</v>
      </c>
      <c r="AA172" s="1904">
        <f t="shared" si="135"/>
        <v>0.33333333333333331</v>
      </c>
      <c r="AB172" s="1904">
        <f t="shared" si="136"/>
        <v>0.33333333333333331</v>
      </c>
      <c r="AC172" s="1901">
        <f t="shared" si="132"/>
        <v>0</v>
      </c>
      <c r="AD172" s="1900">
        <f t="shared" si="133"/>
        <v>0</v>
      </c>
      <c r="AE172" s="1900">
        <f t="shared" si="134"/>
        <v>0</v>
      </c>
      <c r="AG172" s="1985" t="s">
        <v>1702</v>
      </c>
      <c r="AH172" s="1898" t="s">
        <v>2525</v>
      </c>
      <c r="AI172" s="1899" t="s">
        <v>2526</v>
      </c>
      <c r="AJ172" s="1904">
        <v>0.33333333333333331</v>
      </c>
      <c r="AK172" s="1904">
        <v>0.33333333333333331</v>
      </c>
      <c r="AL172" s="1904">
        <v>0.33333333333333331</v>
      </c>
      <c r="AM172" s="1904">
        <v>0.33333333333333331</v>
      </c>
      <c r="AN172" s="1904">
        <v>0.33333333333333331</v>
      </c>
      <c r="AO172" s="1904">
        <v>0.33333333333333331</v>
      </c>
      <c r="AP172" s="1904">
        <v>0.33333333333333331</v>
      </c>
      <c r="AQ172" s="1904">
        <v>0.33333333333333331</v>
      </c>
      <c r="AR172" s="1904">
        <v>0.33333333333333331</v>
      </c>
      <c r="AS172" s="1904">
        <v>0.33333333333333331</v>
      </c>
      <c r="AT172" s="1905"/>
      <c r="AU172" s="1904"/>
      <c r="AV172" s="1904"/>
      <c r="AX172" s="1985" t="s">
        <v>1702</v>
      </c>
      <c r="AY172" s="1898" t="s">
        <v>2525</v>
      </c>
      <c r="AZ172" s="1899" t="s">
        <v>2526</v>
      </c>
      <c r="BA172" s="1904">
        <v>0.33333333333333331</v>
      </c>
      <c r="BB172" s="1904">
        <v>0.33333333333333331</v>
      </c>
      <c r="BC172" s="1904">
        <v>0.33333333333333331</v>
      </c>
      <c r="BD172" s="1904">
        <v>0.33333333333333331</v>
      </c>
      <c r="BE172" s="1904">
        <v>0.33333333333333331</v>
      </c>
      <c r="BF172" s="1904">
        <v>0.33333333333333331</v>
      </c>
      <c r="BG172" s="1904">
        <v>0.33333333333333331</v>
      </c>
      <c r="BH172" s="1904">
        <v>0.33333333333333331</v>
      </c>
      <c r="BI172" s="1904">
        <v>0.33333333333333331</v>
      </c>
      <c r="BJ172" s="1904">
        <v>0.33333333333333331</v>
      </c>
      <c r="BK172" s="1905"/>
      <c r="BL172" s="1904"/>
      <c r="BM172" s="1904"/>
      <c r="BO172" s="1985" t="s">
        <v>1702</v>
      </c>
      <c r="BP172" s="1898" t="s">
        <v>2525</v>
      </c>
      <c r="BQ172" s="1899" t="s">
        <v>2526</v>
      </c>
      <c r="BR172" s="1904">
        <v>0.33333333333333331</v>
      </c>
      <c r="BS172" s="1904">
        <v>0.33333333333333331</v>
      </c>
      <c r="BT172" s="1904">
        <v>0.33333333333333331</v>
      </c>
      <c r="BU172" s="1904">
        <v>0.33333333333333331</v>
      </c>
      <c r="BV172" s="1904">
        <v>0.33333333333333331</v>
      </c>
      <c r="BW172" s="1904">
        <v>0.33333333333333331</v>
      </c>
      <c r="BX172" s="1904">
        <v>0.33333333333333331</v>
      </c>
      <c r="BY172" s="1904">
        <v>0.33333333333333331</v>
      </c>
      <c r="BZ172" s="1904">
        <v>0.33333333333333331</v>
      </c>
      <c r="CA172" s="1904">
        <v>0.33333333333333331</v>
      </c>
      <c r="CB172" s="1904"/>
      <c r="CC172" s="1904"/>
      <c r="CD172" s="1904"/>
      <c r="CE172" s="2278"/>
    </row>
    <row r="173" spans="1:84">
      <c r="B173" s="1872" t="str">
        <f t="shared" si="128"/>
        <v>3.1.3</v>
      </c>
      <c r="C173" s="1899" t="str">
        <f t="shared" ref="C173:C180" si="155">R173</f>
        <v>悪臭</v>
      </c>
      <c r="D173" s="1896">
        <f t="shared" si="154"/>
        <v>0.33333333333333337</v>
      </c>
      <c r="E173" s="1896">
        <f t="shared" si="154"/>
        <v>0</v>
      </c>
      <c r="G173" s="1897">
        <f t="shared" ref="G173:G180" si="156">K173*M173</f>
        <v>0.33333333333333337</v>
      </c>
      <c r="H173" s="1897">
        <f t="shared" ref="H173:H180" si="157">L173*N173</f>
        <v>0</v>
      </c>
      <c r="I173" s="1897"/>
      <c r="J173" s="1897"/>
      <c r="K173" s="1897">
        <f>IF(スコア!M173=0,0,1)</f>
        <v>1</v>
      </c>
      <c r="L173" s="1897">
        <f>IF(スコア!O173=0,0,1)</f>
        <v>0</v>
      </c>
      <c r="M173" s="1897">
        <f t="shared" ref="M173:M180" si="158">SUMPRODUCT($S$7:$AB$7,S173:AB173)</f>
        <v>0.33333333333333337</v>
      </c>
      <c r="N173" s="1897">
        <f t="shared" si="130"/>
        <v>0</v>
      </c>
      <c r="P173" s="1985" t="str">
        <f t="shared" si="141"/>
        <v>3.1.3</v>
      </c>
      <c r="Q173" s="1898" t="str">
        <f t="shared" si="142"/>
        <v>LR3 3.1</v>
      </c>
      <c r="R173" s="1899" t="str">
        <f t="shared" si="143"/>
        <v>悪臭</v>
      </c>
      <c r="S173" s="1904">
        <f t="shared" si="144"/>
        <v>0.33333333333333331</v>
      </c>
      <c r="T173" s="1904">
        <f t="shared" si="145"/>
        <v>0.33333333333333331</v>
      </c>
      <c r="U173" s="1904">
        <f t="shared" si="146"/>
        <v>0.33333333333333331</v>
      </c>
      <c r="V173" s="1904">
        <f t="shared" si="147"/>
        <v>0.33333333333333331</v>
      </c>
      <c r="W173" s="1904">
        <f t="shared" si="148"/>
        <v>0.33333333333333331</v>
      </c>
      <c r="X173" s="1904">
        <f t="shared" si="149"/>
        <v>0.33333333333333331</v>
      </c>
      <c r="Y173" s="1904">
        <f t="shared" si="150"/>
        <v>0.33333333333333331</v>
      </c>
      <c r="Z173" s="1904">
        <f t="shared" si="151"/>
        <v>0.33333333333333331</v>
      </c>
      <c r="AA173" s="1904">
        <f t="shared" si="135"/>
        <v>0.33333333333333331</v>
      </c>
      <c r="AB173" s="1904">
        <f t="shared" si="136"/>
        <v>0.33333333333333331</v>
      </c>
      <c r="AC173" s="1901">
        <f t="shared" si="132"/>
        <v>0</v>
      </c>
      <c r="AD173" s="1900">
        <f t="shared" si="133"/>
        <v>0</v>
      </c>
      <c r="AE173" s="1900">
        <f t="shared" si="134"/>
        <v>0</v>
      </c>
      <c r="AG173" s="1985" t="s">
        <v>1703</v>
      </c>
      <c r="AH173" s="1898" t="s">
        <v>2525</v>
      </c>
      <c r="AI173" s="1899" t="s">
        <v>2202</v>
      </c>
      <c r="AJ173" s="1904">
        <v>0.33333333333333331</v>
      </c>
      <c r="AK173" s="1904">
        <v>0.33333333333333331</v>
      </c>
      <c r="AL173" s="1904">
        <v>0.33333333333333331</v>
      </c>
      <c r="AM173" s="1904">
        <v>0.33333333333333331</v>
      </c>
      <c r="AN173" s="1904">
        <v>0.33333333333333331</v>
      </c>
      <c r="AO173" s="1904">
        <v>0.33333333333333331</v>
      </c>
      <c r="AP173" s="1904">
        <v>0.33333333333333331</v>
      </c>
      <c r="AQ173" s="1904">
        <v>0.33333333333333331</v>
      </c>
      <c r="AR173" s="1904">
        <v>0.33333333333333331</v>
      </c>
      <c r="AS173" s="1904">
        <v>0.33333333333333331</v>
      </c>
      <c r="AT173" s="1905"/>
      <c r="AU173" s="1904"/>
      <c r="AV173" s="1904"/>
      <c r="AX173" s="1985" t="s">
        <v>1703</v>
      </c>
      <c r="AY173" s="1898" t="s">
        <v>2525</v>
      </c>
      <c r="AZ173" s="1899" t="s">
        <v>2202</v>
      </c>
      <c r="BA173" s="1904">
        <v>0.33333333333333331</v>
      </c>
      <c r="BB173" s="1904">
        <v>0.33333333333333331</v>
      </c>
      <c r="BC173" s="1904">
        <v>0.33333333333333331</v>
      </c>
      <c r="BD173" s="1904">
        <v>0.33333333333333331</v>
      </c>
      <c r="BE173" s="1904">
        <v>0.33333333333333331</v>
      </c>
      <c r="BF173" s="1904">
        <v>0.33333333333333331</v>
      </c>
      <c r="BG173" s="1904">
        <v>0.33333333333333331</v>
      </c>
      <c r="BH173" s="1904">
        <v>0.33333333333333331</v>
      </c>
      <c r="BI173" s="1904">
        <v>0.33333333333333331</v>
      </c>
      <c r="BJ173" s="1904">
        <v>0.33333333333333331</v>
      </c>
      <c r="BK173" s="1905"/>
      <c r="BL173" s="1904"/>
      <c r="BM173" s="1904"/>
      <c r="BO173" s="1985" t="s">
        <v>1703</v>
      </c>
      <c r="BP173" s="1898" t="s">
        <v>2525</v>
      </c>
      <c r="BQ173" s="1899" t="s">
        <v>2202</v>
      </c>
      <c r="BR173" s="1904">
        <v>0.33333333333333331</v>
      </c>
      <c r="BS173" s="1904">
        <v>0.33333333333333331</v>
      </c>
      <c r="BT173" s="1904">
        <v>0.33333333333333331</v>
      </c>
      <c r="BU173" s="1904">
        <v>0.33333333333333331</v>
      </c>
      <c r="BV173" s="1904">
        <v>0.33333333333333331</v>
      </c>
      <c r="BW173" s="1904">
        <v>0.33333333333333331</v>
      </c>
      <c r="BX173" s="1904">
        <v>0.33333333333333331</v>
      </c>
      <c r="BY173" s="1904">
        <v>0.33333333333333331</v>
      </c>
      <c r="BZ173" s="1904">
        <v>0.33333333333333331</v>
      </c>
      <c r="CA173" s="1904">
        <v>0.33333333333333331</v>
      </c>
      <c r="CB173" s="1904"/>
      <c r="CC173" s="1904"/>
      <c r="CD173" s="1904"/>
      <c r="CE173" s="2278"/>
    </row>
    <row r="174" spans="1:84">
      <c r="B174" s="1872" t="str">
        <f t="shared" si="128"/>
        <v>3.2</v>
      </c>
      <c r="C174" s="1899" t="str">
        <f>R174</f>
        <v>風害、日照阻害の抑制</v>
      </c>
      <c r="D174" s="1896">
        <f>IF(I$169=0,0,G174/I$169)</f>
        <v>0.4</v>
      </c>
      <c r="E174" s="1896">
        <f>IF(J$169=0,0,H174/J$169)</f>
        <v>0</v>
      </c>
      <c r="G174" s="1897">
        <f t="shared" si="156"/>
        <v>0.4</v>
      </c>
      <c r="H174" s="1897">
        <f t="shared" si="157"/>
        <v>0</v>
      </c>
      <c r="I174" s="1897">
        <f>SUM(G175:G177)</f>
        <v>1</v>
      </c>
      <c r="J174" s="1897">
        <f>SUM(H175:H177)</f>
        <v>0</v>
      </c>
      <c r="K174" s="1897">
        <f>IF(スコア!M174=0,0,1)</f>
        <v>1</v>
      </c>
      <c r="L174" s="1897">
        <f>IF(スコア!O174=0,0,1)</f>
        <v>0</v>
      </c>
      <c r="M174" s="1897">
        <f t="shared" si="158"/>
        <v>0.4</v>
      </c>
      <c r="N174" s="1897">
        <f t="shared" si="130"/>
        <v>0</v>
      </c>
      <c r="P174" s="1984" t="str">
        <f t="shared" si="141"/>
        <v>3.2</v>
      </c>
      <c r="Q174" s="1902" t="str">
        <f t="shared" si="142"/>
        <v>LR3 3</v>
      </c>
      <c r="R174" s="1899" t="str">
        <f t="shared" si="143"/>
        <v>風害、日照阻害の抑制</v>
      </c>
      <c r="S174" s="1955">
        <f t="shared" si="144"/>
        <v>0.4</v>
      </c>
      <c r="T174" s="1955">
        <f t="shared" si="145"/>
        <v>0.4</v>
      </c>
      <c r="U174" s="1955">
        <f t="shared" si="146"/>
        <v>0.4</v>
      </c>
      <c r="V174" s="1955">
        <f t="shared" si="147"/>
        <v>0.4</v>
      </c>
      <c r="W174" s="1955">
        <f t="shared" si="148"/>
        <v>0.4</v>
      </c>
      <c r="X174" s="1955">
        <f t="shared" si="149"/>
        <v>0.4</v>
      </c>
      <c r="Y174" s="1955">
        <f t="shared" si="150"/>
        <v>0.4</v>
      </c>
      <c r="Z174" s="1955">
        <f t="shared" si="151"/>
        <v>0.4</v>
      </c>
      <c r="AA174" s="1955">
        <f t="shared" si="135"/>
        <v>0.4</v>
      </c>
      <c r="AB174" s="1955">
        <f t="shared" si="136"/>
        <v>0.4</v>
      </c>
      <c r="AC174" s="1954">
        <f t="shared" si="132"/>
        <v>0</v>
      </c>
      <c r="AD174" s="1953">
        <f t="shared" si="133"/>
        <v>0</v>
      </c>
      <c r="AE174" s="1953">
        <f t="shared" si="134"/>
        <v>0</v>
      </c>
      <c r="AG174" s="1985" t="s">
        <v>1704</v>
      </c>
      <c r="AH174" s="1902" t="s">
        <v>2524</v>
      </c>
      <c r="AI174" s="1899" t="s">
        <v>1705</v>
      </c>
      <c r="AJ174" s="1955">
        <v>0.4</v>
      </c>
      <c r="AK174" s="1955">
        <v>0.4</v>
      </c>
      <c r="AL174" s="1955">
        <v>0.4</v>
      </c>
      <c r="AM174" s="1955">
        <v>0.4</v>
      </c>
      <c r="AN174" s="1955">
        <v>0.4</v>
      </c>
      <c r="AO174" s="1955">
        <v>0.4</v>
      </c>
      <c r="AP174" s="1955">
        <v>0.4</v>
      </c>
      <c r="AQ174" s="1955">
        <v>0.4</v>
      </c>
      <c r="AR174" s="1955">
        <v>0.4</v>
      </c>
      <c r="AS174" s="1955">
        <v>0.4</v>
      </c>
      <c r="AT174" s="1956"/>
      <c r="AU174" s="1955"/>
      <c r="AV174" s="1955"/>
      <c r="AX174" s="1985" t="s">
        <v>1704</v>
      </c>
      <c r="AY174" s="1902" t="s">
        <v>2524</v>
      </c>
      <c r="AZ174" s="1899" t="s">
        <v>746</v>
      </c>
      <c r="BA174" s="1955">
        <v>0.4</v>
      </c>
      <c r="BB174" s="1955">
        <v>0.4</v>
      </c>
      <c r="BC174" s="1955">
        <v>0.4</v>
      </c>
      <c r="BD174" s="1955">
        <v>0.4</v>
      </c>
      <c r="BE174" s="1955">
        <v>0.4</v>
      </c>
      <c r="BF174" s="1955">
        <v>0.4</v>
      </c>
      <c r="BG174" s="1955">
        <v>0.4</v>
      </c>
      <c r="BH174" s="1955">
        <v>0.4</v>
      </c>
      <c r="BI174" s="1955">
        <v>0.4</v>
      </c>
      <c r="BJ174" s="1955">
        <v>0.4</v>
      </c>
      <c r="BK174" s="1956"/>
      <c r="BL174" s="1955"/>
      <c r="BM174" s="1955"/>
      <c r="BO174" s="1985" t="s">
        <v>1704</v>
      </c>
      <c r="BP174" s="1902" t="s">
        <v>2524</v>
      </c>
      <c r="BQ174" s="1899" t="s">
        <v>745</v>
      </c>
      <c r="BR174" s="1955">
        <v>0.4</v>
      </c>
      <c r="BS174" s="1955">
        <v>0.4</v>
      </c>
      <c r="BT174" s="1955">
        <v>0.4</v>
      </c>
      <c r="BU174" s="1955">
        <v>0.4</v>
      </c>
      <c r="BV174" s="1955">
        <v>0.4</v>
      </c>
      <c r="BW174" s="1955">
        <v>0.4</v>
      </c>
      <c r="BX174" s="1955">
        <v>0.4</v>
      </c>
      <c r="BY174" s="1955">
        <v>0.4</v>
      </c>
      <c r="BZ174" s="1955">
        <v>0.4</v>
      </c>
      <c r="CA174" s="1955">
        <v>0.4</v>
      </c>
      <c r="CB174" s="1956"/>
      <c r="CC174" s="1955"/>
      <c r="CD174" s="1955"/>
      <c r="CE174" s="2281"/>
    </row>
    <row r="175" spans="1:84">
      <c r="B175" s="1872" t="str">
        <f t="shared" ref="B175:B180" si="159">P175</f>
        <v>3.2.1</v>
      </c>
      <c r="C175" s="1986" t="str">
        <f t="shared" si="155"/>
        <v>風害の抑制</v>
      </c>
      <c r="D175" s="1896">
        <f t="shared" ref="D175:E177" si="160">IF(I$174=0,0,G175/I$174)</f>
        <v>0.67241379310344829</v>
      </c>
      <c r="E175" s="1896">
        <f t="shared" si="160"/>
        <v>0</v>
      </c>
      <c r="G175" s="1897">
        <f t="shared" si="156"/>
        <v>0.67241379310344829</v>
      </c>
      <c r="H175" s="1897">
        <f t="shared" si="157"/>
        <v>0</v>
      </c>
      <c r="I175" s="1897"/>
      <c r="J175" s="1897"/>
      <c r="K175" s="1897">
        <f>IF(スコア!M175=0,0,1)</f>
        <v>1</v>
      </c>
      <c r="L175" s="1897">
        <f>IF(スコア!O175=0,0,1)</f>
        <v>0</v>
      </c>
      <c r="M175" s="1897">
        <f t="shared" si="158"/>
        <v>0.67241379310344829</v>
      </c>
      <c r="N175" s="1897">
        <f t="shared" si="130"/>
        <v>0</v>
      </c>
      <c r="P175" s="1985" t="str">
        <f t="shared" si="141"/>
        <v>3.2.1</v>
      </c>
      <c r="Q175" s="1902" t="str">
        <f t="shared" si="142"/>
        <v>LR3 3.2</v>
      </c>
      <c r="R175" s="1986" t="str">
        <f t="shared" si="143"/>
        <v>風害の抑制</v>
      </c>
      <c r="S175" s="1904">
        <f t="shared" si="144"/>
        <v>0.7</v>
      </c>
      <c r="T175" s="1904">
        <f t="shared" si="145"/>
        <v>0.7</v>
      </c>
      <c r="U175" s="1904">
        <f t="shared" si="146"/>
        <v>0.7</v>
      </c>
      <c r="V175" s="1904">
        <f t="shared" si="147"/>
        <v>0.7</v>
      </c>
      <c r="W175" s="1904">
        <f t="shared" si="148"/>
        <v>0.7</v>
      </c>
      <c r="X175" s="1904">
        <f t="shared" si="149"/>
        <v>0.7</v>
      </c>
      <c r="Y175" s="1904">
        <f t="shared" si="150"/>
        <v>0.7</v>
      </c>
      <c r="Z175" s="1904">
        <f t="shared" si="151"/>
        <v>0.7</v>
      </c>
      <c r="AA175" s="1904">
        <f t="shared" si="135"/>
        <v>0.7</v>
      </c>
      <c r="AB175" s="1904">
        <f t="shared" si="136"/>
        <v>0.6</v>
      </c>
      <c r="AC175" s="1954">
        <f t="shared" si="132"/>
        <v>0</v>
      </c>
      <c r="AD175" s="1953">
        <f t="shared" si="133"/>
        <v>0</v>
      </c>
      <c r="AE175" s="1953">
        <f t="shared" si="134"/>
        <v>0</v>
      </c>
      <c r="AG175" s="1985" t="s">
        <v>1706</v>
      </c>
      <c r="AH175" s="1902" t="s">
        <v>2203</v>
      </c>
      <c r="AI175" s="1986" t="s">
        <v>1707</v>
      </c>
      <c r="AJ175" s="1904">
        <v>0.7</v>
      </c>
      <c r="AK175" s="1904">
        <v>0.7</v>
      </c>
      <c r="AL175" s="1904">
        <v>0.7</v>
      </c>
      <c r="AM175" s="1904">
        <v>0.7</v>
      </c>
      <c r="AN175" s="1904">
        <v>0.7</v>
      </c>
      <c r="AO175" s="1904">
        <v>0.7</v>
      </c>
      <c r="AP175" s="1904">
        <v>0.7</v>
      </c>
      <c r="AQ175" s="1904">
        <v>0.7</v>
      </c>
      <c r="AR175" s="1904">
        <v>0.7</v>
      </c>
      <c r="AS175" s="1918">
        <v>0.6</v>
      </c>
      <c r="AT175" s="1956"/>
      <c r="AU175" s="1955"/>
      <c r="AV175" s="1955"/>
      <c r="AX175" s="1985" t="s">
        <v>1706</v>
      </c>
      <c r="AY175" s="1902" t="s">
        <v>2203</v>
      </c>
      <c r="AZ175" s="1986" t="s">
        <v>1707</v>
      </c>
      <c r="BA175" s="1904">
        <v>0.7</v>
      </c>
      <c r="BB175" s="1904">
        <v>0.7</v>
      </c>
      <c r="BC175" s="1904">
        <v>0.7</v>
      </c>
      <c r="BD175" s="1904">
        <v>0.7</v>
      </c>
      <c r="BE175" s="1904">
        <v>0.7</v>
      </c>
      <c r="BF175" s="1904">
        <v>0.7</v>
      </c>
      <c r="BG175" s="1904">
        <v>0.7</v>
      </c>
      <c r="BH175" s="1904">
        <v>0.7</v>
      </c>
      <c r="BI175" s="1904">
        <v>0.7</v>
      </c>
      <c r="BJ175" s="1955">
        <v>0.6</v>
      </c>
      <c r="BK175" s="1956"/>
      <c r="BL175" s="1955"/>
      <c r="BM175" s="1955"/>
      <c r="BO175" s="1985" t="s">
        <v>1706</v>
      </c>
      <c r="BP175" s="1902" t="s">
        <v>2203</v>
      </c>
      <c r="BQ175" s="1986" t="s">
        <v>1707</v>
      </c>
      <c r="BR175" s="1904">
        <v>0.7</v>
      </c>
      <c r="BS175" s="1904">
        <v>0.7</v>
      </c>
      <c r="BT175" s="1904">
        <v>0.7</v>
      </c>
      <c r="BU175" s="1904">
        <v>0.7</v>
      </c>
      <c r="BV175" s="1904">
        <v>0.7</v>
      </c>
      <c r="BW175" s="1904">
        <v>0.7</v>
      </c>
      <c r="BX175" s="1904">
        <v>0.7</v>
      </c>
      <c r="BY175" s="1904">
        <v>0.7</v>
      </c>
      <c r="BZ175" s="1904">
        <v>0.7</v>
      </c>
      <c r="CA175" s="1955">
        <v>0.6</v>
      </c>
      <c r="CB175" s="1956"/>
      <c r="CC175" s="1955"/>
      <c r="CD175" s="1955"/>
      <c r="CE175" s="2281"/>
    </row>
    <row r="176" spans="1:84">
      <c r="B176" s="1872" t="str">
        <f t="shared" si="159"/>
        <v>3.2.3</v>
      </c>
      <c r="C176" s="1986" t="str">
        <f t="shared" si="155"/>
        <v>砂塵の抑制</v>
      </c>
      <c r="D176" s="1896">
        <f t="shared" si="160"/>
        <v>5.5172413793103448E-2</v>
      </c>
      <c r="E176" s="1896">
        <f t="shared" si="160"/>
        <v>0</v>
      </c>
      <c r="G176" s="1897">
        <f t="shared" si="156"/>
        <v>5.5172413793103448E-2</v>
      </c>
      <c r="H176" s="1897">
        <f t="shared" si="157"/>
        <v>0</v>
      </c>
      <c r="I176" s="1897"/>
      <c r="J176" s="1897"/>
      <c r="K176" s="1897">
        <f>IF(スコア!M176=0,0,1)</f>
        <v>1</v>
      </c>
      <c r="L176" s="1897">
        <f>IF(スコア!O176=0,0,1)</f>
        <v>0</v>
      </c>
      <c r="M176" s="1897">
        <f t="shared" si="158"/>
        <v>5.5172413793103448E-2</v>
      </c>
      <c r="N176" s="1897">
        <f t="shared" si="130"/>
        <v>0</v>
      </c>
      <c r="P176" s="1985" t="str">
        <f t="shared" si="141"/>
        <v>3.2.3</v>
      </c>
      <c r="Q176" s="1902" t="str">
        <f t="shared" si="142"/>
        <v>LR3 3.3</v>
      </c>
      <c r="R176" s="1986" t="str">
        <f t="shared" si="143"/>
        <v>砂塵の抑制</v>
      </c>
      <c r="S176" s="1904">
        <f t="shared" si="144"/>
        <v>0</v>
      </c>
      <c r="T176" s="1904">
        <f t="shared" si="145"/>
        <v>0</v>
      </c>
      <c r="U176" s="1904">
        <f t="shared" si="146"/>
        <v>0</v>
      </c>
      <c r="V176" s="1904">
        <f t="shared" si="147"/>
        <v>0</v>
      </c>
      <c r="W176" s="1904">
        <f t="shared" si="148"/>
        <v>0</v>
      </c>
      <c r="X176" s="1904">
        <f t="shared" si="149"/>
        <v>0</v>
      </c>
      <c r="Y176" s="1904">
        <f t="shared" si="150"/>
        <v>0</v>
      </c>
      <c r="Z176" s="1904">
        <f t="shared" si="151"/>
        <v>0</v>
      </c>
      <c r="AA176" s="1904">
        <f t="shared" si="135"/>
        <v>0</v>
      </c>
      <c r="AB176" s="1904">
        <f t="shared" si="136"/>
        <v>0.2</v>
      </c>
      <c r="AC176" s="1954">
        <f t="shared" si="132"/>
        <v>0</v>
      </c>
      <c r="AD176" s="1953">
        <f t="shared" si="133"/>
        <v>0</v>
      </c>
      <c r="AE176" s="1953">
        <f t="shared" si="134"/>
        <v>0</v>
      </c>
      <c r="AG176" s="1985" t="s">
        <v>2554</v>
      </c>
      <c r="AH176" s="1902" t="s">
        <v>2204</v>
      </c>
      <c r="AI176" s="1986" t="s">
        <v>995</v>
      </c>
      <c r="AJ176" s="1904"/>
      <c r="AK176" s="1904"/>
      <c r="AL176" s="1904"/>
      <c r="AM176" s="1904"/>
      <c r="AN176" s="1904"/>
      <c r="AO176" s="1904"/>
      <c r="AP176" s="1904"/>
      <c r="AQ176" s="1904"/>
      <c r="AR176" s="1904"/>
      <c r="AS176" s="1918">
        <v>0.2</v>
      </c>
      <c r="AT176" s="1956"/>
      <c r="AU176" s="1955"/>
      <c r="AV176" s="1955"/>
      <c r="AX176" s="1985" t="s">
        <v>1708</v>
      </c>
      <c r="AY176" s="1902" t="s">
        <v>1709</v>
      </c>
      <c r="AZ176" s="1986" t="s">
        <v>995</v>
      </c>
      <c r="BA176" s="1904"/>
      <c r="BB176" s="1904"/>
      <c r="BC176" s="1904"/>
      <c r="BD176" s="1904"/>
      <c r="BE176" s="1904"/>
      <c r="BF176" s="1904"/>
      <c r="BG176" s="1904"/>
      <c r="BH176" s="1904"/>
      <c r="BI176" s="1904"/>
      <c r="BJ176" s="1955">
        <v>0.2</v>
      </c>
      <c r="BK176" s="1956"/>
      <c r="BL176" s="1955"/>
      <c r="BM176" s="1955"/>
      <c r="BO176" s="1985" t="s">
        <v>1708</v>
      </c>
      <c r="BP176" s="1902" t="s">
        <v>1709</v>
      </c>
      <c r="BQ176" s="1986" t="s">
        <v>995</v>
      </c>
      <c r="BR176" s="1904"/>
      <c r="BS176" s="1904"/>
      <c r="BT176" s="1904"/>
      <c r="BU176" s="1904"/>
      <c r="BV176" s="1904"/>
      <c r="BW176" s="1904"/>
      <c r="BX176" s="1904"/>
      <c r="BY176" s="1904"/>
      <c r="BZ176" s="1904"/>
      <c r="CA176" s="1955">
        <v>0.2</v>
      </c>
      <c r="CB176" s="1956"/>
      <c r="CC176" s="1955"/>
      <c r="CD176" s="1955"/>
      <c r="CE176" s="2281"/>
    </row>
    <row r="177" spans="2:83">
      <c r="B177" s="1872" t="str">
        <f t="shared" si="159"/>
        <v>3.2.2</v>
      </c>
      <c r="C177" s="1986" t="str">
        <f t="shared" si="155"/>
        <v>日照阻害の抑制</v>
      </c>
      <c r="D177" s="1896">
        <f t="shared" si="160"/>
        <v>0.27241379310344827</v>
      </c>
      <c r="E177" s="1896">
        <f t="shared" si="160"/>
        <v>0</v>
      </c>
      <c r="G177" s="1897">
        <f t="shared" si="156"/>
        <v>0.27241379310344827</v>
      </c>
      <c r="H177" s="1897">
        <f t="shared" si="157"/>
        <v>0</v>
      </c>
      <c r="I177" s="1897"/>
      <c r="J177" s="1897"/>
      <c r="K177" s="1897">
        <f>IF(スコア!M177=0,0,1)</f>
        <v>1</v>
      </c>
      <c r="L177" s="1897">
        <f>IF(スコア!O177=0,0,1)</f>
        <v>0</v>
      </c>
      <c r="M177" s="1897">
        <f t="shared" si="158"/>
        <v>0.27241379310344827</v>
      </c>
      <c r="N177" s="1897">
        <f t="shared" si="130"/>
        <v>0</v>
      </c>
      <c r="P177" s="1985" t="str">
        <f t="shared" si="141"/>
        <v>3.2.2</v>
      </c>
      <c r="Q177" s="1902" t="str">
        <f t="shared" si="142"/>
        <v>LR3 3.2</v>
      </c>
      <c r="R177" s="1986" t="str">
        <f t="shared" si="143"/>
        <v>日照阻害の抑制</v>
      </c>
      <c r="S177" s="1904">
        <f t="shared" si="144"/>
        <v>0.3</v>
      </c>
      <c r="T177" s="1904">
        <f t="shared" si="145"/>
        <v>0.3</v>
      </c>
      <c r="U177" s="1904">
        <f t="shared" si="146"/>
        <v>0.3</v>
      </c>
      <c r="V177" s="1904">
        <f t="shared" si="147"/>
        <v>0.3</v>
      </c>
      <c r="W177" s="1904">
        <f t="shared" si="148"/>
        <v>0.3</v>
      </c>
      <c r="X177" s="1904">
        <f t="shared" si="149"/>
        <v>0.3</v>
      </c>
      <c r="Y177" s="1904">
        <f t="shared" si="150"/>
        <v>0.3</v>
      </c>
      <c r="Z177" s="1904">
        <f t="shared" si="151"/>
        <v>0.3</v>
      </c>
      <c r="AA177" s="1904">
        <f t="shared" si="135"/>
        <v>0.3</v>
      </c>
      <c r="AB177" s="1904">
        <f t="shared" si="136"/>
        <v>0.2</v>
      </c>
      <c r="AC177" s="1954">
        <f t="shared" si="132"/>
        <v>0</v>
      </c>
      <c r="AD177" s="1953">
        <f t="shared" si="133"/>
        <v>0</v>
      </c>
      <c r="AE177" s="1953">
        <f t="shared" si="134"/>
        <v>0</v>
      </c>
      <c r="AG177" s="1985" t="s">
        <v>1708</v>
      </c>
      <c r="AH177" s="1902" t="s">
        <v>2203</v>
      </c>
      <c r="AI177" s="1986" t="s">
        <v>1937</v>
      </c>
      <c r="AJ177" s="1904">
        <v>0.3</v>
      </c>
      <c r="AK177" s="1904">
        <v>0.3</v>
      </c>
      <c r="AL177" s="1904">
        <v>0.3</v>
      </c>
      <c r="AM177" s="1904">
        <v>0.3</v>
      </c>
      <c r="AN177" s="1904">
        <v>0.3</v>
      </c>
      <c r="AO177" s="1904">
        <v>0.3</v>
      </c>
      <c r="AP177" s="1904">
        <v>0.3</v>
      </c>
      <c r="AQ177" s="1904">
        <v>0.3</v>
      </c>
      <c r="AR177" s="1904">
        <v>0.3</v>
      </c>
      <c r="AS177" s="1918">
        <v>0.2</v>
      </c>
      <c r="AT177" s="1956"/>
      <c r="AU177" s="1955"/>
      <c r="AV177" s="1955"/>
      <c r="AX177" s="1985" t="s">
        <v>1710</v>
      </c>
      <c r="AY177" s="1902" t="s">
        <v>2203</v>
      </c>
      <c r="AZ177" s="1986" t="s">
        <v>1937</v>
      </c>
      <c r="BA177" s="1904">
        <v>0.3</v>
      </c>
      <c r="BB177" s="1904">
        <v>0.3</v>
      </c>
      <c r="BC177" s="1904">
        <v>0.3</v>
      </c>
      <c r="BD177" s="1904">
        <v>0.3</v>
      </c>
      <c r="BE177" s="1904">
        <v>0.3</v>
      </c>
      <c r="BF177" s="1904">
        <v>0.3</v>
      </c>
      <c r="BG177" s="1904">
        <v>0.3</v>
      </c>
      <c r="BH177" s="1904">
        <v>0.3</v>
      </c>
      <c r="BI177" s="1904">
        <v>0.3</v>
      </c>
      <c r="BJ177" s="1955">
        <v>0.2</v>
      </c>
      <c r="BK177" s="1956"/>
      <c r="BL177" s="1955"/>
      <c r="BM177" s="1955"/>
      <c r="BO177" s="1985" t="s">
        <v>1710</v>
      </c>
      <c r="BP177" s="1902" t="s">
        <v>2203</v>
      </c>
      <c r="BQ177" s="1986" t="s">
        <v>1937</v>
      </c>
      <c r="BR177" s="1904">
        <v>0.3</v>
      </c>
      <c r="BS177" s="1904">
        <v>0.3</v>
      </c>
      <c r="BT177" s="1904">
        <v>0.3</v>
      </c>
      <c r="BU177" s="1904">
        <v>0.3</v>
      </c>
      <c r="BV177" s="1904">
        <v>0.3</v>
      </c>
      <c r="BW177" s="1904">
        <v>0.3</v>
      </c>
      <c r="BX177" s="1904">
        <v>0.3</v>
      </c>
      <c r="BY177" s="1904">
        <v>0.3</v>
      </c>
      <c r="BZ177" s="1904">
        <v>0.3</v>
      </c>
      <c r="CA177" s="1955">
        <v>0.2</v>
      </c>
      <c r="CB177" s="1956"/>
      <c r="CC177" s="1955"/>
      <c r="CD177" s="1955"/>
      <c r="CE177" s="2281"/>
    </row>
    <row r="178" spans="2:83">
      <c r="B178" s="1872" t="str">
        <f t="shared" si="159"/>
        <v>3.3</v>
      </c>
      <c r="C178" s="1899" t="str">
        <f t="shared" si="155"/>
        <v>光害の抑制</v>
      </c>
      <c r="D178" s="1896">
        <f>IF(I$169=0,0,G178/I$169)</f>
        <v>0.2</v>
      </c>
      <c r="E178" s="1896">
        <f>IF(J$169=0,0,H178/J$169)</f>
        <v>0</v>
      </c>
      <c r="G178" s="1897">
        <f t="shared" si="156"/>
        <v>0.2</v>
      </c>
      <c r="H178" s="1897">
        <f t="shared" si="157"/>
        <v>0</v>
      </c>
      <c r="I178" s="1897">
        <f>SUM(G179:G180)</f>
        <v>1</v>
      </c>
      <c r="J178" s="1897">
        <f>SUM(H179:H180)</f>
        <v>0</v>
      </c>
      <c r="K178" s="1897">
        <f>IF(スコア!M178=0,0,1)</f>
        <v>1</v>
      </c>
      <c r="L178" s="1897">
        <f>IF(スコア!O178=0,0,1)</f>
        <v>0</v>
      </c>
      <c r="M178" s="1897">
        <f t="shared" si="158"/>
        <v>0.2</v>
      </c>
      <c r="N178" s="1897">
        <f t="shared" si="130"/>
        <v>0</v>
      </c>
      <c r="P178" s="1984" t="str">
        <f t="shared" si="141"/>
        <v>3.3</v>
      </c>
      <c r="Q178" s="1902" t="str">
        <f t="shared" si="142"/>
        <v>LR3 3</v>
      </c>
      <c r="R178" s="1899" t="str">
        <f t="shared" si="143"/>
        <v>光害の抑制</v>
      </c>
      <c r="S178" s="1955">
        <f t="shared" si="144"/>
        <v>0.2</v>
      </c>
      <c r="T178" s="1955">
        <f t="shared" si="145"/>
        <v>0.2</v>
      </c>
      <c r="U178" s="1955">
        <f t="shared" si="146"/>
        <v>0.2</v>
      </c>
      <c r="V178" s="1955">
        <f t="shared" si="147"/>
        <v>0.2</v>
      </c>
      <c r="W178" s="1955">
        <f t="shared" si="148"/>
        <v>0.2</v>
      </c>
      <c r="X178" s="1955">
        <f t="shared" si="149"/>
        <v>0.2</v>
      </c>
      <c r="Y178" s="1955">
        <f t="shared" si="150"/>
        <v>0.2</v>
      </c>
      <c r="Z178" s="1955">
        <f t="shared" si="151"/>
        <v>0.2</v>
      </c>
      <c r="AA178" s="1955">
        <f t="shared" si="135"/>
        <v>0.2</v>
      </c>
      <c r="AB178" s="1955">
        <f t="shared" si="136"/>
        <v>0.2</v>
      </c>
      <c r="AC178" s="1954">
        <f t="shared" si="132"/>
        <v>0</v>
      </c>
      <c r="AD178" s="1953">
        <f t="shared" si="133"/>
        <v>0</v>
      </c>
      <c r="AE178" s="1953">
        <f t="shared" si="134"/>
        <v>0</v>
      </c>
      <c r="AG178" s="1985" t="s">
        <v>1711</v>
      </c>
      <c r="AH178" s="1902" t="s">
        <v>2524</v>
      </c>
      <c r="AI178" s="1986" t="s">
        <v>2205</v>
      </c>
      <c r="AJ178" s="1904">
        <v>0.2</v>
      </c>
      <c r="AK178" s="1904">
        <v>0.2</v>
      </c>
      <c r="AL178" s="1904">
        <v>0.2</v>
      </c>
      <c r="AM178" s="1904">
        <v>0.2</v>
      </c>
      <c r="AN178" s="1904">
        <v>0.2</v>
      </c>
      <c r="AO178" s="1904">
        <v>0.2</v>
      </c>
      <c r="AP178" s="1904">
        <v>0.2</v>
      </c>
      <c r="AQ178" s="1904">
        <v>0.2</v>
      </c>
      <c r="AR178" s="1904">
        <v>0.2</v>
      </c>
      <c r="AS178" s="1955">
        <v>0.2</v>
      </c>
      <c r="AT178" s="1956"/>
      <c r="AU178" s="1955"/>
      <c r="AV178" s="1955"/>
      <c r="AX178" s="1985" t="s">
        <v>1711</v>
      </c>
      <c r="AY178" s="1902" t="s">
        <v>2524</v>
      </c>
      <c r="AZ178" s="1986" t="s">
        <v>2205</v>
      </c>
      <c r="BA178" s="1955">
        <v>0.2</v>
      </c>
      <c r="BB178" s="1955">
        <v>0.2</v>
      </c>
      <c r="BC178" s="1955">
        <v>0.2</v>
      </c>
      <c r="BD178" s="1955">
        <v>0.2</v>
      </c>
      <c r="BE178" s="1955">
        <v>0.2</v>
      </c>
      <c r="BF178" s="1955">
        <v>0.2</v>
      </c>
      <c r="BG178" s="1955">
        <v>0.2</v>
      </c>
      <c r="BH178" s="1955">
        <v>0.2</v>
      </c>
      <c r="BI178" s="1955">
        <v>0.2</v>
      </c>
      <c r="BJ178" s="1955">
        <v>0.2</v>
      </c>
      <c r="BK178" s="1956"/>
      <c r="BL178" s="1955"/>
      <c r="BM178" s="1955"/>
      <c r="BO178" s="1985" t="s">
        <v>1711</v>
      </c>
      <c r="BP178" s="1902" t="s">
        <v>2524</v>
      </c>
      <c r="BQ178" s="1986" t="s">
        <v>2205</v>
      </c>
      <c r="BR178" s="1955">
        <v>0.2</v>
      </c>
      <c r="BS178" s="1955">
        <v>0.2</v>
      </c>
      <c r="BT178" s="1955">
        <v>0.2</v>
      </c>
      <c r="BU178" s="1955">
        <v>0.2</v>
      </c>
      <c r="BV178" s="1955">
        <v>0.2</v>
      </c>
      <c r="BW178" s="1955">
        <v>0.2</v>
      </c>
      <c r="BX178" s="1955">
        <v>0.2</v>
      </c>
      <c r="BY178" s="1955">
        <v>0.2</v>
      </c>
      <c r="BZ178" s="1955">
        <v>0.2</v>
      </c>
      <c r="CA178" s="1955">
        <v>0.2</v>
      </c>
      <c r="CB178" s="1956"/>
      <c r="CC178" s="1955"/>
      <c r="CD178" s="1955"/>
      <c r="CE178" s="2281"/>
    </row>
    <row r="179" spans="2:83">
      <c r="B179" s="1872" t="str">
        <f t="shared" si="159"/>
        <v>3.3.1</v>
      </c>
      <c r="C179" s="1986" t="str">
        <f t="shared" si="155"/>
        <v>屋外照明及び屋内照明のうち外に漏れる光への対策</v>
      </c>
      <c r="D179" s="1896">
        <f>IF(I$178=0,0,G179/I$178)</f>
        <v>0.7</v>
      </c>
      <c r="E179" s="1896">
        <f>IF(J$178=0,0,H179/J$178)</f>
        <v>0</v>
      </c>
      <c r="G179" s="1897">
        <f t="shared" si="156"/>
        <v>0.7</v>
      </c>
      <c r="H179" s="1897">
        <f t="shared" si="157"/>
        <v>0</v>
      </c>
      <c r="I179" s="1897"/>
      <c r="J179" s="1897"/>
      <c r="K179" s="1897">
        <f>IF(スコア!M179=0,0,1)</f>
        <v>1</v>
      </c>
      <c r="L179" s="1897">
        <f>IF(スコア!O179=0,0,1)</f>
        <v>0</v>
      </c>
      <c r="M179" s="1897">
        <f t="shared" si="158"/>
        <v>0.7</v>
      </c>
      <c r="N179" s="1897">
        <f t="shared" si="130"/>
        <v>0</v>
      </c>
      <c r="P179" s="1985" t="str">
        <f t="shared" si="141"/>
        <v>3.3.1</v>
      </c>
      <c r="Q179" s="1902" t="str">
        <f t="shared" si="142"/>
        <v>LR3 3.3</v>
      </c>
      <c r="R179" s="1986" t="str">
        <f t="shared" si="143"/>
        <v>屋外照明及び屋内照明のうち外に漏れる光への対策</v>
      </c>
      <c r="S179" s="1904">
        <f t="shared" si="144"/>
        <v>0.7</v>
      </c>
      <c r="T179" s="1904">
        <f t="shared" si="145"/>
        <v>0.7</v>
      </c>
      <c r="U179" s="1904">
        <f t="shared" si="146"/>
        <v>0.7</v>
      </c>
      <c r="V179" s="1904">
        <f t="shared" si="147"/>
        <v>0.7</v>
      </c>
      <c r="W179" s="1904">
        <f t="shared" si="148"/>
        <v>0.7</v>
      </c>
      <c r="X179" s="1904">
        <f t="shared" si="149"/>
        <v>0.7</v>
      </c>
      <c r="Y179" s="1904">
        <f t="shared" si="150"/>
        <v>0.7</v>
      </c>
      <c r="Z179" s="1904">
        <f t="shared" si="151"/>
        <v>0.7</v>
      </c>
      <c r="AA179" s="1904">
        <f t="shared" si="135"/>
        <v>0.7</v>
      </c>
      <c r="AB179" s="1904">
        <f t="shared" si="136"/>
        <v>0.7</v>
      </c>
      <c r="AC179" s="1954">
        <f t="shared" si="132"/>
        <v>0</v>
      </c>
      <c r="AD179" s="1953">
        <f t="shared" si="133"/>
        <v>0</v>
      </c>
      <c r="AE179" s="1953">
        <f t="shared" si="134"/>
        <v>0</v>
      </c>
      <c r="AG179" s="1985" t="s">
        <v>1712</v>
      </c>
      <c r="AH179" s="1902" t="s">
        <v>2204</v>
      </c>
      <c r="AI179" s="1986" t="s">
        <v>1713</v>
      </c>
      <c r="AJ179" s="1955">
        <v>0.7</v>
      </c>
      <c r="AK179" s="1955">
        <v>0.7</v>
      </c>
      <c r="AL179" s="1955">
        <v>0.7</v>
      </c>
      <c r="AM179" s="1955">
        <v>0.7</v>
      </c>
      <c r="AN179" s="1955">
        <v>0.7</v>
      </c>
      <c r="AO179" s="1955">
        <v>0.7</v>
      </c>
      <c r="AP179" s="1955">
        <v>0.7</v>
      </c>
      <c r="AQ179" s="1955">
        <v>0.7</v>
      </c>
      <c r="AR179" s="1955">
        <v>0.7</v>
      </c>
      <c r="AS179" s="1904">
        <v>0.7</v>
      </c>
      <c r="AT179" s="1956"/>
      <c r="AU179" s="1955"/>
      <c r="AV179" s="1955"/>
      <c r="AX179" s="1985" t="s">
        <v>1712</v>
      </c>
      <c r="AY179" s="1902" t="s">
        <v>2204</v>
      </c>
      <c r="AZ179" s="1986" t="s">
        <v>1713</v>
      </c>
      <c r="BA179" s="1904">
        <v>0.7</v>
      </c>
      <c r="BB179" s="1904">
        <v>0.7</v>
      </c>
      <c r="BC179" s="1904">
        <v>0.7</v>
      </c>
      <c r="BD179" s="1904">
        <v>0.7</v>
      </c>
      <c r="BE179" s="1904">
        <v>0.7</v>
      </c>
      <c r="BF179" s="1904">
        <v>0.7</v>
      </c>
      <c r="BG179" s="1904">
        <v>0.7</v>
      </c>
      <c r="BH179" s="1904">
        <v>0.7</v>
      </c>
      <c r="BI179" s="1904">
        <v>0.7</v>
      </c>
      <c r="BJ179" s="1904">
        <v>0.7</v>
      </c>
      <c r="BK179" s="1956"/>
      <c r="BL179" s="1955"/>
      <c r="BM179" s="1955"/>
      <c r="BO179" s="1985" t="s">
        <v>1712</v>
      </c>
      <c r="BP179" s="1902" t="s">
        <v>2204</v>
      </c>
      <c r="BQ179" s="1986" t="s">
        <v>1713</v>
      </c>
      <c r="BR179" s="1904">
        <v>0.7</v>
      </c>
      <c r="BS179" s="1904">
        <v>0.7</v>
      </c>
      <c r="BT179" s="1904">
        <v>0.7</v>
      </c>
      <c r="BU179" s="1904">
        <v>0.7</v>
      </c>
      <c r="BV179" s="1904">
        <v>0.7</v>
      </c>
      <c r="BW179" s="1904">
        <v>0.7</v>
      </c>
      <c r="BX179" s="1904">
        <v>0.7</v>
      </c>
      <c r="BY179" s="1904">
        <v>0.7</v>
      </c>
      <c r="BZ179" s="1904">
        <v>0.7</v>
      </c>
      <c r="CA179" s="1904">
        <v>0.7</v>
      </c>
      <c r="CB179" s="1956"/>
      <c r="CC179" s="1955"/>
      <c r="CD179" s="1955"/>
      <c r="CE179" s="2281"/>
    </row>
    <row r="180" spans="2:83">
      <c r="B180" s="1872" t="str">
        <f t="shared" si="159"/>
        <v>3.3.2</v>
      </c>
      <c r="C180" s="1986" t="str">
        <f t="shared" si="155"/>
        <v>昼光の建物外壁による反射光（グレア）への対策</v>
      </c>
      <c r="D180" s="1896">
        <f>IF(I$178=0,0,G180/I$178)</f>
        <v>0.3</v>
      </c>
      <c r="E180" s="1896">
        <f>IF(J$178=0,0,H180/J$178)</f>
        <v>0</v>
      </c>
      <c r="G180" s="1897">
        <f t="shared" si="156"/>
        <v>0.3</v>
      </c>
      <c r="H180" s="1897">
        <f t="shared" si="157"/>
        <v>0</v>
      </c>
      <c r="I180" s="1897"/>
      <c r="J180" s="1897"/>
      <c r="K180" s="1897">
        <f>IF(スコア!M180=0,0,1)</f>
        <v>1</v>
      </c>
      <c r="L180" s="1897">
        <f>IF(スコア!O180=0,0,1)</f>
        <v>0</v>
      </c>
      <c r="M180" s="1897">
        <f t="shared" si="158"/>
        <v>0.3</v>
      </c>
      <c r="N180" s="1897">
        <f t="shared" si="130"/>
        <v>0</v>
      </c>
      <c r="P180" s="1985" t="str">
        <f t="shared" si="141"/>
        <v>3.3.2</v>
      </c>
      <c r="Q180" s="1902" t="str">
        <f t="shared" si="142"/>
        <v>LR3 3.3</v>
      </c>
      <c r="R180" s="1986" t="str">
        <f t="shared" si="143"/>
        <v>昼光の建物外壁による反射光（グレア）への対策</v>
      </c>
      <c r="S180" s="1904">
        <f t="shared" si="144"/>
        <v>0.3</v>
      </c>
      <c r="T180" s="1904">
        <f t="shared" si="145"/>
        <v>0.3</v>
      </c>
      <c r="U180" s="1904">
        <f t="shared" si="146"/>
        <v>0.3</v>
      </c>
      <c r="V180" s="1904">
        <f t="shared" si="147"/>
        <v>0.3</v>
      </c>
      <c r="W180" s="1904">
        <f t="shared" si="148"/>
        <v>0.3</v>
      </c>
      <c r="X180" s="1904">
        <f t="shared" si="149"/>
        <v>0.3</v>
      </c>
      <c r="Y180" s="1904">
        <f t="shared" si="150"/>
        <v>0.3</v>
      </c>
      <c r="Z180" s="1904">
        <f t="shared" si="151"/>
        <v>0.3</v>
      </c>
      <c r="AA180" s="1904">
        <f t="shared" si="135"/>
        <v>0.3</v>
      </c>
      <c r="AB180" s="1904">
        <f t="shared" si="136"/>
        <v>0.3</v>
      </c>
      <c r="AC180" s="1954">
        <f t="shared" si="132"/>
        <v>0</v>
      </c>
      <c r="AD180" s="1953">
        <f t="shared" si="133"/>
        <v>0</v>
      </c>
      <c r="AE180" s="1953">
        <f t="shared" si="134"/>
        <v>0</v>
      </c>
      <c r="AG180" s="1985" t="s">
        <v>2890</v>
      </c>
      <c r="AH180" s="1902" t="s">
        <v>2204</v>
      </c>
      <c r="AI180" s="1986" t="s">
        <v>2891</v>
      </c>
      <c r="AJ180" s="1904">
        <v>0.3</v>
      </c>
      <c r="AK180" s="1904">
        <v>0.3</v>
      </c>
      <c r="AL180" s="1904">
        <v>0.3</v>
      </c>
      <c r="AM180" s="1904">
        <v>0.3</v>
      </c>
      <c r="AN180" s="1904">
        <v>0.3</v>
      </c>
      <c r="AO180" s="1904">
        <v>0.3</v>
      </c>
      <c r="AP180" s="1904">
        <v>0.3</v>
      </c>
      <c r="AQ180" s="1904">
        <v>0.3</v>
      </c>
      <c r="AR180" s="1904">
        <v>0.3</v>
      </c>
      <c r="AS180" s="1904">
        <v>0.3</v>
      </c>
      <c r="AT180" s="1956"/>
      <c r="AU180" s="1955"/>
      <c r="AV180" s="1955"/>
      <c r="AX180" s="1985" t="s">
        <v>2890</v>
      </c>
      <c r="AY180" s="1902" t="s">
        <v>2204</v>
      </c>
      <c r="AZ180" s="1986" t="s">
        <v>2891</v>
      </c>
      <c r="BA180" s="1904">
        <v>0.3</v>
      </c>
      <c r="BB180" s="1904">
        <v>0.3</v>
      </c>
      <c r="BC180" s="1904">
        <v>0.3</v>
      </c>
      <c r="BD180" s="1904">
        <v>0.3</v>
      </c>
      <c r="BE180" s="1904">
        <v>0.3</v>
      </c>
      <c r="BF180" s="1904">
        <v>0.3</v>
      </c>
      <c r="BG180" s="1904">
        <v>0.3</v>
      </c>
      <c r="BH180" s="1904">
        <v>0.3</v>
      </c>
      <c r="BI180" s="1904">
        <v>0.3</v>
      </c>
      <c r="BJ180" s="1904">
        <v>0.3</v>
      </c>
      <c r="BK180" s="1956"/>
      <c r="BL180" s="1955"/>
      <c r="BM180" s="1955"/>
      <c r="BO180" s="1985" t="s">
        <v>2890</v>
      </c>
      <c r="BP180" s="1902" t="s">
        <v>2204</v>
      </c>
      <c r="BQ180" s="1986" t="s">
        <v>2891</v>
      </c>
      <c r="BR180" s="1904">
        <v>0.3</v>
      </c>
      <c r="BS180" s="1904">
        <v>0.3</v>
      </c>
      <c r="BT180" s="1904">
        <v>0.3</v>
      </c>
      <c r="BU180" s="1904">
        <v>0.3</v>
      </c>
      <c r="BV180" s="1904">
        <v>0.3</v>
      </c>
      <c r="BW180" s="1904">
        <v>0.3</v>
      </c>
      <c r="BX180" s="1904">
        <v>0.3</v>
      </c>
      <c r="BY180" s="1904">
        <v>0.3</v>
      </c>
      <c r="BZ180" s="1904">
        <v>0.3</v>
      </c>
      <c r="CA180" s="1904">
        <v>0.3</v>
      </c>
      <c r="CB180" s="1956"/>
      <c r="CC180" s="1955"/>
      <c r="CD180" s="1955"/>
      <c r="CE180" s="2281"/>
    </row>
    <row r="181" spans="2:83"/>
  </sheetData>
  <sheetProtection password="B4B8" sheet="1" objects="1" scenarios="1"/>
  <mergeCells count="8">
    <mergeCell ref="BR5:BZ5"/>
    <mergeCell ref="CB5:CD5"/>
    <mergeCell ref="S5:AA5"/>
    <mergeCell ref="AC5:AE5"/>
    <mergeCell ref="BA5:BI5"/>
    <mergeCell ref="BK5:BM5"/>
    <mergeCell ref="AJ5:AR5"/>
    <mergeCell ref="AT5:AV5"/>
  </mergeCells>
  <phoneticPr fontId="21"/>
  <printOptions horizontalCentered="1"/>
  <pageMargins left="0.59055118110236227" right="0.59055118110236227" top="0.78740157480314965" bottom="0.59055118110236227" header="0.51181102362204722" footer="0.51181102362204722"/>
  <pageSetup paperSize="9" scale="62" fitToWidth="3" fitToHeight="0" orientation="portrait" verticalDpi="4294967293" r:id="rId1"/>
  <headerFooter alignWithMargins="0">
    <oddHeader>&amp;L&amp;F&amp;R&amp;A</oddHeader>
    <oddFooter>&amp;C&amp;P/&amp;N</oddFooter>
  </headerFooter>
  <rowBreaks count="1" manualBreakCount="1">
    <brk id="108" max="81" man="1"/>
  </rowBreaks>
  <colBreaks count="2" manualBreakCount="2">
    <brk id="15" max="179" man="1"/>
    <brk id="32" max="179"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pageSetUpPr fitToPage="1"/>
  </sheetPr>
  <dimension ref="B1:F72"/>
  <sheetViews>
    <sheetView showGridLines="0" zoomScaleNormal="100" workbookViewId="0">
      <selection activeCell="C5" sqref="C5"/>
    </sheetView>
  </sheetViews>
  <sheetFormatPr defaultColWidth="0" defaultRowHeight="13.5" zeroHeight="1"/>
  <cols>
    <col min="1" max="1" width="2" customWidth="1"/>
    <col min="2" max="2" width="10.625" customWidth="1"/>
    <col min="3" max="3" width="18.625" customWidth="1"/>
    <col min="4" max="5" width="29.25" customWidth="1"/>
    <col min="6" max="6" width="16.125" customWidth="1"/>
    <col min="7" max="7" width="2" customWidth="1"/>
    <col min="8" max="16" width="0" hidden="1" customWidth="1"/>
  </cols>
  <sheetData>
    <row r="1" spans="2:6" ht="6" customHeight="1"/>
    <row r="2" spans="2:6" ht="18.75">
      <c r="B2" s="1673" t="s">
        <v>529</v>
      </c>
      <c r="C2" s="1674"/>
      <c r="D2" s="1674"/>
      <c r="E2" s="1385" t="s">
        <v>2697</v>
      </c>
      <c r="F2" s="1386" t="str">
        <f>メイン!C11</f>
        <v>○○ビル</v>
      </c>
    </row>
    <row r="3" spans="2:6" ht="16.5" customHeight="1">
      <c r="F3" s="1568" t="str">
        <f>メイン!C5</f>
        <v>CASBEE-BD_EB_2014(v.3.03)</v>
      </c>
    </row>
    <row r="4" spans="2:6">
      <c r="B4" s="3190" t="s">
        <v>2151</v>
      </c>
      <c r="C4" s="3191"/>
      <c r="D4" s="1675" t="s">
        <v>2629</v>
      </c>
      <c r="E4" s="1676" t="s">
        <v>2400</v>
      </c>
      <c r="F4" s="1676" t="s">
        <v>1316</v>
      </c>
    </row>
    <row r="5" spans="2:6" ht="35.25" customHeight="1">
      <c r="B5" s="3192" t="s">
        <v>2630</v>
      </c>
      <c r="C5" s="1676" t="s">
        <v>1794</v>
      </c>
      <c r="D5" s="1675" t="str">
        <f>メイン!C21</f>
        <v>事務所,学校,集会所,</v>
      </c>
      <c r="E5" s="1675" t="str">
        <f>D5</f>
        <v>事務所,学校,集会所,</v>
      </c>
      <c r="F5" s="1676"/>
    </row>
    <row r="6" spans="2:6">
      <c r="B6" s="3193"/>
      <c r="C6" s="1676" t="s">
        <v>2631</v>
      </c>
      <c r="D6" s="1678">
        <f>メイン!C19</f>
        <v>14500</v>
      </c>
      <c r="E6" s="1678">
        <f>D6</f>
        <v>14500</v>
      </c>
      <c r="F6" s="919"/>
    </row>
    <row r="7" spans="2:6">
      <c r="B7" s="3194"/>
      <c r="C7" s="1676" t="s">
        <v>2632</v>
      </c>
      <c r="D7" s="1676" t="str">
        <f>メイン!C23</f>
        <v>RC造</v>
      </c>
      <c r="E7" s="1676" t="str">
        <f>D7</f>
        <v>RC造</v>
      </c>
      <c r="F7" s="919"/>
    </row>
    <row r="8" spans="2:6" ht="31.5" customHeight="1">
      <c r="B8" s="1675" t="s">
        <v>2633</v>
      </c>
      <c r="C8" s="1680" t="s">
        <v>2634</v>
      </c>
      <c r="D8" s="1681" t="str">
        <f>CO2計算!O35</f>
        <v>事務所部分60年,他</v>
      </c>
      <c r="E8" s="1681" t="str">
        <f>CO2計算!L35</f>
        <v>事務所部分60年,他</v>
      </c>
      <c r="F8" s="1682"/>
    </row>
    <row r="9" spans="2:6" ht="19.5" customHeight="1">
      <c r="B9" s="1683"/>
      <c r="C9" s="1680" t="s">
        <v>317</v>
      </c>
      <c r="D9" s="1684">
        <f>CO2計算!O133</f>
        <v>13.77</v>
      </c>
      <c r="E9" s="1684">
        <f>CO2計算!L133</f>
        <v>13.77</v>
      </c>
      <c r="F9" s="1682" t="s">
        <v>2635</v>
      </c>
    </row>
    <row r="10" spans="2:6" ht="29.25" customHeight="1">
      <c r="B10" s="3195" t="s">
        <v>1592</v>
      </c>
      <c r="C10" s="1675" t="s">
        <v>1593</v>
      </c>
      <c r="D10" s="1685" t="s">
        <v>1352</v>
      </c>
      <c r="E10" s="1686" t="s">
        <v>1594</v>
      </c>
      <c r="F10" s="919"/>
    </row>
    <row r="11" spans="2:6" ht="29.25" customHeight="1">
      <c r="B11" s="3195"/>
      <c r="C11" s="1675" t="s">
        <v>1595</v>
      </c>
      <c r="D11" s="1685" t="s">
        <v>1353</v>
      </c>
      <c r="E11" s="1687" t="s">
        <v>2614</v>
      </c>
      <c r="F11" s="919"/>
    </row>
    <row r="12" spans="2:6">
      <c r="B12" s="3195"/>
      <c r="C12" s="1677" t="s">
        <v>530</v>
      </c>
      <c r="D12" s="1688" t="s">
        <v>2615</v>
      </c>
      <c r="E12" s="1689" t="s">
        <v>2614</v>
      </c>
      <c r="F12" s="1690"/>
    </row>
    <row r="13" spans="2:6">
      <c r="B13" s="3196"/>
      <c r="C13" s="1692" t="s">
        <v>2405</v>
      </c>
      <c r="D13" s="1693"/>
      <c r="E13" s="1694"/>
      <c r="F13" s="1695"/>
    </row>
    <row r="14" spans="2:6" ht="19.5" customHeight="1">
      <c r="B14" s="3195"/>
      <c r="C14" s="1696" t="s">
        <v>2408</v>
      </c>
      <c r="D14" s="1697">
        <f>CO2計算!O93</f>
        <v>0.81510344827586201</v>
      </c>
      <c r="E14" s="1698">
        <f>CO2計算!L93</f>
        <v>0.81510344827586201</v>
      </c>
      <c r="F14" s="1699" t="s">
        <v>531</v>
      </c>
    </row>
    <row r="15" spans="2:6" ht="14.25">
      <c r="B15" s="3195"/>
      <c r="C15" s="1700" t="s">
        <v>2410</v>
      </c>
      <c r="D15" s="1701">
        <f>CO2計算!O94</f>
        <v>0</v>
      </c>
      <c r="E15" s="1702">
        <f>CO2計算!L94</f>
        <v>0</v>
      </c>
      <c r="F15" s="1703" t="s">
        <v>531</v>
      </c>
    </row>
    <row r="16" spans="2:6">
      <c r="B16" s="3195"/>
      <c r="C16" s="1700" t="s">
        <v>2411</v>
      </c>
      <c r="D16" s="1701">
        <f>CO2計算!O95</f>
        <v>2.0068965517241383E-2</v>
      </c>
      <c r="E16" s="1702">
        <f>CO2計算!L95</f>
        <v>2.0068965517241383E-2</v>
      </c>
      <c r="F16" s="1704" t="s">
        <v>2412</v>
      </c>
    </row>
    <row r="17" spans="2:6" hidden="1">
      <c r="B17" s="3195"/>
      <c r="C17" s="1700" t="s">
        <v>2413</v>
      </c>
      <c r="D17" s="1701">
        <f>CO2計算!O96</f>
        <v>0</v>
      </c>
      <c r="E17" s="1702">
        <f>CO2計算!L96</f>
        <v>0</v>
      </c>
      <c r="F17" s="1704" t="s">
        <v>2412</v>
      </c>
    </row>
    <row r="18" spans="2:6">
      <c r="B18" s="3195"/>
      <c r="C18" s="1700" t="s">
        <v>2414</v>
      </c>
      <c r="D18" s="1701">
        <f>CO2計算!O97</f>
        <v>0.10806896551724138</v>
      </c>
      <c r="E18" s="1702">
        <f>CO2計算!L97</f>
        <v>0.10806896551724138</v>
      </c>
      <c r="F18" s="1704" t="s">
        <v>2412</v>
      </c>
    </row>
    <row r="19" spans="2:6">
      <c r="B19" s="3195"/>
      <c r="C19" s="1700" t="s">
        <v>2072</v>
      </c>
      <c r="D19" s="1701">
        <f>CO2計算!O98</f>
        <v>1.3965517241379311E-2</v>
      </c>
      <c r="E19" s="1702">
        <f>CO2計算!L98</f>
        <v>1.3965517241379311E-2</v>
      </c>
      <c r="F19" s="1704" t="s">
        <v>2412</v>
      </c>
    </row>
    <row r="20" spans="2:6">
      <c r="B20" s="3195"/>
      <c r="C20" s="1705" t="s">
        <v>532</v>
      </c>
      <c r="D20" s="1705" t="s">
        <v>533</v>
      </c>
      <c r="E20" s="1706" t="s">
        <v>1590</v>
      </c>
      <c r="F20" s="1707" t="s">
        <v>534</v>
      </c>
    </row>
    <row r="21" spans="2:6">
      <c r="B21" s="3196"/>
      <c r="C21" s="1692" t="s">
        <v>1591</v>
      </c>
      <c r="D21" s="1693"/>
      <c r="E21" s="1694"/>
      <c r="F21" s="1695"/>
    </row>
    <row r="22" spans="2:6" ht="15">
      <c r="B22" s="3195"/>
      <c r="C22" s="1696" t="s">
        <v>2408</v>
      </c>
      <c r="D22" s="1697">
        <v>266.70999999999998</v>
      </c>
      <c r="E22" s="1698" t="s">
        <v>1590</v>
      </c>
      <c r="F22" s="1703" t="s">
        <v>3353</v>
      </c>
    </row>
    <row r="23" spans="2:6" ht="15">
      <c r="B23" s="3195"/>
      <c r="C23" s="1700" t="s">
        <v>2410</v>
      </c>
      <c r="D23" s="1701">
        <v>216.57</v>
      </c>
      <c r="E23" s="1702" t="s">
        <v>1590</v>
      </c>
      <c r="F23" s="1704" t="s">
        <v>3353</v>
      </c>
    </row>
    <row r="24" spans="2:6">
      <c r="B24" s="3195"/>
      <c r="C24" s="1700" t="s">
        <v>2411</v>
      </c>
      <c r="D24" s="1701">
        <v>1.28</v>
      </c>
      <c r="E24" s="1702" t="s">
        <v>1590</v>
      </c>
      <c r="F24" s="1704" t="s">
        <v>3354</v>
      </c>
    </row>
    <row r="25" spans="2:6" hidden="1">
      <c r="B25" s="3195"/>
      <c r="C25" s="1700" t="s">
        <v>2413</v>
      </c>
      <c r="D25" s="1701"/>
      <c r="E25" s="1702" t="s">
        <v>1590</v>
      </c>
      <c r="F25" s="1704" t="s">
        <v>3355</v>
      </c>
    </row>
    <row r="26" spans="2:6">
      <c r="B26" s="3195"/>
      <c r="C26" s="1700" t="s">
        <v>2414</v>
      </c>
      <c r="D26" s="1701">
        <v>0.51</v>
      </c>
      <c r="E26" s="1702" t="s">
        <v>1590</v>
      </c>
      <c r="F26" s="1704" t="s">
        <v>3354</v>
      </c>
    </row>
    <row r="27" spans="2:6">
      <c r="B27" s="3195"/>
      <c r="C27" s="1700" t="s">
        <v>282</v>
      </c>
      <c r="D27" s="1701">
        <v>4.75</v>
      </c>
      <c r="E27" s="1702" t="s">
        <v>1590</v>
      </c>
      <c r="F27" s="1704" t="s">
        <v>3356</v>
      </c>
    </row>
    <row r="28" spans="2:6">
      <c r="B28" s="3195"/>
      <c r="C28" s="1705" t="s">
        <v>532</v>
      </c>
      <c r="D28" s="1705" t="s">
        <v>3357</v>
      </c>
      <c r="E28" s="1706" t="s">
        <v>180</v>
      </c>
      <c r="F28" s="1704" t="s">
        <v>3358</v>
      </c>
    </row>
    <row r="29" spans="2:6" ht="14.25" thickBot="1">
      <c r="B29" s="3196"/>
      <c r="C29" s="1692" t="s">
        <v>283</v>
      </c>
      <c r="D29" s="1693"/>
      <c r="E29" s="1708"/>
      <c r="F29" s="1709"/>
    </row>
    <row r="30" spans="2:6" ht="29.25" customHeight="1">
      <c r="B30" s="3195"/>
      <c r="C30" s="1696" t="s">
        <v>284</v>
      </c>
      <c r="D30" s="1710">
        <v>0</v>
      </c>
      <c r="E30" s="1711">
        <v>0</v>
      </c>
      <c r="F30" s="1712"/>
    </row>
    <row r="31" spans="2:6" ht="29.25" customHeight="1" thickBot="1">
      <c r="B31" s="3195"/>
      <c r="C31" s="1696" t="s">
        <v>285</v>
      </c>
      <c r="D31" s="1710">
        <v>0</v>
      </c>
      <c r="E31" s="1713">
        <v>0</v>
      </c>
      <c r="F31" s="1714"/>
    </row>
    <row r="32" spans="2:6" ht="24" customHeight="1">
      <c r="B32" s="3195"/>
      <c r="C32" s="1700" t="s">
        <v>286</v>
      </c>
      <c r="D32" s="1710">
        <v>0</v>
      </c>
      <c r="E32" s="1710">
        <v>0</v>
      </c>
      <c r="F32" s="1703"/>
    </row>
    <row r="33" spans="2:6" ht="24" customHeight="1">
      <c r="B33" s="3195"/>
      <c r="C33" s="1715" t="s">
        <v>287</v>
      </c>
      <c r="D33" s="1716">
        <v>0</v>
      </c>
      <c r="E33" s="1716">
        <v>0</v>
      </c>
      <c r="F33" s="1717"/>
    </row>
    <row r="34" spans="2:6" ht="19.5" customHeight="1">
      <c r="B34" s="1677"/>
      <c r="C34" s="1718" t="s">
        <v>317</v>
      </c>
      <c r="D34" s="1719">
        <f>CO2計算!O134</f>
        <v>13.322862068965517</v>
      </c>
      <c r="E34" s="1720">
        <f>CO2計算!L134</f>
        <v>13.322862068965517</v>
      </c>
      <c r="F34" s="1682" t="s">
        <v>2635</v>
      </c>
    </row>
    <row r="35" spans="2:6">
      <c r="B35" s="1691" t="s">
        <v>536</v>
      </c>
      <c r="C35" s="1721" t="s">
        <v>288</v>
      </c>
      <c r="D35" s="1722"/>
      <c r="E35" s="1722"/>
      <c r="F35" s="1695"/>
    </row>
    <row r="36" spans="2:6">
      <c r="B36" s="1683" t="s">
        <v>537</v>
      </c>
      <c r="C36" s="1744" t="s">
        <v>2622</v>
      </c>
      <c r="D36" s="2518">
        <f>CO2データ!I269</f>
        <v>25</v>
      </c>
      <c r="E36" s="2518">
        <f>CO2データ!I269</f>
        <v>25</v>
      </c>
      <c r="F36" s="1699"/>
    </row>
    <row r="37" spans="2:6" ht="13.5" hidden="1" customHeight="1">
      <c r="B37" s="1683"/>
      <c r="C37" s="1700" t="s">
        <v>2624</v>
      </c>
      <c r="D37" s="1724"/>
      <c r="E37" s="1724"/>
      <c r="F37" s="1704"/>
    </row>
    <row r="38" spans="2:6">
      <c r="B38" s="1683"/>
      <c r="C38" s="1700" t="s">
        <v>2625</v>
      </c>
      <c r="D38" s="1724">
        <f>CO2データ!I271</f>
        <v>18</v>
      </c>
      <c r="E38" s="1724">
        <f>CO2データ!I271</f>
        <v>18</v>
      </c>
      <c r="F38" s="1704"/>
    </row>
    <row r="39" spans="2:6">
      <c r="B39" s="1683"/>
      <c r="C39" s="1715" t="s">
        <v>2626</v>
      </c>
      <c r="D39" s="2519">
        <f>CO2データ!I272</f>
        <v>15</v>
      </c>
      <c r="E39" s="2519">
        <f>CO2データ!I272</f>
        <v>15</v>
      </c>
      <c r="F39" s="2520"/>
    </row>
    <row r="40" spans="2:6">
      <c r="B40" s="1691"/>
      <c r="C40" s="1721" t="s">
        <v>289</v>
      </c>
      <c r="D40" s="1722"/>
      <c r="E40" s="1722"/>
      <c r="F40" s="1695"/>
    </row>
    <row r="41" spans="2:6">
      <c r="B41" s="1683"/>
      <c r="C41" s="1744" t="s">
        <v>2622</v>
      </c>
      <c r="D41" s="2521">
        <f>CO2データ!I275</f>
        <v>0.01</v>
      </c>
      <c r="E41" s="2521">
        <f>CO2データ!I275</f>
        <v>0.01</v>
      </c>
      <c r="F41" s="2522"/>
    </row>
    <row r="42" spans="2:6">
      <c r="B42" s="1683"/>
      <c r="C42" s="1700" t="s">
        <v>2625</v>
      </c>
      <c r="D42" s="1726">
        <f>CO2データ!I276</f>
        <v>0.01</v>
      </c>
      <c r="E42" s="1726">
        <f>CO2データ!I276</f>
        <v>0.01</v>
      </c>
      <c r="F42" s="1727"/>
    </row>
    <row r="43" spans="2:6">
      <c r="B43" s="1683"/>
      <c r="C43" s="1715" t="s">
        <v>2626</v>
      </c>
      <c r="D43" s="2523">
        <f>CO2データ!I277</f>
        <v>0.02</v>
      </c>
      <c r="E43" s="2523">
        <f>CO2データ!I277</f>
        <v>0.02</v>
      </c>
      <c r="F43" s="2524"/>
    </row>
    <row r="44" spans="2:6" ht="29.25" customHeight="1">
      <c r="B44" s="1729"/>
      <c r="C44" s="1680" t="s">
        <v>644</v>
      </c>
      <c r="D44" s="1685" t="s">
        <v>645</v>
      </c>
      <c r="E44" s="1675" t="s">
        <v>646</v>
      </c>
      <c r="F44" s="919"/>
    </row>
    <row r="45" spans="2:6">
      <c r="B45" s="1677"/>
      <c r="C45" s="1721" t="s">
        <v>317</v>
      </c>
      <c r="D45" s="1693"/>
      <c r="E45" s="1730"/>
      <c r="F45" s="1731"/>
    </row>
    <row r="46" spans="2:6" ht="24" customHeight="1">
      <c r="B46" s="1683"/>
      <c r="C46" s="1675" t="s">
        <v>538</v>
      </c>
      <c r="D46" s="1684" t="e">
        <f>CO2計算!O135</f>
        <v>#N/A</v>
      </c>
      <c r="E46" s="1684" t="e">
        <f>CO2計算!L116</f>
        <v>#VALUE!</v>
      </c>
      <c r="F46" s="1682" t="s">
        <v>2635</v>
      </c>
    </row>
    <row r="47" spans="2:6" ht="24" customHeight="1">
      <c r="B47" s="1683"/>
      <c r="C47" s="1696" t="s">
        <v>539</v>
      </c>
      <c r="D47" s="1732" t="s">
        <v>540</v>
      </c>
      <c r="E47" s="1733" t="e">
        <f>CO2計算!L123</f>
        <v>#VALUE!</v>
      </c>
      <c r="F47" s="1703" t="s">
        <v>541</v>
      </c>
    </row>
    <row r="48" spans="2:6" ht="24" hidden="1" customHeight="1">
      <c r="B48" s="3195" t="s">
        <v>647</v>
      </c>
      <c r="C48" s="1705"/>
      <c r="D48" s="1734"/>
      <c r="E48" s="1735"/>
      <c r="F48" s="1736" t="s">
        <v>2635</v>
      </c>
    </row>
    <row r="49" spans="2:6" ht="24" hidden="1" customHeight="1">
      <c r="B49" s="3195"/>
      <c r="C49" s="1683"/>
      <c r="D49" s="1737"/>
      <c r="E49" s="1735"/>
      <c r="F49" s="1736" t="s">
        <v>542</v>
      </c>
    </row>
    <row r="50" spans="2:6" ht="24" hidden="1" customHeight="1">
      <c r="B50" s="3195"/>
      <c r="C50" s="1683"/>
      <c r="D50" s="1738"/>
      <c r="E50" s="1739" t="e">
        <f>'条件(個別)'!E80</f>
        <v>#VALUE!</v>
      </c>
      <c r="F50" s="1740" t="s">
        <v>543</v>
      </c>
    </row>
    <row r="51" spans="2:6" ht="24" hidden="1" customHeight="1">
      <c r="B51" s="3195"/>
      <c r="C51" s="1729"/>
      <c r="D51" s="1741" t="s">
        <v>1116</v>
      </c>
      <c r="E51" s="1742" t="s">
        <v>544</v>
      </c>
      <c r="F51" s="1743"/>
    </row>
    <row r="52" spans="2:6" ht="29.25" customHeight="1">
      <c r="B52" s="3196"/>
      <c r="C52" s="1744" t="s">
        <v>545</v>
      </c>
      <c r="D52" s="2233" t="s">
        <v>544</v>
      </c>
      <c r="E52" s="2234" t="e">
        <f>E47</f>
        <v>#VALUE!</v>
      </c>
      <c r="F52" s="1699" t="s">
        <v>546</v>
      </c>
    </row>
    <row r="53" spans="2:6" ht="30" customHeight="1">
      <c r="B53" s="3195"/>
      <c r="C53" s="1705" t="s">
        <v>648</v>
      </c>
      <c r="D53" s="1746" t="s">
        <v>547</v>
      </c>
      <c r="E53" s="1747" t="s">
        <v>540</v>
      </c>
      <c r="F53" s="1704"/>
    </row>
    <row r="54" spans="2:6" ht="27.75" customHeight="1">
      <c r="B54" s="3195"/>
      <c r="C54" s="1683"/>
      <c r="D54" s="1746" t="s">
        <v>548</v>
      </c>
      <c r="E54" s="1747" t="s">
        <v>540</v>
      </c>
      <c r="F54" s="1704"/>
    </row>
    <row r="55" spans="2:6" ht="24" customHeight="1">
      <c r="B55" s="3195"/>
      <c r="C55" s="1683"/>
      <c r="D55" s="1746" t="s">
        <v>549</v>
      </c>
      <c r="E55" s="1747" t="s">
        <v>540</v>
      </c>
      <c r="F55" s="1704"/>
    </row>
    <row r="56" spans="2:6" ht="29.25" customHeight="1">
      <c r="B56" s="1683"/>
      <c r="C56" s="1683"/>
      <c r="D56" s="1746" t="s">
        <v>550</v>
      </c>
      <c r="E56" s="1747" t="s">
        <v>540</v>
      </c>
      <c r="F56" s="1717"/>
    </row>
    <row r="57" spans="2:6" ht="24" hidden="1" customHeight="1">
      <c r="B57" s="1683"/>
      <c r="C57" s="1729"/>
      <c r="D57" s="1748"/>
      <c r="E57" s="1742" t="s">
        <v>540</v>
      </c>
      <c r="F57" s="1743"/>
    </row>
    <row r="58" spans="2:6" ht="29.25" customHeight="1">
      <c r="B58" s="3195"/>
      <c r="C58" s="1680" t="s">
        <v>1117</v>
      </c>
      <c r="D58" s="1685" t="s">
        <v>3352</v>
      </c>
      <c r="E58" s="1685" t="s">
        <v>3351</v>
      </c>
      <c r="F58" s="919"/>
    </row>
    <row r="59" spans="2:6" ht="18.75" customHeight="1">
      <c r="B59" s="3195"/>
      <c r="C59" s="1718" t="s">
        <v>437</v>
      </c>
      <c r="D59" s="1749" t="e">
        <f>CO2計算!H118+CO2計算!H121+CO2計算!H120</f>
        <v>#N/A</v>
      </c>
      <c r="E59" s="1749" t="e">
        <f>CO2計算!I125+CO2計算!I127+CO2計算!I126</f>
        <v>#VALUE!</v>
      </c>
      <c r="F59" s="1750" t="s">
        <v>651</v>
      </c>
    </row>
    <row r="60" spans="2:6">
      <c r="B60" s="3196"/>
      <c r="C60" s="913" t="s">
        <v>1015</v>
      </c>
      <c r="D60" s="1722"/>
      <c r="E60" s="1722"/>
      <c r="F60" s="1731"/>
    </row>
    <row r="61" spans="2:6">
      <c r="B61" s="3195"/>
      <c r="C61" s="1751" t="s">
        <v>2752</v>
      </c>
      <c r="D61" s="1752" t="e">
        <f>CO2計算!J118</f>
        <v>#VALUE!</v>
      </c>
      <c r="E61" s="1753" t="s">
        <v>646</v>
      </c>
      <c r="F61" s="1740" t="s">
        <v>173</v>
      </c>
    </row>
    <row r="62" spans="2:6">
      <c r="B62" s="3195"/>
      <c r="C62" s="1751" t="s">
        <v>2753</v>
      </c>
      <c r="D62" s="1752" t="e">
        <f>CO2計算!J120</f>
        <v>#VALUE!</v>
      </c>
      <c r="E62" s="1755" t="s">
        <v>646</v>
      </c>
      <c r="F62" s="1740" t="s">
        <v>173</v>
      </c>
    </row>
    <row r="63" spans="2:6">
      <c r="B63" s="3195"/>
      <c r="C63" s="1754" t="s">
        <v>2689</v>
      </c>
      <c r="D63" s="1755" t="e">
        <f>CO2データ!I95</f>
        <v>#VALUE!</v>
      </c>
      <c r="E63" s="1755" t="s">
        <v>646</v>
      </c>
      <c r="F63" s="1736" t="s">
        <v>174</v>
      </c>
    </row>
    <row r="64" spans="2:6">
      <c r="B64" s="3195"/>
      <c r="C64" s="1754" t="s">
        <v>175</v>
      </c>
      <c r="D64" s="1755">
        <f>CO2データ!I97</f>
        <v>4.9799999999999997E-2</v>
      </c>
      <c r="E64" s="1755" t="s">
        <v>646</v>
      </c>
      <c r="F64" s="1740" t="s">
        <v>173</v>
      </c>
    </row>
    <row r="65" spans="2:6" ht="24">
      <c r="B65" s="3195"/>
      <c r="C65" s="1756" t="s">
        <v>2685</v>
      </c>
      <c r="D65" s="1757" t="s">
        <v>306</v>
      </c>
      <c r="E65" s="1757" t="s">
        <v>646</v>
      </c>
      <c r="F65" s="1758" t="s">
        <v>173</v>
      </c>
    </row>
    <row r="66" spans="2:6">
      <c r="B66" s="1683"/>
      <c r="C66" s="1759" t="s">
        <v>2686</v>
      </c>
      <c r="D66" s="1760"/>
      <c r="E66" s="1760"/>
      <c r="F66" s="1761"/>
    </row>
    <row r="67" spans="2:6">
      <c r="B67" s="1683"/>
      <c r="C67" s="1723"/>
      <c r="D67" s="1679"/>
      <c r="E67" s="1679"/>
      <c r="F67" s="1728"/>
    </row>
    <row r="68" spans="2:6">
      <c r="B68" s="3200" t="s">
        <v>355</v>
      </c>
      <c r="C68" s="3197"/>
      <c r="D68" s="3197"/>
      <c r="E68" s="3197"/>
      <c r="F68" s="3197"/>
    </row>
    <row r="69" spans="2:6">
      <c r="B69" s="3200"/>
      <c r="C69" s="3198"/>
      <c r="D69" s="3198"/>
      <c r="E69" s="3198"/>
      <c r="F69" s="3198"/>
    </row>
    <row r="70" spans="2:6">
      <c r="B70" s="3200"/>
      <c r="C70" s="3198"/>
      <c r="D70" s="3198"/>
      <c r="E70" s="3198"/>
      <c r="F70" s="3198"/>
    </row>
    <row r="71" spans="2:6">
      <c r="B71" s="3200"/>
      <c r="C71" s="3199"/>
      <c r="D71" s="3199"/>
      <c r="E71" s="3199"/>
      <c r="F71" s="3199"/>
    </row>
    <row r="72" spans="2:6"/>
  </sheetData>
  <sheetProtection password="B4B8" sheet="1" objects="1" scenarios="1"/>
  <mergeCells count="10">
    <mergeCell ref="F68:F71"/>
    <mergeCell ref="B58:B65"/>
    <mergeCell ref="B68:B71"/>
    <mergeCell ref="C68:C71"/>
    <mergeCell ref="D68:D71"/>
    <mergeCell ref="B4:C4"/>
    <mergeCell ref="B5:B7"/>
    <mergeCell ref="B10:B33"/>
    <mergeCell ref="B48:B55"/>
    <mergeCell ref="E68:E71"/>
  </mergeCells>
  <phoneticPr fontId="21"/>
  <printOptions horizontalCentered="1"/>
  <pageMargins left="0.59055118110236227" right="0.59055118110236227" top="0.78740157480314965" bottom="0.7" header="0.51181102362204722" footer="0.51181102362204722"/>
  <pageSetup paperSize="9" scale="69" orientation="portrait" verticalDpi="300" r:id="rId1"/>
  <headerFooter alignWithMargins="0">
    <oddHeader>&amp;L&amp;F&amp;R&amp;A</oddHeader>
    <oddFooter>&amp;C&amp;P/&amp;N</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dimension ref="B1:F90"/>
  <sheetViews>
    <sheetView showGridLines="0" zoomScaleNormal="100" workbookViewId="0">
      <selection activeCell="E11" sqref="E11"/>
    </sheetView>
  </sheetViews>
  <sheetFormatPr defaultColWidth="0" defaultRowHeight="13.5" zeroHeight="1"/>
  <cols>
    <col min="1" max="1" width="2" customWidth="1"/>
    <col min="2" max="2" width="9.5" customWidth="1"/>
    <col min="3" max="3" width="19.5" customWidth="1"/>
    <col min="4" max="4" width="30.25" customWidth="1"/>
    <col min="5" max="5" width="29.125" customWidth="1"/>
    <col min="6" max="6" width="16.125" customWidth="1"/>
    <col min="7" max="7" width="1.875" customWidth="1"/>
  </cols>
  <sheetData>
    <row r="1" spans="2:6" ht="6" customHeight="1"/>
    <row r="2" spans="2:6" ht="18.75">
      <c r="B2" s="1673" t="s">
        <v>177</v>
      </c>
      <c r="C2" s="1674"/>
      <c r="D2" s="1674"/>
      <c r="E2" s="1385" t="s">
        <v>2697</v>
      </c>
      <c r="F2" s="1386" t="str">
        <f>メイン!C11</f>
        <v>○○ビル</v>
      </c>
    </row>
    <row r="3" spans="2:6" ht="15.75" customHeight="1">
      <c r="F3" s="1568" t="str">
        <f>メイン!C5</f>
        <v>CASBEE-BD_EB_2014(v.3.03)</v>
      </c>
    </row>
    <row r="4" spans="2:6">
      <c r="B4" s="3190" t="s">
        <v>2151</v>
      </c>
      <c r="C4" s="3191"/>
      <c r="D4" s="1675" t="s">
        <v>2629</v>
      </c>
      <c r="E4" s="1676" t="s">
        <v>2400</v>
      </c>
      <c r="F4" s="1676" t="s">
        <v>1316</v>
      </c>
    </row>
    <row r="5" spans="2:6" ht="27" customHeight="1">
      <c r="B5" s="1677" t="s">
        <v>2630</v>
      </c>
      <c r="C5" s="1676" t="s">
        <v>1794</v>
      </c>
      <c r="D5" s="1675" t="str">
        <f>メイン!C21</f>
        <v>事務所,学校,集会所,</v>
      </c>
      <c r="E5" s="1675" t="str">
        <f>D5</f>
        <v>事務所,学校,集会所,</v>
      </c>
      <c r="F5" s="1762"/>
    </row>
    <row r="6" spans="2:6">
      <c r="B6" s="1725"/>
      <c r="C6" s="1676" t="s">
        <v>2631</v>
      </c>
      <c r="D6" s="1678">
        <f>メイン!C19</f>
        <v>14500</v>
      </c>
      <c r="E6" s="1678">
        <f>D6</f>
        <v>14500</v>
      </c>
      <c r="F6" s="1763"/>
    </row>
    <row r="7" spans="2:6">
      <c r="B7" s="1728"/>
      <c r="C7" s="1676" t="s">
        <v>2632</v>
      </c>
      <c r="D7" s="1676" t="str">
        <f>メイン!C23</f>
        <v>RC造</v>
      </c>
      <c r="E7" s="1676" t="str">
        <f>D7</f>
        <v>RC造</v>
      </c>
      <c r="F7" s="1763"/>
    </row>
    <row r="8" spans="2:6" ht="31.5" customHeight="1">
      <c r="B8" s="1675" t="s">
        <v>2633</v>
      </c>
      <c r="C8" s="1680" t="s">
        <v>2634</v>
      </c>
      <c r="D8" s="1764"/>
      <c r="E8" s="1764"/>
      <c r="F8" s="1765"/>
    </row>
    <row r="9" spans="2:6" ht="19.5" customHeight="1">
      <c r="B9" s="1683"/>
      <c r="C9" s="1680" t="s">
        <v>317</v>
      </c>
      <c r="D9" s="1766">
        <v>30</v>
      </c>
      <c r="E9" s="1766">
        <v>30</v>
      </c>
      <c r="F9" s="1765" t="s">
        <v>2635</v>
      </c>
    </row>
    <row r="10" spans="2:6" ht="29.25" customHeight="1">
      <c r="B10" s="3195" t="s">
        <v>1592</v>
      </c>
      <c r="C10" s="1675" t="s">
        <v>1593</v>
      </c>
      <c r="D10" s="1767"/>
      <c r="E10" s="1768"/>
      <c r="F10" s="1763"/>
    </row>
    <row r="11" spans="2:6" ht="29.25" customHeight="1">
      <c r="B11" s="3195"/>
      <c r="C11" s="1675" t="s">
        <v>1595</v>
      </c>
      <c r="D11" s="1767"/>
      <c r="E11" s="1769"/>
      <c r="F11" s="1763"/>
    </row>
    <row r="12" spans="2:6" ht="29.25" customHeight="1">
      <c r="B12" s="3195"/>
      <c r="C12" s="1675" t="s">
        <v>178</v>
      </c>
      <c r="D12" s="1767"/>
      <c r="E12" s="1769"/>
      <c r="F12" s="1765"/>
    </row>
    <row r="13" spans="2:6">
      <c r="B13" s="3195"/>
      <c r="C13" s="1692" t="s">
        <v>2405</v>
      </c>
      <c r="D13" s="1693"/>
      <c r="E13" s="1694"/>
      <c r="F13" s="1695"/>
    </row>
    <row r="14" spans="2:6" ht="14.25">
      <c r="B14" s="3195"/>
      <c r="C14" s="1744" t="s">
        <v>2408</v>
      </c>
      <c r="D14" s="1770" t="s">
        <v>179</v>
      </c>
      <c r="E14" s="1771" t="s">
        <v>180</v>
      </c>
      <c r="F14" s="1772" t="s">
        <v>531</v>
      </c>
    </row>
    <row r="15" spans="2:6" ht="14.25">
      <c r="B15" s="3195"/>
      <c r="C15" s="1773" t="s">
        <v>2410</v>
      </c>
      <c r="D15" s="1774" t="s">
        <v>181</v>
      </c>
      <c r="E15" s="1775" t="s">
        <v>1590</v>
      </c>
      <c r="F15" s="1776" t="s">
        <v>531</v>
      </c>
    </row>
    <row r="16" spans="2:6">
      <c r="B16" s="3195"/>
      <c r="C16" s="1700" t="s">
        <v>2411</v>
      </c>
      <c r="D16" s="1774" t="s">
        <v>533</v>
      </c>
      <c r="E16" s="1775" t="s">
        <v>1590</v>
      </c>
      <c r="F16" s="1777" t="s">
        <v>2412</v>
      </c>
    </row>
    <row r="17" spans="2:6">
      <c r="B17" s="3195"/>
      <c r="C17" s="1700" t="s">
        <v>2413</v>
      </c>
      <c r="D17" s="1774" t="s">
        <v>182</v>
      </c>
      <c r="E17" s="1775" t="s">
        <v>1590</v>
      </c>
      <c r="F17" s="1777" t="s">
        <v>2412</v>
      </c>
    </row>
    <row r="18" spans="2:6">
      <c r="B18" s="3195"/>
      <c r="C18" s="1700" t="s">
        <v>2414</v>
      </c>
      <c r="D18" s="1774" t="s">
        <v>533</v>
      </c>
      <c r="E18" s="1775" t="s">
        <v>1590</v>
      </c>
      <c r="F18" s="1777" t="s">
        <v>2412</v>
      </c>
    </row>
    <row r="19" spans="2:6">
      <c r="B19" s="3195"/>
      <c r="C19" s="1774" t="s">
        <v>532</v>
      </c>
      <c r="D19" s="1774" t="s">
        <v>533</v>
      </c>
      <c r="E19" s="1775" t="s">
        <v>535</v>
      </c>
      <c r="F19" s="1777" t="s">
        <v>2412</v>
      </c>
    </row>
    <row r="20" spans="2:6">
      <c r="B20" s="3195"/>
      <c r="C20" s="1778" t="s">
        <v>532</v>
      </c>
      <c r="D20" s="1778" t="s">
        <v>533</v>
      </c>
      <c r="E20" s="1779" t="s">
        <v>1590</v>
      </c>
      <c r="F20" s="1780" t="s">
        <v>2687</v>
      </c>
    </row>
    <row r="21" spans="2:6">
      <c r="B21" s="3196"/>
      <c r="C21" s="1692" t="s">
        <v>1591</v>
      </c>
      <c r="D21" s="1693"/>
      <c r="E21" s="1694"/>
      <c r="F21" s="1695"/>
    </row>
    <row r="22" spans="2:6" ht="15">
      <c r="B22" s="3195"/>
      <c r="C22" s="1696" t="s">
        <v>2408</v>
      </c>
      <c r="D22" s="1781" t="s">
        <v>179</v>
      </c>
      <c r="E22" s="1782" t="s">
        <v>180</v>
      </c>
      <c r="F22" s="1776" t="s">
        <v>3359</v>
      </c>
    </row>
    <row r="23" spans="2:6" ht="15">
      <c r="B23" s="3195"/>
      <c r="C23" s="1773" t="s">
        <v>2410</v>
      </c>
      <c r="D23" s="1774" t="s">
        <v>181</v>
      </c>
      <c r="E23" s="1775" t="s">
        <v>1590</v>
      </c>
      <c r="F23" s="1777" t="s">
        <v>3359</v>
      </c>
    </row>
    <row r="24" spans="2:6">
      <c r="B24" s="3195"/>
      <c r="C24" s="1700" t="s">
        <v>2411</v>
      </c>
      <c r="D24" s="1774" t="s">
        <v>533</v>
      </c>
      <c r="E24" s="1775" t="s">
        <v>1590</v>
      </c>
      <c r="F24" s="1777" t="s">
        <v>3360</v>
      </c>
    </row>
    <row r="25" spans="2:6">
      <c r="B25" s="3195"/>
      <c r="C25" s="1700" t="s">
        <v>2413</v>
      </c>
      <c r="D25" s="1774" t="s">
        <v>182</v>
      </c>
      <c r="E25" s="1775" t="s">
        <v>1590</v>
      </c>
      <c r="F25" s="1777" t="s">
        <v>3360</v>
      </c>
    </row>
    <row r="26" spans="2:6">
      <c r="B26" s="3195"/>
      <c r="C26" s="1700" t="s">
        <v>2414</v>
      </c>
      <c r="D26" s="1774" t="s">
        <v>533</v>
      </c>
      <c r="E26" s="1775" t="s">
        <v>1590</v>
      </c>
      <c r="F26" s="1777" t="s">
        <v>3360</v>
      </c>
    </row>
    <row r="27" spans="2:6">
      <c r="B27" s="3195"/>
      <c r="C27" s="1783" t="s">
        <v>693</v>
      </c>
      <c r="D27" s="1774" t="s">
        <v>533</v>
      </c>
      <c r="E27" s="1775" t="s">
        <v>535</v>
      </c>
      <c r="F27" s="1777" t="s">
        <v>3360</v>
      </c>
    </row>
    <row r="28" spans="2:6">
      <c r="B28" s="3195"/>
      <c r="C28" s="1778" t="s">
        <v>532</v>
      </c>
      <c r="D28" s="1778" t="s">
        <v>533</v>
      </c>
      <c r="E28" s="1779" t="s">
        <v>1590</v>
      </c>
      <c r="F28" s="1777" t="s">
        <v>3360</v>
      </c>
    </row>
    <row r="29" spans="2:6">
      <c r="B29" s="3196"/>
      <c r="C29" s="1692" t="s">
        <v>283</v>
      </c>
      <c r="D29" s="1693"/>
      <c r="E29" s="1694"/>
      <c r="F29" s="1731"/>
    </row>
    <row r="30" spans="2:6" ht="29.25" customHeight="1">
      <c r="B30" s="3195"/>
      <c r="C30" s="1696" t="s">
        <v>284</v>
      </c>
      <c r="D30" s="1784" t="s">
        <v>183</v>
      </c>
      <c r="E30" s="1784" t="s">
        <v>183</v>
      </c>
      <c r="F30" s="1785"/>
    </row>
    <row r="31" spans="2:6" ht="29.25" customHeight="1">
      <c r="B31" s="3195"/>
      <c r="C31" s="1696" t="s">
        <v>285</v>
      </c>
      <c r="D31" s="1784" t="s">
        <v>184</v>
      </c>
      <c r="E31" s="1784" t="s">
        <v>184</v>
      </c>
      <c r="F31" s="1785"/>
    </row>
    <row r="32" spans="2:6" ht="24" customHeight="1">
      <c r="B32" s="3195"/>
      <c r="C32" s="1700" t="s">
        <v>286</v>
      </c>
      <c r="D32" s="1784" t="s">
        <v>185</v>
      </c>
      <c r="E32" s="1784" t="s">
        <v>185</v>
      </c>
      <c r="F32" s="1786"/>
    </row>
    <row r="33" spans="2:6" ht="24" customHeight="1">
      <c r="B33" s="3195"/>
      <c r="C33" s="1715" t="s">
        <v>287</v>
      </c>
      <c r="D33" s="1787" t="s">
        <v>185</v>
      </c>
      <c r="E33" s="1787" t="s">
        <v>185</v>
      </c>
      <c r="F33" s="1788"/>
    </row>
    <row r="34" spans="2:6" ht="19.5" customHeight="1">
      <c r="B34" s="1677"/>
      <c r="C34" s="1718" t="s">
        <v>317</v>
      </c>
      <c r="D34" s="1789">
        <v>10</v>
      </c>
      <c r="E34" s="1789">
        <v>10</v>
      </c>
      <c r="F34" s="1765" t="s">
        <v>2635</v>
      </c>
    </row>
    <row r="35" spans="2:6">
      <c r="B35" s="1691" t="s">
        <v>186</v>
      </c>
      <c r="C35" s="1721" t="s">
        <v>288</v>
      </c>
      <c r="D35" s="1722"/>
      <c r="E35" s="1722"/>
      <c r="F35" s="1695"/>
    </row>
    <row r="36" spans="2:6">
      <c r="B36" s="1683" t="s">
        <v>537</v>
      </c>
      <c r="C36" s="1744" t="s">
        <v>2622</v>
      </c>
      <c r="D36" s="2525"/>
      <c r="E36" s="2525"/>
      <c r="F36" s="1772"/>
    </row>
    <row r="37" spans="2:6" hidden="1">
      <c r="B37" s="1683"/>
      <c r="C37" s="1700" t="s">
        <v>2624</v>
      </c>
      <c r="D37" s="2526"/>
      <c r="E37" s="2526"/>
      <c r="F37" s="1777"/>
    </row>
    <row r="38" spans="2:6">
      <c r="B38" s="1683"/>
      <c r="C38" s="1700" t="s">
        <v>2625</v>
      </c>
      <c r="D38" s="2526"/>
      <c r="E38" s="2526"/>
      <c r="F38" s="1777"/>
    </row>
    <row r="39" spans="2:6">
      <c r="B39" s="1683"/>
      <c r="C39" s="1715" t="s">
        <v>2626</v>
      </c>
      <c r="D39" s="2527"/>
      <c r="E39" s="2527"/>
      <c r="F39" s="1796"/>
    </row>
    <row r="40" spans="2:6">
      <c r="B40" s="1691"/>
      <c r="C40" s="1721" t="s">
        <v>289</v>
      </c>
      <c r="D40" s="1722"/>
      <c r="E40" s="1722"/>
      <c r="F40" s="1695"/>
    </row>
    <row r="41" spans="2:6">
      <c r="B41" s="1683"/>
      <c r="C41" s="1744" t="s">
        <v>2622</v>
      </c>
      <c r="D41" s="2528"/>
      <c r="E41" s="2528"/>
      <c r="F41" s="2529"/>
    </row>
    <row r="42" spans="2:6">
      <c r="B42" s="1683"/>
      <c r="C42" s="1700" t="s">
        <v>2625</v>
      </c>
      <c r="D42" s="2530"/>
      <c r="E42" s="2530"/>
      <c r="F42" s="1786"/>
    </row>
    <row r="43" spans="2:6">
      <c r="B43" s="1683"/>
      <c r="C43" s="1715" t="s">
        <v>2626</v>
      </c>
      <c r="D43" s="2531"/>
      <c r="E43" s="2531"/>
      <c r="F43" s="1788"/>
    </row>
    <row r="44" spans="2:6" ht="29.25" customHeight="1">
      <c r="B44" s="1729"/>
      <c r="C44" s="1680" t="s">
        <v>644</v>
      </c>
      <c r="D44" s="1767"/>
      <c r="E44" s="1790"/>
      <c r="F44" s="1763"/>
    </row>
    <row r="45" spans="2:6">
      <c r="B45" s="1677"/>
      <c r="C45" s="1721" t="s">
        <v>317</v>
      </c>
      <c r="D45" s="1693"/>
      <c r="E45" s="1730"/>
      <c r="F45" s="1731"/>
    </row>
    <row r="46" spans="2:6" ht="29.25" customHeight="1">
      <c r="B46" s="1683"/>
      <c r="C46" s="1675" t="s">
        <v>538</v>
      </c>
      <c r="D46" s="1766">
        <v>30</v>
      </c>
      <c r="E46" s="1766">
        <v>20</v>
      </c>
      <c r="F46" s="1682" t="s">
        <v>2635</v>
      </c>
    </row>
    <row r="47" spans="2:6" ht="29.25" customHeight="1">
      <c r="B47" s="1683"/>
      <c r="C47" s="1696" t="s">
        <v>187</v>
      </c>
      <c r="D47" s="1732" t="s">
        <v>188</v>
      </c>
      <c r="E47" s="1791">
        <v>-15</v>
      </c>
      <c r="F47" s="1717" t="s">
        <v>2635</v>
      </c>
    </row>
    <row r="48" spans="2:6" ht="18.75" customHeight="1">
      <c r="B48" s="1683" t="s">
        <v>647</v>
      </c>
      <c r="C48" s="1792" t="s">
        <v>648</v>
      </c>
      <c r="D48" s="1734" t="s">
        <v>1113</v>
      </c>
      <c r="E48" s="1793"/>
      <c r="F48" s="1777"/>
    </row>
    <row r="49" spans="2:6" ht="18.75" customHeight="1">
      <c r="B49" s="1683"/>
      <c r="C49" s="1792"/>
      <c r="D49" s="1737" t="s">
        <v>1114</v>
      </c>
      <c r="E49" s="1794"/>
      <c r="F49" s="1777"/>
    </row>
    <row r="50" spans="2:6" ht="18.75" customHeight="1">
      <c r="B50" s="1683"/>
      <c r="C50" s="1792"/>
      <c r="D50" s="1738" t="s">
        <v>1115</v>
      </c>
      <c r="E50" s="1793"/>
      <c r="F50" s="1777"/>
    </row>
    <row r="51" spans="2:6" ht="18.75" customHeight="1">
      <c r="B51" s="1683"/>
      <c r="C51" s="1729"/>
      <c r="D51" s="1741" t="s">
        <v>1116</v>
      </c>
      <c r="E51" s="1795"/>
      <c r="F51" s="1796"/>
    </row>
    <row r="52" spans="2:6" ht="30.75" customHeight="1">
      <c r="B52" s="1683"/>
      <c r="C52" s="1792" t="s">
        <v>545</v>
      </c>
      <c r="D52" s="1745" t="s">
        <v>544</v>
      </c>
      <c r="E52" s="1794">
        <v>-25</v>
      </c>
      <c r="F52" s="1717" t="s">
        <v>2635</v>
      </c>
    </row>
    <row r="53" spans="2:6" ht="29.25" customHeight="1">
      <c r="B53" s="1683"/>
      <c r="C53" s="1705" t="s">
        <v>648</v>
      </c>
      <c r="D53" s="1746" t="s">
        <v>2213</v>
      </c>
      <c r="E53" s="1793"/>
      <c r="F53" s="1777"/>
    </row>
    <row r="54" spans="2:6" ht="29.25" customHeight="1">
      <c r="B54" s="1683"/>
      <c r="C54" s="1683"/>
      <c r="D54" s="1746" t="s">
        <v>794</v>
      </c>
      <c r="E54" s="1793"/>
      <c r="F54" s="1777"/>
    </row>
    <row r="55" spans="2:6" ht="24" customHeight="1">
      <c r="B55" s="1683"/>
      <c r="C55" s="1683"/>
      <c r="D55" s="1746" t="s">
        <v>795</v>
      </c>
      <c r="E55" s="1793"/>
      <c r="F55" s="1777"/>
    </row>
    <row r="56" spans="2:6" ht="29.25" customHeight="1">
      <c r="B56" s="1683"/>
      <c r="C56" s="1683"/>
      <c r="D56" s="1746" t="s">
        <v>796</v>
      </c>
      <c r="E56" s="1793"/>
      <c r="F56" s="1777"/>
    </row>
    <row r="57" spans="2:6" ht="30" hidden="1" customHeight="1">
      <c r="B57" s="1683"/>
      <c r="C57" s="1729"/>
      <c r="D57" s="1748"/>
      <c r="E57" s="1793" t="e">
        <f>E80</f>
        <v>#VALUE!</v>
      </c>
      <c r="F57" s="1777" t="s">
        <v>2635</v>
      </c>
    </row>
    <row r="58" spans="2:6" ht="42.75" customHeight="1">
      <c r="B58" s="1717"/>
      <c r="C58" s="1680" t="s">
        <v>1117</v>
      </c>
      <c r="D58" s="1767" t="s">
        <v>797</v>
      </c>
      <c r="E58" s="1767" t="s">
        <v>797</v>
      </c>
      <c r="F58" s="1763"/>
    </row>
    <row r="59" spans="2:6" ht="18.75" customHeight="1">
      <c r="B59" s="1717"/>
      <c r="C59" s="1718" t="s">
        <v>437</v>
      </c>
      <c r="D59" s="1797" t="s">
        <v>798</v>
      </c>
      <c r="E59" s="1797" t="s">
        <v>798</v>
      </c>
      <c r="F59" s="1798" t="s">
        <v>2865</v>
      </c>
    </row>
    <row r="60" spans="2:6">
      <c r="B60" s="1717"/>
      <c r="C60" s="913" t="s">
        <v>1015</v>
      </c>
      <c r="D60" s="1722"/>
      <c r="E60" s="1722"/>
      <c r="F60" s="1731"/>
    </row>
    <row r="61" spans="2:6">
      <c r="B61" s="1717"/>
      <c r="C61" s="1751" t="s">
        <v>2752</v>
      </c>
      <c r="D61" s="1799" t="s">
        <v>799</v>
      </c>
      <c r="E61" s="1799" t="s">
        <v>646</v>
      </c>
      <c r="F61" s="1776" t="s">
        <v>173</v>
      </c>
    </row>
    <row r="62" spans="2:6" ht="14.25">
      <c r="B62" s="1717"/>
      <c r="C62" s="1751" t="s">
        <v>2753</v>
      </c>
      <c r="D62" s="1800" t="s">
        <v>799</v>
      </c>
      <c r="E62" s="1800" t="s">
        <v>646</v>
      </c>
      <c r="F62" s="1777" t="s">
        <v>176</v>
      </c>
    </row>
    <row r="63" spans="2:6">
      <c r="B63" s="1717"/>
      <c r="C63" s="1754" t="s">
        <v>2689</v>
      </c>
      <c r="D63" s="1800" t="s">
        <v>799</v>
      </c>
      <c r="E63" s="1800" t="s">
        <v>646</v>
      </c>
      <c r="F63" s="1777" t="s">
        <v>174</v>
      </c>
    </row>
    <row r="64" spans="2:6" ht="14.25">
      <c r="B64" s="1717"/>
      <c r="C64" s="1754" t="s">
        <v>175</v>
      </c>
      <c r="D64" s="1800" t="s">
        <v>800</v>
      </c>
      <c r="E64" s="1800" t="s">
        <v>646</v>
      </c>
      <c r="F64" s="1777" t="s">
        <v>176</v>
      </c>
    </row>
    <row r="65" spans="2:6" ht="24">
      <c r="B65" s="1717"/>
      <c r="C65" s="1801" t="s">
        <v>2685</v>
      </c>
      <c r="D65" s="1802" t="s">
        <v>306</v>
      </c>
      <c r="E65" s="1802" t="s">
        <v>646</v>
      </c>
      <c r="F65" s="1796" t="s">
        <v>176</v>
      </c>
    </row>
    <row r="66" spans="2:6">
      <c r="B66" s="1683"/>
      <c r="C66" s="1759" t="s">
        <v>2686</v>
      </c>
      <c r="D66" s="1760"/>
      <c r="E66" s="1760"/>
      <c r="F66" s="1761"/>
    </row>
    <row r="67" spans="2:6">
      <c r="B67" s="1683"/>
      <c r="C67" s="1723"/>
      <c r="D67" s="1760"/>
      <c r="E67" s="1760"/>
      <c r="F67" s="1761"/>
    </row>
    <row r="68" spans="2:6">
      <c r="B68" s="3200" t="s">
        <v>355</v>
      </c>
      <c r="C68" s="3197"/>
      <c r="D68" s="3197"/>
      <c r="E68" s="3197"/>
      <c r="F68" s="3197"/>
    </row>
    <row r="69" spans="2:6">
      <c r="B69" s="3200"/>
      <c r="C69" s="3198"/>
      <c r="D69" s="3198"/>
      <c r="E69" s="3198"/>
      <c r="F69" s="3198"/>
    </row>
    <row r="70" spans="2:6">
      <c r="B70" s="3200"/>
      <c r="C70" s="3198"/>
      <c r="D70" s="3198"/>
      <c r="E70" s="3198"/>
      <c r="F70" s="3198"/>
    </row>
    <row r="71" spans="2:6">
      <c r="B71" s="3200"/>
      <c r="C71" s="3199"/>
      <c r="D71" s="3199"/>
      <c r="E71" s="3199"/>
      <c r="F71" s="3199"/>
    </row>
    <row r="72" spans="2:6"/>
    <row r="73" spans="2:6">
      <c r="B73" t="s">
        <v>694</v>
      </c>
    </row>
    <row r="74" spans="2:6">
      <c r="B74" s="1677"/>
      <c r="C74" s="1692" t="s">
        <v>722</v>
      </c>
      <c r="D74" s="1693"/>
      <c r="E74" s="1694"/>
      <c r="F74" s="1695"/>
    </row>
    <row r="75" spans="2:6">
      <c r="B75" s="1683"/>
      <c r="C75" s="1705" t="s">
        <v>721</v>
      </c>
      <c r="D75" s="1701" t="s">
        <v>801</v>
      </c>
      <c r="E75" s="1803" t="e">
        <f>(計画書!I43+計画書!M43+計画書!N43)/CO2データ!J96*1000</f>
        <v>#VALUE!</v>
      </c>
      <c r="F75" s="1704" t="s">
        <v>802</v>
      </c>
    </row>
    <row r="76" spans="2:6">
      <c r="B76" s="1683" t="s">
        <v>726</v>
      </c>
      <c r="C76" s="1683"/>
      <c r="D76" s="1701" t="s">
        <v>803</v>
      </c>
      <c r="E76" s="1803">
        <f>-((計画書!I41-計画書!I42)+(計画書!M41-計画書!M42)+(計画書!N41-計画書!N42))/CO2データ!J96*1000</f>
        <v>0</v>
      </c>
      <c r="F76" s="1704" t="s">
        <v>804</v>
      </c>
    </row>
    <row r="77" spans="2:6">
      <c r="B77" s="1683" t="s">
        <v>805</v>
      </c>
      <c r="C77" s="1696"/>
      <c r="D77" s="1701" t="s">
        <v>806</v>
      </c>
      <c r="E77" s="1803" t="e">
        <f>E75-E76</f>
        <v>#VALUE!</v>
      </c>
      <c r="F77" s="1704" t="s">
        <v>804</v>
      </c>
    </row>
    <row r="78" spans="2:6">
      <c r="B78" s="1683"/>
      <c r="C78" s="1705" t="s">
        <v>2295</v>
      </c>
      <c r="D78" s="1701" t="s">
        <v>2089</v>
      </c>
      <c r="E78" s="1702" t="e">
        <f>E75*E81/E$6</f>
        <v>#VALUE!</v>
      </c>
      <c r="F78" s="1804" t="s">
        <v>2635</v>
      </c>
    </row>
    <row r="79" spans="2:6">
      <c r="B79" s="1683"/>
      <c r="C79" s="1683"/>
      <c r="D79" s="1701" t="s">
        <v>803</v>
      </c>
      <c r="E79" s="1702" t="e">
        <f>E78-E80</f>
        <v>#VALUE!</v>
      </c>
      <c r="F79" s="1804" t="s">
        <v>2635</v>
      </c>
    </row>
    <row r="80" spans="2:6">
      <c r="B80" s="1683"/>
      <c r="C80" s="1696"/>
      <c r="D80" s="1701" t="s">
        <v>806</v>
      </c>
      <c r="E80" s="1702" t="e">
        <f>E77*E82/E$6</f>
        <v>#VALUE!</v>
      </c>
      <c r="F80" s="1804" t="s">
        <v>2635</v>
      </c>
    </row>
    <row r="81" spans="2:6" hidden="1">
      <c r="B81" s="1683"/>
      <c r="C81" s="1705" t="s">
        <v>2296</v>
      </c>
      <c r="D81" s="1701" t="s">
        <v>2090</v>
      </c>
      <c r="E81" s="1805" t="e">
        <f>CO2データ!I95</f>
        <v>#VALUE!</v>
      </c>
      <c r="F81" s="1804" t="s">
        <v>1064</v>
      </c>
    </row>
    <row r="82" spans="2:6" hidden="1">
      <c r="B82" s="1683"/>
      <c r="C82" s="1683"/>
      <c r="D82" s="1701" t="s">
        <v>1065</v>
      </c>
      <c r="E82" s="1805" t="e">
        <f>CO2データ!I95</f>
        <v>#VALUE!</v>
      </c>
      <c r="F82" s="1804" t="s">
        <v>1064</v>
      </c>
    </row>
    <row r="83" spans="2:6" hidden="1">
      <c r="B83" s="1683"/>
      <c r="C83" s="1696"/>
      <c r="D83" s="1701" t="s">
        <v>1316</v>
      </c>
      <c r="E83" s="1702" t="s">
        <v>1173</v>
      </c>
      <c r="F83" s="1704"/>
    </row>
    <row r="84" spans="2:6">
      <c r="B84" s="1683"/>
      <c r="C84" s="1692" t="s">
        <v>1174</v>
      </c>
      <c r="D84" s="1693"/>
      <c r="E84" s="1694"/>
      <c r="F84" s="1695"/>
    </row>
    <row r="85" spans="2:6">
      <c r="B85" s="1683"/>
      <c r="C85" s="1806" t="s">
        <v>2120</v>
      </c>
      <c r="D85" s="1697"/>
      <c r="E85" s="1807" t="e">
        <f>(CO2計算!I125*計画書!T94+CO2計算!I127*CO2データ!N169+CO2計算!I126*CO2データ!N168)/CO2データ!J96*1000</f>
        <v>#VALUE!</v>
      </c>
      <c r="F85" s="1703" t="s">
        <v>802</v>
      </c>
    </row>
    <row r="86" spans="2:6">
      <c r="B86" s="1683"/>
      <c r="C86" s="1705" t="s">
        <v>1744</v>
      </c>
      <c r="D86" s="1701" t="s">
        <v>1175</v>
      </c>
      <c r="E86" s="1805" t="e">
        <f>係数!D5*1000</f>
        <v>#VALUE!</v>
      </c>
      <c r="F86" s="1804" t="s">
        <v>2121</v>
      </c>
    </row>
    <row r="87" spans="2:6">
      <c r="B87" s="1683"/>
      <c r="C87" s="1696"/>
      <c r="D87" s="1701" t="s">
        <v>1080</v>
      </c>
      <c r="E87" s="1805" t="e">
        <f>係数!J50*1000</f>
        <v>#VALUE!</v>
      </c>
      <c r="F87" s="1804" t="s">
        <v>1064</v>
      </c>
    </row>
    <row r="88" spans="2:6">
      <c r="B88" s="1683"/>
      <c r="C88" s="1705" t="s">
        <v>2122</v>
      </c>
      <c r="D88" s="1808" t="s">
        <v>2596</v>
      </c>
      <c r="E88" s="1809" t="e">
        <f>E85*(E86-E87)</f>
        <v>#VALUE!</v>
      </c>
      <c r="F88" s="1804" t="s">
        <v>438</v>
      </c>
    </row>
    <row r="89" spans="2:6">
      <c r="B89" s="1729"/>
      <c r="C89" s="1729"/>
      <c r="D89" s="1810" t="s">
        <v>1176</v>
      </c>
      <c r="E89" s="1811" t="e">
        <f>E88/E6</f>
        <v>#VALUE!</v>
      </c>
      <c r="F89" s="1758" t="s">
        <v>2635</v>
      </c>
    </row>
    <row r="90" spans="2:6"/>
  </sheetData>
  <sheetProtection password="B4B8" sheet="1" objects="1" scenarios="1"/>
  <mergeCells count="7">
    <mergeCell ref="D68:D71"/>
    <mergeCell ref="E68:E71"/>
    <mergeCell ref="F68:F71"/>
    <mergeCell ref="B4:C4"/>
    <mergeCell ref="B10:B33"/>
    <mergeCell ref="B68:B71"/>
    <mergeCell ref="C68:C71"/>
  </mergeCells>
  <phoneticPr fontId="21"/>
  <printOptions horizontalCentered="1"/>
  <pageMargins left="0.59055118110236227" right="0.59055118110236227" top="0.78740157480314965" bottom="0.59055118110236227" header="0.51181102362204722" footer="0.51181102362204722"/>
  <pageSetup paperSize="9" scale="64" fitToHeight="2" orientation="portrait" verticalDpi="300" r:id="rId1"/>
  <headerFooter alignWithMargins="0">
    <oddHeader>&amp;L&amp;F&amp;R&amp;A</oddHeader>
    <oddFooter>&amp;C&amp;P/&amp;N</oddFooter>
  </headerFooter>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pageSetUpPr fitToPage="1"/>
  </sheetPr>
  <dimension ref="A1:AA278"/>
  <sheetViews>
    <sheetView showGridLines="0" zoomScaleNormal="100" zoomScaleSheetLayoutView="100" workbookViewId="0">
      <selection activeCell="D190" sqref="D190"/>
    </sheetView>
  </sheetViews>
  <sheetFormatPr defaultColWidth="0" defaultRowHeight="13.5" zeroHeight="1"/>
  <cols>
    <col min="1" max="2" width="1.5" customWidth="1"/>
    <col min="3" max="3" width="5.375" customWidth="1"/>
    <col min="4" max="4" width="11" customWidth="1"/>
    <col min="5" max="5" width="12.875" customWidth="1"/>
    <col min="6" max="6" width="10.125" customWidth="1"/>
    <col min="7" max="8" width="10.125" hidden="1" customWidth="1"/>
    <col min="9" max="9" width="10.125" customWidth="1"/>
    <col min="10" max="17" width="11.25" customWidth="1"/>
    <col min="18" max="18" width="11.375" customWidth="1"/>
    <col min="19" max="19" width="2.5" customWidth="1"/>
    <col min="20" max="20" width="9.25" hidden="1" customWidth="1"/>
    <col min="21" max="21" width="12.75" hidden="1" customWidth="1"/>
    <col min="22" max="27" width="5.875" hidden="1" customWidth="1"/>
    <col min="28" max="16384" width="9" hidden="1"/>
  </cols>
  <sheetData>
    <row r="1" spans="2:17" ht="14.25">
      <c r="B1" s="1605" t="s">
        <v>518</v>
      </c>
    </row>
    <row r="2" spans="2:17" ht="4.5" customHeight="1"/>
    <row r="3" spans="2:17">
      <c r="C3" s="1606" t="s">
        <v>2800</v>
      </c>
      <c r="D3" s="1607"/>
      <c r="E3" s="1608"/>
      <c r="F3" s="1608"/>
      <c r="G3" s="1608"/>
      <c r="H3" s="1608"/>
      <c r="I3" s="1609" t="s">
        <v>318</v>
      </c>
      <c r="J3" s="1610"/>
      <c r="K3" s="1610"/>
      <c r="L3" s="1611"/>
      <c r="M3" s="1611"/>
      <c r="N3" s="1611"/>
      <c r="O3" s="1611"/>
      <c r="P3" s="1611"/>
      <c r="Q3" s="1612"/>
    </row>
    <row r="4" spans="2:17">
      <c r="C4" s="1613"/>
      <c r="D4" s="1614" t="s">
        <v>2801</v>
      </c>
      <c r="E4" s="1613"/>
      <c r="F4" s="1613"/>
      <c r="G4" s="1613"/>
      <c r="H4" s="1613"/>
      <c r="I4" s="1615" t="s">
        <v>2802</v>
      </c>
      <c r="J4" s="1611" t="s">
        <v>772</v>
      </c>
      <c r="K4" s="1616"/>
      <c r="L4" s="1615" t="s">
        <v>769</v>
      </c>
      <c r="M4" s="1611"/>
      <c r="N4" s="1616"/>
      <c r="O4" s="1615" t="s">
        <v>771</v>
      </c>
      <c r="P4" s="1611"/>
      <c r="Q4" s="1616"/>
    </row>
    <row r="5" spans="2:17">
      <c r="C5" s="1617" t="s">
        <v>419</v>
      </c>
      <c r="D5" s="1618"/>
      <c r="E5" s="1619"/>
      <c r="F5" s="1620"/>
      <c r="G5" s="1621"/>
      <c r="H5" s="1621"/>
      <c r="I5" s="1622" t="s">
        <v>2306</v>
      </c>
      <c r="J5" s="1622" t="s">
        <v>2307</v>
      </c>
      <c r="K5" s="1622" t="s">
        <v>2308</v>
      </c>
      <c r="L5" s="1622" t="s">
        <v>2306</v>
      </c>
      <c r="M5" s="1622" t="s">
        <v>2307</v>
      </c>
      <c r="N5" s="1622" t="s">
        <v>2308</v>
      </c>
      <c r="O5" s="1622" t="s">
        <v>2306</v>
      </c>
      <c r="P5" s="1622" t="s">
        <v>2307</v>
      </c>
      <c r="Q5" s="1622" t="s">
        <v>2308</v>
      </c>
    </row>
    <row r="6" spans="2:17" hidden="1">
      <c r="C6" s="1623"/>
      <c r="D6" s="1624"/>
      <c r="E6" s="1623"/>
      <c r="F6" s="1623"/>
      <c r="G6" s="1625">
        <v>1</v>
      </c>
      <c r="H6" s="1625"/>
      <c r="I6" s="1621">
        <v>3</v>
      </c>
      <c r="J6" s="1621">
        <v>4</v>
      </c>
      <c r="K6" s="1621">
        <v>5</v>
      </c>
      <c r="L6" s="1621">
        <v>6</v>
      </c>
      <c r="M6" s="1621">
        <v>7</v>
      </c>
      <c r="N6" s="1621">
        <v>8</v>
      </c>
      <c r="O6" s="1621">
        <v>9</v>
      </c>
      <c r="P6" s="1621">
        <v>10</v>
      </c>
      <c r="Q6" s="1621">
        <v>11</v>
      </c>
    </row>
    <row r="7" spans="2:17">
      <c r="C7" s="1626" t="s">
        <v>461</v>
      </c>
      <c r="D7" s="1627"/>
      <c r="E7" s="1619"/>
      <c r="F7" s="1620"/>
      <c r="G7" s="1625">
        <v>10</v>
      </c>
      <c r="H7" s="1625"/>
      <c r="I7" s="1628">
        <v>14.004999999999999</v>
      </c>
      <c r="J7" s="1628">
        <v>14.004999999999999</v>
      </c>
      <c r="K7" s="1628">
        <v>14.004999999999999</v>
      </c>
      <c r="L7" s="1628">
        <v>13.23</v>
      </c>
      <c r="M7" s="1628">
        <v>13.23</v>
      </c>
      <c r="N7" s="1628">
        <v>13.23</v>
      </c>
      <c r="O7" s="1628">
        <v>13.998000000000001</v>
      </c>
      <c r="P7" s="1628">
        <v>13.998000000000001</v>
      </c>
      <c r="Q7" s="1628">
        <v>13.998000000000001</v>
      </c>
    </row>
    <row r="8" spans="2:17">
      <c r="C8" s="1629"/>
      <c r="D8" s="913" t="s">
        <v>2406</v>
      </c>
      <c r="E8" s="913"/>
      <c r="F8" s="1630">
        <v>1</v>
      </c>
      <c r="G8" s="1625">
        <v>11</v>
      </c>
      <c r="H8" s="1625"/>
      <c r="I8" s="1631">
        <v>6.4519999999999991</v>
      </c>
      <c r="J8" s="1631">
        <v>6.4519999999999991</v>
      </c>
      <c r="K8" s="1631">
        <v>6.4519999999999991</v>
      </c>
      <c r="L8" s="1631">
        <v>6.6009999999999991</v>
      </c>
      <c r="M8" s="1631">
        <v>6.6009999999999991</v>
      </c>
      <c r="N8" s="1631">
        <v>6.6009999999999991</v>
      </c>
      <c r="O8" s="1631">
        <v>6.5150000000000006</v>
      </c>
      <c r="P8" s="1631">
        <v>6.5150000000000006</v>
      </c>
      <c r="Q8" s="1631">
        <v>6.5150000000000006</v>
      </c>
    </row>
    <row r="9" spans="2:17">
      <c r="C9" s="1629"/>
      <c r="D9" s="913" t="s">
        <v>2407</v>
      </c>
      <c r="E9" s="913"/>
      <c r="F9" s="1630">
        <v>1</v>
      </c>
      <c r="G9" s="1632">
        <v>12</v>
      </c>
      <c r="H9" s="1632"/>
      <c r="I9" s="1631">
        <v>13.42</v>
      </c>
      <c r="J9" s="1631">
        <v>13.42</v>
      </c>
      <c r="K9" s="1631">
        <v>13.42</v>
      </c>
      <c r="L9" s="1631">
        <v>12.416</v>
      </c>
      <c r="M9" s="1631">
        <v>12.416</v>
      </c>
      <c r="N9" s="1631">
        <v>12.416</v>
      </c>
      <c r="O9" s="1631">
        <v>13.272</v>
      </c>
      <c r="P9" s="1631">
        <v>13.272</v>
      </c>
      <c r="Q9" s="1631">
        <v>13.272</v>
      </c>
    </row>
    <row r="10" spans="2:17" hidden="1">
      <c r="C10" s="1633"/>
      <c r="D10" s="1635" t="s">
        <v>2803</v>
      </c>
      <c r="E10" s="1635"/>
      <c r="F10" s="1636"/>
      <c r="G10" s="1637">
        <v>13</v>
      </c>
      <c r="H10" s="1637">
        <f>CO2計算!$F$21</f>
        <v>0</v>
      </c>
      <c r="I10" s="1631">
        <f>(I7-I8)*$H10</f>
        <v>0</v>
      </c>
      <c r="J10" s="1631">
        <f t="shared" ref="J10:Q10" si="0">(J7-J8)*$H10</f>
        <v>0</v>
      </c>
      <c r="K10" s="1631">
        <f t="shared" si="0"/>
        <v>0</v>
      </c>
      <c r="L10" s="1631">
        <f t="shared" si="0"/>
        <v>0</v>
      </c>
      <c r="M10" s="1631">
        <f t="shared" si="0"/>
        <v>0</v>
      </c>
      <c r="N10" s="1631">
        <f t="shared" si="0"/>
        <v>0</v>
      </c>
      <c r="O10" s="1631">
        <f t="shared" si="0"/>
        <v>0</v>
      </c>
      <c r="P10" s="1631">
        <f t="shared" si="0"/>
        <v>0</v>
      </c>
      <c r="Q10" s="1631">
        <f t="shared" si="0"/>
        <v>0</v>
      </c>
    </row>
    <row r="11" spans="2:17" hidden="1">
      <c r="C11" s="1633"/>
      <c r="D11" s="1635" t="s">
        <v>2804</v>
      </c>
      <c r="E11" s="1635"/>
      <c r="F11" s="1636"/>
      <c r="G11" s="1638">
        <v>14</v>
      </c>
      <c r="H11" s="1637">
        <f>CO2計算!$F$22</f>
        <v>0</v>
      </c>
      <c r="I11" s="1631">
        <f t="shared" ref="I11:Q11" si="1">(I7-I9)*$H11</f>
        <v>0</v>
      </c>
      <c r="J11" s="1631">
        <f t="shared" si="1"/>
        <v>0</v>
      </c>
      <c r="K11" s="1631">
        <f t="shared" si="1"/>
        <v>0</v>
      </c>
      <c r="L11" s="1631">
        <f t="shared" si="1"/>
        <v>0</v>
      </c>
      <c r="M11" s="1631">
        <f t="shared" si="1"/>
        <v>0</v>
      </c>
      <c r="N11" s="1631">
        <f t="shared" si="1"/>
        <v>0</v>
      </c>
      <c r="O11" s="1631">
        <f t="shared" si="1"/>
        <v>0</v>
      </c>
      <c r="P11" s="1631">
        <f t="shared" si="1"/>
        <v>0</v>
      </c>
      <c r="Q11" s="1631">
        <f t="shared" si="1"/>
        <v>0</v>
      </c>
    </row>
    <row r="12" spans="2:17" hidden="1">
      <c r="C12" s="1639"/>
      <c r="D12" s="1635" t="s">
        <v>479</v>
      </c>
      <c r="E12" s="1635"/>
      <c r="F12" s="1636"/>
      <c r="G12" s="1641">
        <v>15</v>
      </c>
      <c r="H12" s="1641"/>
      <c r="I12" s="1631">
        <f t="shared" ref="I12:Q12" si="2">I7-I10-I11</f>
        <v>14.004999999999999</v>
      </c>
      <c r="J12" s="1631">
        <f t="shared" si="2"/>
        <v>14.004999999999999</v>
      </c>
      <c r="K12" s="1631">
        <f t="shared" si="2"/>
        <v>14.004999999999999</v>
      </c>
      <c r="L12" s="1631">
        <f t="shared" si="2"/>
        <v>13.23</v>
      </c>
      <c r="M12" s="1631">
        <f t="shared" si="2"/>
        <v>13.23</v>
      </c>
      <c r="N12" s="1631">
        <f t="shared" si="2"/>
        <v>13.23</v>
      </c>
      <c r="O12" s="1631">
        <f t="shared" si="2"/>
        <v>13.998000000000001</v>
      </c>
      <c r="P12" s="1631">
        <f t="shared" si="2"/>
        <v>13.998000000000001</v>
      </c>
      <c r="Q12" s="1631">
        <f t="shared" si="2"/>
        <v>13.998000000000001</v>
      </c>
    </row>
    <row r="13" spans="2:17">
      <c r="C13" s="1626" t="s">
        <v>1772</v>
      </c>
      <c r="D13" s="1619"/>
      <c r="E13" s="1619"/>
      <c r="F13" s="1620"/>
      <c r="G13" s="1625">
        <f t="shared" ref="G13:G60" si="3">G7+10</f>
        <v>20</v>
      </c>
      <c r="H13" s="1625"/>
      <c r="I13" s="1628">
        <v>10.473000000000001</v>
      </c>
      <c r="J13" s="1628">
        <v>10.473000000000001</v>
      </c>
      <c r="K13" s="1628">
        <v>10.473000000000001</v>
      </c>
      <c r="L13" s="1628">
        <v>11.762999999999998</v>
      </c>
      <c r="M13" s="1628">
        <v>11.762999999999998</v>
      </c>
      <c r="N13" s="1628">
        <v>11.762999999999998</v>
      </c>
      <c r="O13" s="1628">
        <v>14.002000000000002</v>
      </c>
      <c r="P13" s="1628">
        <v>14.002000000000002</v>
      </c>
      <c r="Q13" s="1628">
        <v>14.002000000000002</v>
      </c>
    </row>
    <row r="14" spans="2:17">
      <c r="C14" s="1629"/>
      <c r="D14" s="913" t="s">
        <v>2406</v>
      </c>
      <c r="E14" s="913"/>
      <c r="F14" s="1630">
        <v>1</v>
      </c>
      <c r="G14" s="1625">
        <f t="shared" si="3"/>
        <v>21</v>
      </c>
      <c r="H14" s="1625"/>
      <c r="I14" s="1631">
        <v>5.2279999999999998</v>
      </c>
      <c r="J14" s="1631">
        <v>5.2279999999999998</v>
      </c>
      <c r="K14" s="1631">
        <v>5.2279999999999998</v>
      </c>
      <c r="L14" s="1631">
        <v>5.3689999999999998</v>
      </c>
      <c r="M14" s="1631">
        <v>5.3689999999999998</v>
      </c>
      <c r="N14" s="1631">
        <v>5.3689999999999998</v>
      </c>
      <c r="O14" s="1631">
        <v>5.2780000000000005</v>
      </c>
      <c r="P14" s="1631">
        <v>5.2780000000000005</v>
      </c>
      <c r="Q14" s="1631">
        <v>5.2780000000000005</v>
      </c>
    </row>
    <row r="15" spans="2:17">
      <c r="C15" s="1629"/>
      <c r="D15" s="913" t="s">
        <v>2407</v>
      </c>
      <c r="E15" s="913"/>
      <c r="F15" s="1630">
        <v>1</v>
      </c>
      <c r="G15" s="1625">
        <f t="shared" si="3"/>
        <v>22</v>
      </c>
      <c r="H15" s="1632"/>
      <c r="I15" s="1631">
        <v>10.11</v>
      </c>
      <c r="J15" s="1631">
        <v>10.11</v>
      </c>
      <c r="K15" s="1631">
        <v>10.11</v>
      </c>
      <c r="L15" s="1631">
        <v>10.846</v>
      </c>
      <c r="M15" s="1631">
        <v>10.846</v>
      </c>
      <c r="N15" s="1631">
        <v>10.846</v>
      </c>
      <c r="O15" s="1631">
        <v>13.005000000000001</v>
      </c>
      <c r="P15" s="1631">
        <v>13.005000000000001</v>
      </c>
      <c r="Q15" s="1631">
        <v>13.005000000000001</v>
      </c>
    </row>
    <row r="16" spans="2:17" hidden="1">
      <c r="C16" s="1633"/>
      <c r="D16" s="1635" t="s">
        <v>2803</v>
      </c>
      <c r="E16" s="1635"/>
      <c r="F16" s="1636"/>
      <c r="G16" s="1625">
        <f t="shared" si="3"/>
        <v>23</v>
      </c>
      <c r="H16" s="1637">
        <f>CO2計算!$F$21</f>
        <v>0</v>
      </c>
      <c r="I16" s="1631">
        <f>(I13-I14)*$H16</f>
        <v>0</v>
      </c>
      <c r="J16" s="1631">
        <f t="shared" ref="J16:Q16" si="4">(J13-J14)*$H16</f>
        <v>0</v>
      </c>
      <c r="K16" s="1631">
        <f t="shared" si="4"/>
        <v>0</v>
      </c>
      <c r="L16" s="1631">
        <f t="shared" si="4"/>
        <v>0</v>
      </c>
      <c r="M16" s="1631">
        <f t="shared" si="4"/>
        <v>0</v>
      </c>
      <c r="N16" s="1631">
        <f t="shared" si="4"/>
        <v>0</v>
      </c>
      <c r="O16" s="1631">
        <f t="shared" si="4"/>
        <v>0</v>
      </c>
      <c r="P16" s="1631">
        <f t="shared" si="4"/>
        <v>0</v>
      </c>
      <c r="Q16" s="1631">
        <f t="shared" si="4"/>
        <v>0</v>
      </c>
    </row>
    <row r="17" spans="3:17" hidden="1">
      <c r="C17" s="1633"/>
      <c r="D17" s="1635" t="s">
        <v>2804</v>
      </c>
      <c r="E17" s="1635"/>
      <c r="F17" s="1636"/>
      <c r="G17" s="1625">
        <f t="shared" si="3"/>
        <v>24</v>
      </c>
      <c r="H17" s="1637">
        <f>CO2計算!$F$22</f>
        <v>0</v>
      </c>
      <c r="I17" s="1631">
        <f t="shared" ref="I17:Q17" si="5">(I13-I15)*$H17</f>
        <v>0</v>
      </c>
      <c r="J17" s="1631">
        <f t="shared" si="5"/>
        <v>0</v>
      </c>
      <c r="K17" s="1631">
        <f t="shared" si="5"/>
        <v>0</v>
      </c>
      <c r="L17" s="1631">
        <f t="shared" si="5"/>
        <v>0</v>
      </c>
      <c r="M17" s="1631">
        <f t="shared" si="5"/>
        <v>0</v>
      </c>
      <c r="N17" s="1631">
        <f t="shared" si="5"/>
        <v>0</v>
      </c>
      <c r="O17" s="1631">
        <f t="shared" si="5"/>
        <v>0</v>
      </c>
      <c r="P17" s="1631">
        <f t="shared" si="5"/>
        <v>0</v>
      </c>
      <c r="Q17" s="1631">
        <f t="shared" si="5"/>
        <v>0</v>
      </c>
    </row>
    <row r="18" spans="3:17" hidden="1">
      <c r="C18" s="1639"/>
      <c r="D18" s="1635" t="s">
        <v>479</v>
      </c>
      <c r="E18" s="1635"/>
      <c r="F18" s="1636"/>
      <c r="G18" s="1625">
        <f t="shared" si="3"/>
        <v>25</v>
      </c>
      <c r="H18" s="1641"/>
      <c r="I18" s="1631">
        <f t="shared" ref="I18:Q18" si="6">I13-I16-I17</f>
        <v>10.473000000000001</v>
      </c>
      <c r="J18" s="1631">
        <f t="shared" si="6"/>
        <v>10.473000000000001</v>
      </c>
      <c r="K18" s="1631">
        <f t="shared" si="6"/>
        <v>10.473000000000001</v>
      </c>
      <c r="L18" s="1631">
        <f t="shared" si="6"/>
        <v>11.762999999999998</v>
      </c>
      <c r="M18" s="1631">
        <f t="shared" si="6"/>
        <v>11.762999999999998</v>
      </c>
      <c r="N18" s="1631">
        <f t="shared" si="6"/>
        <v>11.762999999999998</v>
      </c>
      <c r="O18" s="1631">
        <f t="shared" si="6"/>
        <v>14.002000000000002</v>
      </c>
      <c r="P18" s="1631">
        <f t="shared" si="6"/>
        <v>14.002000000000002</v>
      </c>
      <c r="Q18" s="1631">
        <f t="shared" si="6"/>
        <v>14.002000000000002</v>
      </c>
    </row>
    <row r="19" spans="3:17">
      <c r="C19" s="1626" t="s">
        <v>1963</v>
      </c>
      <c r="D19" s="1619"/>
      <c r="E19" s="1619"/>
      <c r="F19" s="1620"/>
      <c r="G19" s="1625">
        <f t="shared" si="3"/>
        <v>30</v>
      </c>
      <c r="H19" s="1625"/>
      <c r="I19" s="1628">
        <v>16.572000000000003</v>
      </c>
      <c r="J19" s="1628">
        <v>16.572000000000003</v>
      </c>
      <c r="K19" s="1628">
        <v>16.572000000000003</v>
      </c>
      <c r="L19" s="1628">
        <v>22.385999999999999</v>
      </c>
      <c r="M19" s="1628">
        <v>22.385999999999999</v>
      </c>
      <c r="N19" s="1628">
        <v>22.385999999999999</v>
      </c>
      <c r="O19" s="1628">
        <v>16.960999999999999</v>
      </c>
      <c r="P19" s="1628">
        <v>16.960999999999999</v>
      </c>
      <c r="Q19" s="1628">
        <v>16.960999999999999</v>
      </c>
    </row>
    <row r="20" spans="3:17">
      <c r="C20" s="1629"/>
      <c r="D20" s="913" t="s">
        <v>2406</v>
      </c>
      <c r="E20" s="913"/>
      <c r="F20" s="1630">
        <v>1</v>
      </c>
      <c r="G20" s="1625">
        <f t="shared" si="3"/>
        <v>31</v>
      </c>
      <c r="H20" s="1625"/>
      <c r="I20" s="1631">
        <v>8.4039999999999999</v>
      </c>
      <c r="J20" s="1631">
        <v>8.4039999999999999</v>
      </c>
      <c r="K20" s="1631">
        <v>8.4039999999999999</v>
      </c>
      <c r="L20" s="1631">
        <v>8.5990000000000002</v>
      </c>
      <c r="M20" s="1631">
        <v>8.5990000000000002</v>
      </c>
      <c r="N20" s="1631">
        <v>8.5990000000000002</v>
      </c>
      <c r="O20" s="1631">
        <v>8.4849999999999994</v>
      </c>
      <c r="P20" s="1631">
        <v>8.4849999999999994</v>
      </c>
      <c r="Q20" s="1631">
        <v>8.4849999999999994</v>
      </c>
    </row>
    <row r="21" spans="3:17">
      <c r="C21" s="1629"/>
      <c r="D21" s="913" t="s">
        <v>2407</v>
      </c>
      <c r="E21" s="913"/>
      <c r="F21" s="1630">
        <v>1</v>
      </c>
      <c r="G21" s="1625">
        <f t="shared" si="3"/>
        <v>32</v>
      </c>
      <c r="H21" s="1632"/>
      <c r="I21" s="1631">
        <v>15.867000000000001</v>
      </c>
      <c r="J21" s="1631">
        <v>15.867000000000001</v>
      </c>
      <c r="K21" s="1631">
        <v>15.867000000000001</v>
      </c>
      <c r="L21" s="1631">
        <v>20.512</v>
      </c>
      <c r="M21" s="1631">
        <v>20.512</v>
      </c>
      <c r="N21" s="1631">
        <v>20.512</v>
      </c>
      <c r="O21" s="1631">
        <v>16.321999999999999</v>
      </c>
      <c r="P21" s="1631">
        <v>16.321999999999999</v>
      </c>
      <c r="Q21" s="1631">
        <v>16.321999999999999</v>
      </c>
    </row>
    <row r="22" spans="3:17" hidden="1">
      <c r="C22" s="1633"/>
      <c r="D22" s="1635" t="s">
        <v>2803</v>
      </c>
      <c r="E22" s="1635"/>
      <c r="F22" s="1636"/>
      <c r="G22" s="1625">
        <f t="shared" si="3"/>
        <v>33</v>
      </c>
      <c r="H22" s="1637">
        <f>CO2計算!$F$21</f>
        <v>0</v>
      </c>
      <c r="I22" s="1631">
        <f>(I19-I20)*$H22</f>
        <v>0</v>
      </c>
      <c r="J22" s="1631">
        <f t="shared" ref="J22:Q22" si="7">(J19-J20)*$H22</f>
        <v>0</v>
      </c>
      <c r="K22" s="1631">
        <f t="shared" si="7"/>
        <v>0</v>
      </c>
      <c r="L22" s="1631">
        <f t="shared" si="7"/>
        <v>0</v>
      </c>
      <c r="M22" s="1631">
        <f t="shared" si="7"/>
        <v>0</v>
      </c>
      <c r="N22" s="1631">
        <f t="shared" si="7"/>
        <v>0</v>
      </c>
      <c r="O22" s="1631">
        <f t="shared" si="7"/>
        <v>0</v>
      </c>
      <c r="P22" s="1631">
        <f t="shared" si="7"/>
        <v>0</v>
      </c>
      <c r="Q22" s="1631">
        <f t="shared" si="7"/>
        <v>0</v>
      </c>
    </row>
    <row r="23" spans="3:17" hidden="1">
      <c r="C23" s="1633"/>
      <c r="D23" s="1635" t="s">
        <v>2804</v>
      </c>
      <c r="E23" s="1635"/>
      <c r="F23" s="1636"/>
      <c r="G23" s="1625">
        <f t="shared" si="3"/>
        <v>34</v>
      </c>
      <c r="H23" s="1637">
        <f>CO2計算!$F$22</f>
        <v>0</v>
      </c>
      <c r="I23" s="1631">
        <f t="shared" ref="I23:Q23" si="8">(I19-I21)*$H23</f>
        <v>0</v>
      </c>
      <c r="J23" s="1631">
        <f t="shared" si="8"/>
        <v>0</v>
      </c>
      <c r="K23" s="1631">
        <f t="shared" si="8"/>
        <v>0</v>
      </c>
      <c r="L23" s="1631">
        <f t="shared" si="8"/>
        <v>0</v>
      </c>
      <c r="M23" s="1631">
        <f t="shared" si="8"/>
        <v>0</v>
      </c>
      <c r="N23" s="1631">
        <f t="shared" si="8"/>
        <v>0</v>
      </c>
      <c r="O23" s="1631">
        <f t="shared" si="8"/>
        <v>0</v>
      </c>
      <c r="P23" s="1631">
        <f t="shared" si="8"/>
        <v>0</v>
      </c>
      <c r="Q23" s="1631">
        <f t="shared" si="8"/>
        <v>0</v>
      </c>
    </row>
    <row r="24" spans="3:17" hidden="1">
      <c r="C24" s="1639"/>
      <c r="D24" s="1635" t="s">
        <v>479</v>
      </c>
      <c r="E24" s="1635"/>
      <c r="F24" s="1636"/>
      <c r="G24" s="1625">
        <f t="shared" si="3"/>
        <v>35</v>
      </c>
      <c r="H24" s="1641"/>
      <c r="I24" s="1631">
        <f t="shared" ref="I24:Q24" si="9">I19-I22-I23</f>
        <v>16.572000000000003</v>
      </c>
      <c r="J24" s="1631">
        <f t="shared" si="9"/>
        <v>16.572000000000003</v>
      </c>
      <c r="K24" s="1631">
        <f t="shared" si="9"/>
        <v>16.572000000000003</v>
      </c>
      <c r="L24" s="1631">
        <f t="shared" si="9"/>
        <v>22.385999999999999</v>
      </c>
      <c r="M24" s="1631">
        <f t="shared" si="9"/>
        <v>22.385999999999999</v>
      </c>
      <c r="N24" s="1631">
        <f t="shared" si="9"/>
        <v>22.385999999999999</v>
      </c>
      <c r="O24" s="1631">
        <f t="shared" si="9"/>
        <v>16.960999999999999</v>
      </c>
      <c r="P24" s="1631">
        <f t="shared" si="9"/>
        <v>16.960999999999999</v>
      </c>
      <c r="Q24" s="1631">
        <f t="shared" si="9"/>
        <v>16.960999999999999</v>
      </c>
    </row>
    <row r="25" spans="3:17">
      <c r="C25" s="1626" t="s">
        <v>2073</v>
      </c>
      <c r="D25" s="1619"/>
      <c r="E25" s="1619"/>
      <c r="F25" s="1620"/>
      <c r="G25" s="1625">
        <f t="shared" si="3"/>
        <v>40</v>
      </c>
      <c r="H25" s="1625"/>
      <c r="I25" s="1628">
        <v>16.571999999999999</v>
      </c>
      <c r="J25" s="1628">
        <v>16.572000000000003</v>
      </c>
      <c r="K25" s="1628">
        <v>16.572000000000003</v>
      </c>
      <c r="L25" s="1628">
        <v>22.385999999999999</v>
      </c>
      <c r="M25" s="1628">
        <v>22.385999999999999</v>
      </c>
      <c r="N25" s="1628">
        <v>22.385999999999999</v>
      </c>
      <c r="O25" s="1628">
        <v>16.960999999999999</v>
      </c>
      <c r="P25" s="1628">
        <v>16.960999999999999</v>
      </c>
      <c r="Q25" s="1628">
        <v>16.960999999999999</v>
      </c>
    </row>
    <row r="26" spans="3:17">
      <c r="C26" s="1629"/>
      <c r="D26" s="913" t="s">
        <v>2406</v>
      </c>
      <c r="E26" s="913"/>
      <c r="F26" s="1630">
        <v>1</v>
      </c>
      <c r="G26" s="1625">
        <f t="shared" si="3"/>
        <v>41</v>
      </c>
      <c r="H26" s="1625"/>
      <c r="I26" s="1631">
        <v>8.4039999999999999</v>
      </c>
      <c r="J26" s="1631">
        <v>8.4039999999999999</v>
      </c>
      <c r="K26" s="1631">
        <v>8.4039999999999999</v>
      </c>
      <c r="L26" s="1631">
        <v>8.5990000000000002</v>
      </c>
      <c r="M26" s="1631">
        <v>8.5990000000000002</v>
      </c>
      <c r="N26" s="1631">
        <v>8.5990000000000002</v>
      </c>
      <c r="O26" s="1631">
        <v>8.4849999999999994</v>
      </c>
      <c r="P26" s="1631">
        <v>8.4849999999999994</v>
      </c>
      <c r="Q26" s="1631">
        <v>8.4849999999999994</v>
      </c>
    </row>
    <row r="27" spans="3:17">
      <c r="C27" s="1629"/>
      <c r="D27" s="913" t="s">
        <v>2407</v>
      </c>
      <c r="E27" s="913"/>
      <c r="F27" s="1630">
        <v>1</v>
      </c>
      <c r="G27" s="1625">
        <f t="shared" si="3"/>
        <v>42</v>
      </c>
      <c r="H27" s="1632"/>
      <c r="I27" s="1631">
        <v>15.867000000000001</v>
      </c>
      <c r="J27" s="1631">
        <v>15.867000000000001</v>
      </c>
      <c r="K27" s="1631">
        <v>15.867000000000001</v>
      </c>
      <c r="L27" s="1631">
        <v>20.512</v>
      </c>
      <c r="M27" s="1631">
        <v>20.512</v>
      </c>
      <c r="N27" s="1631">
        <v>20.512</v>
      </c>
      <c r="O27" s="1631">
        <v>16.321999999999999</v>
      </c>
      <c r="P27" s="1631">
        <v>16.321999999999999</v>
      </c>
      <c r="Q27" s="1631">
        <v>16.321999999999999</v>
      </c>
    </row>
    <row r="28" spans="3:17" hidden="1">
      <c r="C28" s="1633"/>
      <c r="D28" s="1635" t="s">
        <v>2803</v>
      </c>
      <c r="E28" s="1635"/>
      <c r="F28" s="1636"/>
      <c r="G28" s="1625">
        <f t="shared" si="3"/>
        <v>43</v>
      </c>
      <c r="H28" s="1637">
        <f>CO2計算!$F$21</f>
        <v>0</v>
      </c>
      <c r="I28" s="1631">
        <f>(I25-I26)*$H28</f>
        <v>0</v>
      </c>
      <c r="J28" s="1631">
        <f t="shared" ref="J28:Q28" si="10">(J25-J26)*$H28</f>
        <v>0</v>
      </c>
      <c r="K28" s="1631">
        <f t="shared" si="10"/>
        <v>0</v>
      </c>
      <c r="L28" s="1631">
        <f t="shared" si="10"/>
        <v>0</v>
      </c>
      <c r="M28" s="1631">
        <f t="shared" si="10"/>
        <v>0</v>
      </c>
      <c r="N28" s="1631">
        <f t="shared" si="10"/>
        <v>0</v>
      </c>
      <c r="O28" s="1631">
        <f t="shared" si="10"/>
        <v>0</v>
      </c>
      <c r="P28" s="1631">
        <f t="shared" si="10"/>
        <v>0</v>
      </c>
      <c r="Q28" s="1631">
        <f t="shared" si="10"/>
        <v>0</v>
      </c>
    </row>
    <row r="29" spans="3:17" hidden="1">
      <c r="C29" s="1633"/>
      <c r="D29" s="1635" t="s">
        <v>2804</v>
      </c>
      <c r="E29" s="1635"/>
      <c r="F29" s="1636"/>
      <c r="G29" s="1625">
        <f t="shared" si="3"/>
        <v>44</v>
      </c>
      <c r="H29" s="1637">
        <f>CO2計算!$F$22</f>
        <v>0</v>
      </c>
      <c r="I29" s="1631">
        <f t="shared" ref="I29:Q29" si="11">(I25-I27)*$H29</f>
        <v>0</v>
      </c>
      <c r="J29" s="1631">
        <f t="shared" si="11"/>
        <v>0</v>
      </c>
      <c r="K29" s="1631">
        <f t="shared" si="11"/>
        <v>0</v>
      </c>
      <c r="L29" s="1631">
        <f t="shared" si="11"/>
        <v>0</v>
      </c>
      <c r="M29" s="1631">
        <f t="shared" si="11"/>
        <v>0</v>
      </c>
      <c r="N29" s="1631">
        <f t="shared" si="11"/>
        <v>0</v>
      </c>
      <c r="O29" s="1631">
        <f t="shared" si="11"/>
        <v>0</v>
      </c>
      <c r="P29" s="1631">
        <f t="shared" si="11"/>
        <v>0</v>
      </c>
      <c r="Q29" s="1631">
        <f t="shared" si="11"/>
        <v>0</v>
      </c>
    </row>
    <row r="30" spans="3:17" hidden="1">
      <c r="C30" s="1639"/>
      <c r="D30" s="1635" t="s">
        <v>479</v>
      </c>
      <c r="E30" s="1635"/>
      <c r="F30" s="1636"/>
      <c r="G30" s="1625">
        <f t="shared" si="3"/>
        <v>45</v>
      </c>
      <c r="H30" s="1641"/>
      <c r="I30" s="1631">
        <f t="shared" ref="I30:Q30" si="12">I25-I28-I29</f>
        <v>16.571999999999999</v>
      </c>
      <c r="J30" s="1631">
        <f t="shared" si="12"/>
        <v>16.572000000000003</v>
      </c>
      <c r="K30" s="1631">
        <f t="shared" si="12"/>
        <v>16.572000000000003</v>
      </c>
      <c r="L30" s="1631">
        <f t="shared" si="12"/>
        <v>22.385999999999999</v>
      </c>
      <c r="M30" s="1631">
        <f t="shared" si="12"/>
        <v>22.385999999999999</v>
      </c>
      <c r="N30" s="1631">
        <f t="shared" si="12"/>
        <v>22.385999999999999</v>
      </c>
      <c r="O30" s="1631">
        <f t="shared" si="12"/>
        <v>16.960999999999999</v>
      </c>
      <c r="P30" s="1631">
        <f t="shared" si="12"/>
        <v>16.960999999999999</v>
      </c>
      <c r="Q30" s="1631">
        <f t="shared" si="12"/>
        <v>16.960999999999999</v>
      </c>
    </row>
    <row r="31" spans="3:17">
      <c r="C31" s="1626" t="s">
        <v>1965</v>
      </c>
      <c r="D31" s="1619"/>
      <c r="E31" s="1619"/>
      <c r="F31" s="1620"/>
      <c r="G31" s="1625">
        <f t="shared" si="3"/>
        <v>50</v>
      </c>
      <c r="H31" s="1625"/>
      <c r="I31" s="1628">
        <v>11.535</v>
      </c>
      <c r="J31" s="1628">
        <v>11.535</v>
      </c>
      <c r="K31" s="1628">
        <v>11.535</v>
      </c>
      <c r="L31" s="1628">
        <v>12.471</v>
      </c>
      <c r="M31" s="1628">
        <v>12.471</v>
      </c>
      <c r="N31" s="1628">
        <v>12.471</v>
      </c>
      <c r="O31" s="1628">
        <v>13.079000000000001</v>
      </c>
      <c r="P31" s="1628">
        <v>13.079000000000001</v>
      </c>
      <c r="Q31" s="1628">
        <v>13.079000000000001</v>
      </c>
    </row>
    <row r="32" spans="3:17">
      <c r="C32" s="1629"/>
      <c r="D32" s="913" t="s">
        <v>2406</v>
      </c>
      <c r="E32" s="913"/>
      <c r="F32" s="1630">
        <v>1</v>
      </c>
      <c r="G32" s="1625">
        <f t="shared" si="3"/>
        <v>51</v>
      </c>
      <c r="H32" s="1625"/>
      <c r="I32" s="1631">
        <v>5.452</v>
      </c>
      <c r="J32" s="1631">
        <v>5.452</v>
      </c>
      <c r="K32" s="1631">
        <v>5.452</v>
      </c>
      <c r="L32" s="1631">
        <v>5.5779999999999994</v>
      </c>
      <c r="M32" s="1631">
        <v>5.5779999999999994</v>
      </c>
      <c r="N32" s="1631">
        <v>5.5779999999999994</v>
      </c>
      <c r="O32" s="1631">
        <v>5.5039999999999996</v>
      </c>
      <c r="P32" s="1631">
        <v>5.5039999999999996</v>
      </c>
      <c r="Q32" s="1631">
        <v>5.5039999999999996</v>
      </c>
    </row>
    <row r="33" spans="3:17">
      <c r="C33" s="1629"/>
      <c r="D33" s="913" t="s">
        <v>2407</v>
      </c>
      <c r="E33" s="913"/>
      <c r="F33" s="1630">
        <v>1</v>
      </c>
      <c r="G33" s="1625">
        <f t="shared" si="3"/>
        <v>52</v>
      </c>
      <c r="H33" s="1632"/>
      <c r="I33" s="1631">
        <v>11.178000000000001</v>
      </c>
      <c r="J33" s="1631">
        <v>11.178000000000001</v>
      </c>
      <c r="K33" s="1631">
        <v>11.178000000000001</v>
      </c>
      <c r="L33" s="1631">
        <v>11.533999999999999</v>
      </c>
      <c r="M33" s="1631">
        <v>11.533999999999999</v>
      </c>
      <c r="N33" s="1631">
        <v>11.533999999999999</v>
      </c>
      <c r="O33" s="1631">
        <v>12.182</v>
      </c>
      <c r="P33" s="1631">
        <v>12.182</v>
      </c>
      <c r="Q33" s="1631">
        <v>12.182</v>
      </c>
    </row>
    <row r="34" spans="3:17" hidden="1">
      <c r="C34" s="1633"/>
      <c r="D34" s="1635" t="s">
        <v>2803</v>
      </c>
      <c r="E34" s="1635"/>
      <c r="F34" s="1636"/>
      <c r="G34" s="1625">
        <f t="shared" si="3"/>
        <v>53</v>
      </c>
      <c r="H34" s="1637">
        <f>CO2計算!$F$21</f>
        <v>0</v>
      </c>
      <c r="I34" s="1631">
        <f>(I31-I32)*$H34</f>
        <v>0</v>
      </c>
      <c r="J34" s="1631">
        <f t="shared" ref="J34:Q34" si="13">(J31-J32)*$H34</f>
        <v>0</v>
      </c>
      <c r="K34" s="1631">
        <f t="shared" si="13"/>
        <v>0</v>
      </c>
      <c r="L34" s="1631">
        <f t="shared" si="13"/>
        <v>0</v>
      </c>
      <c r="M34" s="1631">
        <f t="shared" si="13"/>
        <v>0</v>
      </c>
      <c r="N34" s="1631">
        <f t="shared" si="13"/>
        <v>0</v>
      </c>
      <c r="O34" s="1631">
        <f t="shared" si="13"/>
        <v>0</v>
      </c>
      <c r="P34" s="1631">
        <f t="shared" si="13"/>
        <v>0</v>
      </c>
      <c r="Q34" s="1631">
        <f t="shared" si="13"/>
        <v>0</v>
      </c>
    </row>
    <row r="35" spans="3:17" hidden="1">
      <c r="C35" s="1633"/>
      <c r="D35" s="1635" t="s">
        <v>2804</v>
      </c>
      <c r="E35" s="1635"/>
      <c r="F35" s="1636"/>
      <c r="G35" s="1625">
        <f t="shared" si="3"/>
        <v>54</v>
      </c>
      <c r="H35" s="1637">
        <f>CO2計算!$F$22</f>
        <v>0</v>
      </c>
      <c r="I35" s="1631">
        <f t="shared" ref="I35:Q35" si="14">(I31-I33)*$H35</f>
        <v>0</v>
      </c>
      <c r="J35" s="1631">
        <f t="shared" si="14"/>
        <v>0</v>
      </c>
      <c r="K35" s="1631">
        <f t="shared" si="14"/>
        <v>0</v>
      </c>
      <c r="L35" s="1631">
        <f t="shared" si="14"/>
        <v>0</v>
      </c>
      <c r="M35" s="1631">
        <f t="shared" si="14"/>
        <v>0</v>
      </c>
      <c r="N35" s="1631">
        <f t="shared" si="14"/>
        <v>0</v>
      </c>
      <c r="O35" s="1631">
        <f t="shared" si="14"/>
        <v>0</v>
      </c>
      <c r="P35" s="1631">
        <f t="shared" si="14"/>
        <v>0</v>
      </c>
      <c r="Q35" s="1631">
        <f t="shared" si="14"/>
        <v>0</v>
      </c>
    </row>
    <row r="36" spans="3:17" hidden="1">
      <c r="C36" s="1639"/>
      <c r="D36" s="1635" t="s">
        <v>479</v>
      </c>
      <c r="E36" s="1635"/>
      <c r="F36" s="1636"/>
      <c r="G36" s="1625">
        <f t="shared" si="3"/>
        <v>55</v>
      </c>
      <c r="H36" s="1641"/>
      <c r="I36" s="1631">
        <f t="shared" ref="I36:Q36" si="15">I31-I34-I35</f>
        <v>11.535</v>
      </c>
      <c r="J36" s="1631">
        <f t="shared" si="15"/>
        <v>11.535</v>
      </c>
      <c r="K36" s="1631">
        <f t="shared" si="15"/>
        <v>11.535</v>
      </c>
      <c r="L36" s="1631">
        <f t="shared" si="15"/>
        <v>12.471</v>
      </c>
      <c r="M36" s="1631">
        <f t="shared" si="15"/>
        <v>12.471</v>
      </c>
      <c r="N36" s="1631">
        <f t="shared" si="15"/>
        <v>12.471</v>
      </c>
      <c r="O36" s="1631">
        <f t="shared" si="15"/>
        <v>13.079000000000001</v>
      </c>
      <c r="P36" s="1631">
        <f t="shared" si="15"/>
        <v>13.079000000000001</v>
      </c>
      <c r="Q36" s="1631">
        <f t="shared" si="15"/>
        <v>13.079000000000001</v>
      </c>
    </row>
    <row r="37" spans="3:17">
      <c r="C37" s="1626" t="s">
        <v>477</v>
      </c>
      <c r="D37" s="1619"/>
      <c r="E37" s="1619"/>
      <c r="F37" s="1620"/>
      <c r="G37" s="1625">
        <f t="shared" si="3"/>
        <v>60</v>
      </c>
      <c r="H37" s="1625"/>
      <c r="I37" s="1628">
        <v>19.561999999999998</v>
      </c>
      <c r="J37" s="1628">
        <v>19.561999999999998</v>
      </c>
      <c r="K37" s="1628">
        <v>19.561999999999998</v>
      </c>
      <c r="L37" s="1628">
        <v>22.5</v>
      </c>
      <c r="M37" s="1628">
        <v>22.5</v>
      </c>
      <c r="N37" s="1628">
        <v>22.5</v>
      </c>
      <c r="O37" s="1628">
        <v>23.650000000000002</v>
      </c>
      <c r="P37" s="1628">
        <v>23.650000000000002</v>
      </c>
      <c r="Q37" s="1628">
        <v>23.650000000000002</v>
      </c>
    </row>
    <row r="38" spans="3:17">
      <c r="C38" s="1629"/>
      <c r="D38" s="913" t="s">
        <v>2406</v>
      </c>
      <c r="E38" s="913"/>
      <c r="F38" s="1630">
        <v>1</v>
      </c>
      <c r="G38" s="1625">
        <f t="shared" si="3"/>
        <v>61</v>
      </c>
      <c r="H38" s="1625"/>
      <c r="I38" s="1631">
        <v>9.9849999999999994</v>
      </c>
      <c r="J38" s="1631">
        <v>9.9849999999999994</v>
      </c>
      <c r="K38" s="1631">
        <v>9.9849999999999994</v>
      </c>
      <c r="L38" s="1631">
        <v>10.302</v>
      </c>
      <c r="M38" s="1631">
        <v>10.302</v>
      </c>
      <c r="N38" s="1631">
        <v>10.302</v>
      </c>
      <c r="O38" s="1631">
        <v>9.9700000000000006</v>
      </c>
      <c r="P38" s="1631">
        <v>9.9700000000000006</v>
      </c>
      <c r="Q38" s="1631">
        <v>9.9700000000000006</v>
      </c>
    </row>
    <row r="39" spans="3:17">
      <c r="C39" s="1629"/>
      <c r="D39" s="913" t="s">
        <v>2407</v>
      </c>
      <c r="E39" s="913"/>
      <c r="F39" s="1630">
        <v>1</v>
      </c>
      <c r="G39" s="1625">
        <f t="shared" si="3"/>
        <v>62</v>
      </c>
      <c r="H39" s="1632"/>
      <c r="I39" s="1631">
        <v>18.811</v>
      </c>
      <c r="J39" s="1631">
        <v>18.811</v>
      </c>
      <c r="K39" s="1631">
        <v>18.811</v>
      </c>
      <c r="L39" s="1631">
        <v>20.811999999999998</v>
      </c>
      <c r="M39" s="1631">
        <v>20.811999999999998</v>
      </c>
      <c r="N39" s="1631">
        <v>20.811999999999998</v>
      </c>
      <c r="O39" s="1631">
        <v>22.231999999999999</v>
      </c>
      <c r="P39" s="1631">
        <v>22.231999999999999</v>
      </c>
      <c r="Q39" s="1631">
        <v>22.231999999999999</v>
      </c>
    </row>
    <row r="40" spans="3:17" hidden="1">
      <c r="C40" s="1633"/>
      <c r="D40" s="1635" t="s">
        <v>2803</v>
      </c>
      <c r="E40" s="1635"/>
      <c r="F40" s="1636"/>
      <c r="G40" s="1625">
        <f t="shared" si="3"/>
        <v>63</v>
      </c>
      <c r="H40" s="1637">
        <f>CO2計算!$F$21</f>
        <v>0</v>
      </c>
      <c r="I40" s="1631">
        <f>(I37-I38)*$H40</f>
        <v>0</v>
      </c>
      <c r="J40" s="1631">
        <f t="shared" ref="J40:Q40" si="16">(J37-J38)*$H40</f>
        <v>0</v>
      </c>
      <c r="K40" s="1631">
        <f t="shared" si="16"/>
        <v>0</v>
      </c>
      <c r="L40" s="1631">
        <f t="shared" si="16"/>
        <v>0</v>
      </c>
      <c r="M40" s="1631">
        <f t="shared" si="16"/>
        <v>0</v>
      </c>
      <c r="N40" s="1631">
        <f t="shared" si="16"/>
        <v>0</v>
      </c>
      <c r="O40" s="1631">
        <f t="shared" si="16"/>
        <v>0</v>
      </c>
      <c r="P40" s="1631">
        <f t="shared" si="16"/>
        <v>0</v>
      </c>
      <c r="Q40" s="1631">
        <f t="shared" si="16"/>
        <v>0</v>
      </c>
    </row>
    <row r="41" spans="3:17" hidden="1">
      <c r="C41" s="1633"/>
      <c r="D41" s="1635" t="s">
        <v>2804</v>
      </c>
      <c r="E41" s="1635"/>
      <c r="F41" s="1636"/>
      <c r="G41" s="1625">
        <f t="shared" si="3"/>
        <v>64</v>
      </c>
      <c r="H41" s="1637">
        <f>CO2計算!$F$22</f>
        <v>0</v>
      </c>
      <c r="I41" s="1631">
        <f t="shared" ref="I41:Q41" si="17">(I37-I39)*$H41</f>
        <v>0</v>
      </c>
      <c r="J41" s="1631">
        <f t="shared" si="17"/>
        <v>0</v>
      </c>
      <c r="K41" s="1631">
        <f t="shared" si="17"/>
        <v>0</v>
      </c>
      <c r="L41" s="1631">
        <f t="shared" si="17"/>
        <v>0</v>
      </c>
      <c r="M41" s="1631">
        <f t="shared" si="17"/>
        <v>0</v>
      </c>
      <c r="N41" s="1631">
        <f t="shared" si="17"/>
        <v>0</v>
      </c>
      <c r="O41" s="1631">
        <f t="shared" si="17"/>
        <v>0</v>
      </c>
      <c r="P41" s="1631">
        <f t="shared" si="17"/>
        <v>0</v>
      </c>
      <c r="Q41" s="1631">
        <f t="shared" si="17"/>
        <v>0</v>
      </c>
    </row>
    <row r="42" spans="3:17" hidden="1">
      <c r="C42" s="1639"/>
      <c r="D42" s="1635" t="s">
        <v>479</v>
      </c>
      <c r="E42" s="1635"/>
      <c r="F42" s="1636"/>
      <c r="G42" s="1625">
        <f t="shared" si="3"/>
        <v>65</v>
      </c>
      <c r="H42" s="1641"/>
      <c r="I42" s="1631">
        <f t="shared" ref="I42:Q42" si="18">I37-I40-I41</f>
        <v>19.561999999999998</v>
      </c>
      <c r="J42" s="1631">
        <f t="shared" si="18"/>
        <v>19.561999999999998</v>
      </c>
      <c r="K42" s="1631">
        <f t="shared" si="18"/>
        <v>19.561999999999998</v>
      </c>
      <c r="L42" s="1631">
        <f t="shared" si="18"/>
        <v>22.5</v>
      </c>
      <c r="M42" s="1631">
        <f t="shared" si="18"/>
        <v>22.5</v>
      </c>
      <c r="N42" s="1631">
        <f t="shared" si="18"/>
        <v>22.5</v>
      </c>
      <c r="O42" s="1631">
        <f t="shared" si="18"/>
        <v>23.650000000000002</v>
      </c>
      <c r="P42" s="1631">
        <f t="shared" si="18"/>
        <v>23.650000000000002</v>
      </c>
      <c r="Q42" s="1631">
        <f t="shared" si="18"/>
        <v>23.650000000000002</v>
      </c>
    </row>
    <row r="43" spans="3:17">
      <c r="C43" s="1626" t="s">
        <v>1967</v>
      </c>
      <c r="D43" s="1619"/>
      <c r="E43" s="1619"/>
      <c r="F43" s="1620"/>
      <c r="G43" s="1625">
        <f t="shared" si="3"/>
        <v>70</v>
      </c>
      <c r="H43" s="1625"/>
      <c r="I43" s="1628">
        <v>10.405000000000001</v>
      </c>
      <c r="J43" s="1628">
        <v>10.405000000000001</v>
      </c>
      <c r="K43" s="1628">
        <v>10.405000000000001</v>
      </c>
      <c r="L43" s="1628">
        <v>12.261000000000001</v>
      </c>
      <c r="M43" s="1628">
        <v>12.261000000000001</v>
      </c>
      <c r="N43" s="1628">
        <v>12.261000000000001</v>
      </c>
      <c r="O43" s="1628">
        <v>13.704000000000001</v>
      </c>
      <c r="P43" s="1628">
        <v>13.704000000000001</v>
      </c>
      <c r="Q43" s="1628">
        <v>13.704000000000001</v>
      </c>
    </row>
    <row r="44" spans="3:17">
      <c r="C44" s="1629"/>
      <c r="D44" s="913" t="s">
        <v>2406</v>
      </c>
      <c r="E44" s="913"/>
      <c r="F44" s="1630">
        <v>1</v>
      </c>
      <c r="G44" s="1625">
        <f t="shared" si="3"/>
        <v>71</v>
      </c>
      <c r="H44" s="1625"/>
      <c r="I44" s="1631">
        <v>6.2990000000000004</v>
      </c>
      <c r="J44" s="1631">
        <v>6.2990000000000004</v>
      </c>
      <c r="K44" s="1631">
        <v>6.2990000000000004</v>
      </c>
      <c r="L44" s="1631">
        <v>6.4450000000000003</v>
      </c>
      <c r="M44" s="1631">
        <v>6.4450000000000003</v>
      </c>
      <c r="N44" s="1631">
        <v>6.4450000000000003</v>
      </c>
      <c r="O44" s="1631">
        <v>6.36</v>
      </c>
      <c r="P44" s="1631">
        <v>6.36</v>
      </c>
      <c r="Q44" s="1631">
        <v>6.36</v>
      </c>
    </row>
    <row r="45" spans="3:17">
      <c r="C45" s="1629"/>
      <c r="D45" s="913" t="s">
        <v>2407</v>
      </c>
      <c r="E45" s="913"/>
      <c r="F45" s="1630">
        <v>1</v>
      </c>
      <c r="G45" s="1625">
        <f t="shared" si="3"/>
        <v>72</v>
      </c>
      <c r="H45" s="1632"/>
      <c r="I45" s="1631">
        <v>10.077999999999999</v>
      </c>
      <c r="J45" s="1631">
        <v>10.077999999999999</v>
      </c>
      <c r="K45" s="1631">
        <v>10.077999999999999</v>
      </c>
      <c r="L45" s="1631">
        <v>11.452000000000002</v>
      </c>
      <c r="M45" s="1631">
        <v>11.452000000000002</v>
      </c>
      <c r="N45" s="1631">
        <v>11.452000000000002</v>
      </c>
      <c r="O45" s="1631">
        <v>12.857999999999999</v>
      </c>
      <c r="P45" s="1631">
        <v>12.857999999999999</v>
      </c>
      <c r="Q45" s="1631">
        <v>12.857999999999999</v>
      </c>
    </row>
    <row r="46" spans="3:17" hidden="1">
      <c r="C46" s="1633"/>
      <c r="D46" s="1635" t="s">
        <v>2803</v>
      </c>
      <c r="E46" s="1635"/>
      <c r="F46" s="1636"/>
      <c r="G46" s="1625">
        <f t="shared" si="3"/>
        <v>73</v>
      </c>
      <c r="H46" s="1637">
        <f>CO2計算!$F$21</f>
        <v>0</v>
      </c>
      <c r="I46" s="1631">
        <f>(I43-I44)*$H46</f>
        <v>0</v>
      </c>
      <c r="J46" s="1631">
        <f t="shared" ref="J46:Q46" si="19">(J43-J44)*$H46</f>
        <v>0</v>
      </c>
      <c r="K46" s="1631">
        <f t="shared" si="19"/>
        <v>0</v>
      </c>
      <c r="L46" s="1631">
        <f t="shared" si="19"/>
        <v>0</v>
      </c>
      <c r="M46" s="1631">
        <f t="shared" si="19"/>
        <v>0</v>
      </c>
      <c r="N46" s="1631">
        <f t="shared" si="19"/>
        <v>0</v>
      </c>
      <c r="O46" s="1631">
        <f t="shared" si="19"/>
        <v>0</v>
      </c>
      <c r="P46" s="1631">
        <f t="shared" si="19"/>
        <v>0</v>
      </c>
      <c r="Q46" s="1631">
        <f t="shared" si="19"/>
        <v>0</v>
      </c>
    </row>
    <row r="47" spans="3:17" hidden="1">
      <c r="C47" s="1633"/>
      <c r="D47" s="1635" t="s">
        <v>2804</v>
      </c>
      <c r="E47" s="1635"/>
      <c r="F47" s="1636"/>
      <c r="G47" s="1625">
        <f t="shared" si="3"/>
        <v>74</v>
      </c>
      <c r="H47" s="1637">
        <f>CO2計算!$F$22</f>
        <v>0</v>
      </c>
      <c r="I47" s="1631">
        <f t="shared" ref="I47:Q47" si="20">(I43-I45)*$H47</f>
        <v>0</v>
      </c>
      <c r="J47" s="1631">
        <f t="shared" si="20"/>
        <v>0</v>
      </c>
      <c r="K47" s="1631">
        <f t="shared" si="20"/>
        <v>0</v>
      </c>
      <c r="L47" s="1631">
        <f t="shared" si="20"/>
        <v>0</v>
      </c>
      <c r="M47" s="1631">
        <f t="shared" si="20"/>
        <v>0</v>
      </c>
      <c r="N47" s="1631">
        <f t="shared" si="20"/>
        <v>0</v>
      </c>
      <c r="O47" s="1631">
        <f t="shared" si="20"/>
        <v>0</v>
      </c>
      <c r="P47" s="1631">
        <f t="shared" si="20"/>
        <v>0</v>
      </c>
      <c r="Q47" s="1631">
        <f t="shared" si="20"/>
        <v>0</v>
      </c>
    </row>
    <row r="48" spans="3:17" hidden="1">
      <c r="C48" s="1639"/>
      <c r="D48" s="1635" t="s">
        <v>479</v>
      </c>
      <c r="E48" s="1635"/>
      <c r="F48" s="1636"/>
      <c r="G48" s="1625">
        <f t="shared" si="3"/>
        <v>75</v>
      </c>
      <c r="H48" s="1641"/>
      <c r="I48" s="1631">
        <f t="shared" ref="I48:Q48" si="21">I43-I46-I47</f>
        <v>10.405000000000001</v>
      </c>
      <c r="J48" s="1631">
        <f t="shared" si="21"/>
        <v>10.405000000000001</v>
      </c>
      <c r="K48" s="1631">
        <f t="shared" si="21"/>
        <v>10.405000000000001</v>
      </c>
      <c r="L48" s="1631">
        <f t="shared" si="21"/>
        <v>12.261000000000001</v>
      </c>
      <c r="M48" s="1631">
        <f t="shared" si="21"/>
        <v>12.261000000000001</v>
      </c>
      <c r="N48" s="1631">
        <f t="shared" si="21"/>
        <v>12.261000000000001</v>
      </c>
      <c r="O48" s="1631">
        <f t="shared" si="21"/>
        <v>13.704000000000001</v>
      </c>
      <c r="P48" s="1631">
        <f t="shared" si="21"/>
        <v>13.704000000000001</v>
      </c>
      <c r="Q48" s="1631">
        <f t="shared" si="21"/>
        <v>13.704000000000001</v>
      </c>
    </row>
    <row r="49" spans="3:17">
      <c r="C49" s="1626" t="s">
        <v>522</v>
      </c>
      <c r="D49" s="1619"/>
      <c r="E49" s="1619"/>
      <c r="F49" s="1620"/>
      <c r="G49" s="1625">
        <f t="shared" si="3"/>
        <v>80</v>
      </c>
      <c r="H49" s="1625"/>
      <c r="I49" s="1628">
        <v>11.119000000000002</v>
      </c>
      <c r="J49" s="1628">
        <v>11.119000000000002</v>
      </c>
      <c r="K49" s="1628">
        <v>11.119000000000002</v>
      </c>
      <c r="L49" s="1628">
        <v>12.770000000000001</v>
      </c>
      <c r="M49" s="1628">
        <v>12.770000000000001</v>
      </c>
      <c r="N49" s="1628">
        <v>12.770000000000001</v>
      </c>
      <c r="O49" s="1628">
        <v>13.53</v>
      </c>
      <c r="P49" s="1628">
        <v>13.53</v>
      </c>
      <c r="Q49" s="1628">
        <v>13.53</v>
      </c>
    </row>
    <row r="50" spans="3:17">
      <c r="C50" s="1629"/>
      <c r="D50" s="913" t="s">
        <v>2406</v>
      </c>
      <c r="E50" s="913"/>
      <c r="F50" s="1630">
        <v>1</v>
      </c>
      <c r="G50" s="1625">
        <f t="shared" si="3"/>
        <v>81</v>
      </c>
      <c r="H50" s="1625"/>
      <c r="I50" s="1631">
        <v>5.5570000000000004</v>
      </c>
      <c r="J50" s="1631">
        <v>5.5570000000000004</v>
      </c>
      <c r="K50" s="1631">
        <v>5.5570000000000004</v>
      </c>
      <c r="L50" s="1631">
        <v>5.6859999999999999</v>
      </c>
      <c r="M50" s="1631">
        <v>5.6859999999999999</v>
      </c>
      <c r="N50" s="1631">
        <v>5.6859999999999999</v>
      </c>
      <c r="O50" s="1631">
        <v>5.61</v>
      </c>
      <c r="P50" s="1631">
        <v>5.61</v>
      </c>
      <c r="Q50" s="1631">
        <v>5.61</v>
      </c>
    </row>
    <row r="51" spans="3:17">
      <c r="C51" s="1629"/>
      <c r="D51" s="913" t="s">
        <v>2407</v>
      </c>
      <c r="E51" s="913"/>
      <c r="F51" s="1630">
        <v>1</v>
      </c>
      <c r="G51" s="1625">
        <f t="shared" si="3"/>
        <v>82</v>
      </c>
      <c r="H51" s="1632"/>
      <c r="I51" s="1631">
        <v>10.67</v>
      </c>
      <c r="J51" s="1631">
        <v>10.67</v>
      </c>
      <c r="K51" s="1631">
        <v>10.67</v>
      </c>
      <c r="L51" s="1631">
        <v>11.715999999999999</v>
      </c>
      <c r="M51" s="1631">
        <v>11.715999999999999</v>
      </c>
      <c r="N51" s="1631">
        <v>11.715999999999999</v>
      </c>
      <c r="O51" s="1631">
        <v>12.681000000000001</v>
      </c>
      <c r="P51" s="1631">
        <v>12.681000000000001</v>
      </c>
      <c r="Q51" s="1631">
        <v>12.681000000000001</v>
      </c>
    </row>
    <row r="52" spans="3:17" hidden="1">
      <c r="C52" s="1633"/>
      <c r="D52" s="1635" t="s">
        <v>2803</v>
      </c>
      <c r="E52" s="1635"/>
      <c r="F52" s="1636"/>
      <c r="G52" s="1625">
        <f t="shared" si="3"/>
        <v>83</v>
      </c>
      <c r="H52" s="1637">
        <f>CO2計算!$F$21</f>
        <v>0</v>
      </c>
      <c r="I52" s="1631">
        <f>(I49-I50)*$H52</f>
        <v>0</v>
      </c>
      <c r="J52" s="1631">
        <f t="shared" ref="J52:Q52" si="22">(J49-J50)*$H52</f>
        <v>0</v>
      </c>
      <c r="K52" s="1631">
        <f t="shared" si="22"/>
        <v>0</v>
      </c>
      <c r="L52" s="1631">
        <f t="shared" si="22"/>
        <v>0</v>
      </c>
      <c r="M52" s="1631">
        <f t="shared" si="22"/>
        <v>0</v>
      </c>
      <c r="N52" s="1631">
        <f t="shared" si="22"/>
        <v>0</v>
      </c>
      <c r="O52" s="1631">
        <f t="shared" si="22"/>
        <v>0</v>
      </c>
      <c r="P52" s="1631">
        <f t="shared" si="22"/>
        <v>0</v>
      </c>
      <c r="Q52" s="1631">
        <f t="shared" si="22"/>
        <v>0</v>
      </c>
    </row>
    <row r="53" spans="3:17" hidden="1">
      <c r="C53" s="1633"/>
      <c r="D53" s="1635" t="s">
        <v>2804</v>
      </c>
      <c r="E53" s="1635"/>
      <c r="F53" s="1636"/>
      <c r="G53" s="1625">
        <f t="shared" si="3"/>
        <v>84</v>
      </c>
      <c r="H53" s="1637">
        <f>CO2計算!$F$22</f>
        <v>0</v>
      </c>
      <c r="I53" s="1631">
        <f t="shared" ref="I53:Q53" si="23">(I49-I51)*$H53</f>
        <v>0</v>
      </c>
      <c r="J53" s="1631">
        <f t="shared" si="23"/>
        <v>0</v>
      </c>
      <c r="K53" s="1631">
        <f t="shared" si="23"/>
        <v>0</v>
      </c>
      <c r="L53" s="1631">
        <f t="shared" si="23"/>
        <v>0</v>
      </c>
      <c r="M53" s="1631">
        <f t="shared" si="23"/>
        <v>0</v>
      </c>
      <c r="N53" s="1631">
        <f t="shared" si="23"/>
        <v>0</v>
      </c>
      <c r="O53" s="1631">
        <f t="shared" si="23"/>
        <v>0</v>
      </c>
      <c r="P53" s="1631">
        <f t="shared" si="23"/>
        <v>0</v>
      </c>
      <c r="Q53" s="1631">
        <f t="shared" si="23"/>
        <v>0</v>
      </c>
    </row>
    <row r="54" spans="3:17" hidden="1">
      <c r="C54" s="1639"/>
      <c r="D54" s="1635" t="s">
        <v>479</v>
      </c>
      <c r="E54" s="1635"/>
      <c r="F54" s="1636"/>
      <c r="G54" s="1625">
        <f t="shared" si="3"/>
        <v>85</v>
      </c>
      <c r="H54" s="1641"/>
      <c r="I54" s="1631">
        <f t="shared" ref="I54:Q54" si="24">I49-I52-I53</f>
        <v>11.119000000000002</v>
      </c>
      <c r="J54" s="1631">
        <f t="shared" si="24"/>
        <v>11.119000000000002</v>
      </c>
      <c r="K54" s="1631">
        <f t="shared" si="24"/>
        <v>11.119000000000002</v>
      </c>
      <c r="L54" s="1631">
        <f t="shared" si="24"/>
        <v>12.770000000000001</v>
      </c>
      <c r="M54" s="1631">
        <f t="shared" si="24"/>
        <v>12.770000000000001</v>
      </c>
      <c r="N54" s="1631">
        <f t="shared" si="24"/>
        <v>12.770000000000001</v>
      </c>
      <c r="O54" s="1631">
        <f t="shared" si="24"/>
        <v>13.53</v>
      </c>
      <c r="P54" s="1631">
        <f t="shared" si="24"/>
        <v>13.53</v>
      </c>
      <c r="Q54" s="1631">
        <f t="shared" si="24"/>
        <v>13.53</v>
      </c>
    </row>
    <row r="55" spans="3:17">
      <c r="C55" s="1626" t="s">
        <v>2074</v>
      </c>
      <c r="D55" s="1619"/>
      <c r="E55" s="1619"/>
      <c r="F55" s="1620"/>
      <c r="G55" s="1625">
        <f t="shared" si="3"/>
        <v>90</v>
      </c>
      <c r="H55" s="1625"/>
      <c r="I55" s="1628">
        <v>15.641</v>
      </c>
      <c r="J55" s="1628">
        <v>7.8210000000000006</v>
      </c>
      <c r="K55" s="1628">
        <v>5.2140000000000004</v>
      </c>
      <c r="L55" s="1628">
        <v>19.619999999999997</v>
      </c>
      <c r="M55" s="1628">
        <v>9.8079999999999998</v>
      </c>
      <c r="N55" s="1628">
        <v>6.5390000000000006</v>
      </c>
      <c r="O55" s="1628">
        <v>22.378</v>
      </c>
      <c r="P55" s="1628">
        <v>11.187999999999999</v>
      </c>
      <c r="Q55" s="1628">
        <v>7.4590000000000005</v>
      </c>
    </row>
    <row r="56" spans="3:17">
      <c r="C56" s="1629"/>
      <c r="D56" s="913" t="s">
        <v>2406</v>
      </c>
      <c r="E56" s="913"/>
      <c r="F56" s="1630">
        <v>1</v>
      </c>
      <c r="G56" s="1625">
        <f t="shared" si="3"/>
        <v>91</v>
      </c>
      <c r="H56" s="1625"/>
      <c r="I56" s="1631">
        <v>9.0940000000000012</v>
      </c>
      <c r="J56" s="1631">
        <v>4.5460000000000003</v>
      </c>
      <c r="K56" s="1631">
        <v>3.0309999999999997</v>
      </c>
      <c r="L56" s="1631">
        <v>8.8330000000000002</v>
      </c>
      <c r="M56" s="1631">
        <v>4.4160000000000004</v>
      </c>
      <c r="N56" s="1631">
        <v>2.9430000000000001</v>
      </c>
      <c r="O56" s="1631">
        <v>8.7469999999999999</v>
      </c>
      <c r="P56" s="1631">
        <v>4.3730000000000002</v>
      </c>
      <c r="Q56" s="1631">
        <v>2.915</v>
      </c>
    </row>
    <row r="57" spans="3:17">
      <c r="C57" s="1629"/>
      <c r="D57" s="913" t="s">
        <v>2407</v>
      </c>
      <c r="E57" s="913"/>
      <c r="F57" s="1630">
        <v>1</v>
      </c>
      <c r="G57" s="1625">
        <f t="shared" si="3"/>
        <v>92</v>
      </c>
      <c r="H57" s="1632"/>
      <c r="I57" s="1631">
        <v>14.974</v>
      </c>
      <c r="J57" s="1631">
        <v>7.4880000000000004</v>
      </c>
      <c r="K57" s="1631">
        <v>4.9910000000000005</v>
      </c>
      <c r="L57" s="1631">
        <v>18.148999999999997</v>
      </c>
      <c r="M57" s="1631">
        <v>9.0730000000000004</v>
      </c>
      <c r="N57" s="1631">
        <v>6.0490000000000004</v>
      </c>
      <c r="O57" s="1631">
        <v>20.89</v>
      </c>
      <c r="P57" s="1631">
        <v>10.443999999999999</v>
      </c>
      <c r="Q57" s="1631">
        <v>6.9620000000000006</v>
      </c>
    </row>
    <row r="58" spans="3:17" hidden="1">
      <c r="C58" s="1633"/>
      <c r="D58" s="1634"/>
      <c r="E58" s="1635" t="s">
        <v>2803</v>
      </c>
      <c r="F58" s="1636"/>
      <c r="G58" s="1625">
        <f t="shared" si="3"/>
        <v>93</v>
      </c>
      <c r="H58" s="1637">
        <f>CO2計算!$F$21</f>
        <v>0</v>
      </c>
      <c r="I58" s="1631">
        <f>(I55-I56)*$H58</f>
        <v>0</v>
      </c>
      <c r="J58" s="1631">
        <f t="shared" ref="J58:Q58" si="25">(J55-J56)*$H58</f>
        <v>0</v>
      </c>
      <c r="K58" s="1631">
        <f t="shared" si="25"/>
        <v>0</v>
      </c>
      <c r="L58" s="1631">
        <f t="shared" si="25"/>
        <v>0</v>
      </c>
      <c r="M58" s="1631">
        <f t="shared" si="25"/>
        <v>0</v>
      </c>
      <c r="N58" s="1631">
        <f t="shared" si="25"/>
        <v>0</v>
      </c>
      <c r="O58" s="1631">
        <f t="shared" si="25"/>
        <v>0</v>
      </c>
      <c r="P58" s="1631">
        <f t="shared" si="25"/>
        <v>0</v>
      </c>
      <c r="Q58" s="1631">
        <f t="shared" si="25"/>
        <v>0</v>
      </c>
    </row>
    <row r="59" spans="3:17" hidden="1">
      <c r="C59" s="1633"/>
      <c r="D59" s="1623"/>
      <c r="E59" s="1635" t="s">
        <v>2804</v>
      </c>
      <c r="F59" s="1636"/>
      <c r="G59" s="1625">
        <f t="shared" si="3"/>
        <v>94</v>
      </c>
      <c r="H59" s="1637">
        <f>CO2計算!$F$22</f>
        <v>0</v>
      </c>
      <c r="I59" s="1631">
        <f>(I55-I57)*$H59</f>
        <v>0</v>
      </c>
      <c r="J59" s="1631">
        <f t="shared" ref="J59:Q59" si="26">(J55-J57)*$H59</f>
        <v>0</v>
      </c>
      <c r="K59" s="1631">
        <f t="shared" si="26"/>
        <v>0</v>
      </c>
      <c r="L59" s="1631">
        <f t="shared" si="26"/>
        <v>0</v>
      </c>
      <c r="M59" s="1631">
        <f t="shared" si="26"/>
        <v>0</v>
      </c>
      <c r="N59" s="1631">
        <f t="shared" si="26"/>
        <v>0</v>
      </c>
      <c r="O59" s="1631">
        <f t="shared" si="26"/>
        <v>0</v>
      </c>
      <c r="P59" s="1631">
        <f t="shared" si="26"/>
        <v>0</v>
      </c>
      <c r="Q59" s="1631">
        <f t="shared" si="26"/>
        <v>0</v>
      </c>
    </row>
    <row r="60" spans="3:17" hidden="1">
      <c r="C60" s="1639"/>
      <c r="D60" s="1640"/>
      <c r="E60" s="1635" t="s">
        <v>479</v>
      </c>
      <c r="F60" s="1636"/>
      <c r="G60" s="1625">
        <f t="shared" si="3"/>
        <v>95</v>
      </c>
      <c r="H60" s="1641"/>
      <c r="I60" s="1631">
        <f>I55-I58-I59</f>
        <v>15.641</v>
      </c>
      <c r="J60" s="1631">
        <f t="shared" ref="J60:Q60" si="27">J55-J58-J59</f>
        <v>7.8210000000000006</v>
      </c>
      <c r="K60" s="1631">
        <f t="shared" si="27"/>
        <v>5.2140000000000004</v>
      </c>
      <c r="L60" s="1631">
        <f t="shared" si="27"/>
        <v>19.619999999999997</v>
      </c>
      <c r="M60" s="1631">
        <f t="shared" si="27"/>
        <v>9.8079999999999998</v>
      </c>
      <c r="N60" s="1631">
        <f t="shared" si="27"/>
        <v>6.5390000000000006</v>
      </c>
      <c r="O60" s="1631">
        <f t="shared" si="27"/>
        <v>22.378</v>
      </c>
      <c r="P60" s="1631">
        <f t="shared" si="27"/>
        <v>11.187999999999999</v>
      </c>
      <c r="Q60" s="1631">
        <f t="shared" si="27"/>
        <v>7.4590000000000005</v>
      </c>
    </row>
    <row r="61" spans="3:17">
      <c r="C61" s="1642"/>
      <c r="D61" s="1642"/>
      <c r="E61" s="1608"/>
      <c r="F61" s="1608"/>
      <c r="G61" s="1608"/>
      <c r="H61" s="1608"/>
      <c r="I61" s="1608"/>
      <c r="J61" s="1608"/>
      <c r="K61" s="1608"/>
      <c r="L61" s="1608"/>
      <c r="M61" s="1608"/>
      <c r="N61" s="1608"/>
      <c r="O61" s="1608"/>
      <c r="P61" s="1608"/>
      <c r="Q61" s="1608"/>
    </row>
    <row r="62" spans="3:17">
      <c r="C62" s="1606" t="s">
        <v>2805</v>
      </c>
      <c r="D62" s="1607"/>
      <c r="E62" s="1608"/>
      <c r="F62" s="1608"/>
      <c r="G62" s="1608"/>
      <c r="H62" s="1608"/>
      <c r="I62" s="1609" t="s">
        <v>318</v>
      </c>
      <c r="J62" s="1610"/>
      <c r="K62" s="1610"/>
      <c r="L62" s="1611"/>
      <c r="M62" s="1611"/>
      <c r="N62" s="1611"/>
      <c r="O62" s="1611"/>
      <c r="P62" s="1611"/>
      <c r="Q62" s="1612"/>
    </row>
    <row r="63" spans="3:17">
      <c r="C63" s="1613"/>
      <c r="D63" s="1614" t="s">
        <v>2801</v>
      </c>
      <c r="E63" s="1613"/>
      <c r="F63" s="1613"/>
      <c r="G63" s="1613"/>
      <c r="H63" s="1613"/>
      <c r="I63" s="1615" t="s">
        <v>770</v>
      </c>
      <c r="J63" s="1611" t="s">
        <v>772</v>
      </c>
      <c r="K63" s="1616"/>
      <c r="L63" s="1615" t="s">
        <v>769</v>
      </c>
      <c r="M63" s="1611"/>
      <c r="N63" s="1616"/>
      <c r="O63" s="1615" t="s">
        <v>771</v>
      </c>
      <c r="P63" s="1611"/>
      <c r="Q63" s="1616"/>
    </row>
    <row r="64" spans="3:17">
      <c r="C64" s="1617" t="s">
        <v>419</v>
      </c>
      <c r="D64" s="1618"/>
      <c r="E64" s="1619"/>
      <c r="F64" s="1620"/>
      <c r="G64" s="1643"/>
      <c r="H64" s="1643"/>
      <c r="I64" s="1622" t="s">
        <v>519</v>
      </c>
      <c r="J64" s="1622" t="s">
        <v>520</v>
      </c>
      <c r="K64" s="1622" t="s">
        <v>521</v>
      </c>
      <c r="L64" s="1622" t="s">
        <v>519</v>
      </c>
      <c r="M64" s="1622" t="s">
        <v>520</v>
      </c>
      <c r="N64" s="1622" t="s">
        <v>521</v>
      </c>
      <c r="O64" s="1622" t="s">
        <v>519</v>
      </c>
      <c r="P64" s="1622" t="s">
        <v>520</v>
      </c>
      <c r="Q64" s="1622" t="s">
        <v>521</v>
      </c>
    </row>
    <row r="65" spans="3:17">
      <c r="C65" s="1626" t="s">
        <v>461</v>
      </c>
      <c r="D65" s="1627"/>
      <c r="E65" s="1644"/>
      <c r="F65" s="1645"/>
      <c r="G65" s="1646">
        <v>1</v>
      </c>
      <c r="H65" s="1646"/>
      <c r="I65" s="1647">
        <v>15.990999999999998</v>
      </c>
      <c r="J65" s="1647">
        <v>15.990999999999998</v>
      </c>
      <c r="K65" s="1647">
        <v>15.990999999999998</v>
      </c>
      <c r="L65" s="1647">
        <v>16.456</v>
      </c>
      <c r="M65" s="1647">
        <v>16.456</v>
      </c>
      <c r="N65" s="1647">
        <v>16.456</v>
      </c>
      <c r="O65" s="1647">
        <v>16.21</v>
      </c>
      <c r="P65" s="1647">
        <v>16.21</v>
      </c>
      <c r="Q65" s="1647">
        <v>16.21</v>
      </c>
    </row>
    <row r="66" spans="3:17" hidden="1">
      <c r="C66" s="1629"/>
      <c r="D66" s="913" t="s">
        <v>2406</v>
      </c>
      <c r="E66" s="913"/>
      <c r="F66" s="1630">
        <v>1</v>
      </c>
      <c r="G66" s="1646"/>
      <c r="H66" s="1646"/>
      <c r="I66" s="1647"/>
      <c r="J66" s="1647"/>
      <c r="K66" s="1647"/>
      <c r="L66" s="1647"/>
      <c r="M66" s="1647"/>
      <c r="N66" s="1647"/>
      <c r="O66" s="1647"/>
      <c r="P66" s="1647"/>
      <c r="Q66" s="1647"/>
    </row>
    <row r="67" spans="3:17" hidden="1">
      <c r="C67" s="1629"/>
      <c r="D67" s="1635" t="s">
        <v>2806</v>
      </c>
      <c r="E67" s="1635"/>
      <c r="F67" s="1648"/>
      <c r="G67" s="1641"/>
      <c r="H67" s="1649">
        <v>0</v>
      </c>
      <c r="I67" s="1647">
        <f>I65-(I65-I66)*$H67</f>
        <v>15.990999999999998</v>
      </c>
      <c r="J67" s="1647">
        <f t="shared" ref="J67:Q67" si="28">J65-(J65-J66)*$H67</f>
        <v>15.990999999999998</v>
      </c>
      <c r="K67" s="1647">
        <f t="shared" si="28"/>
        <v>15.990999999999998</v>
      </c>
      <c r="L67" s="1647">
        <f t="shared" si="28"/>
        <v>16.456</v>
      </c>
      <c r="M67" s="1647">
        <f t="shared" si="28"/>
        <v>16.456</v>
      </c>
      <c r="N67" s="1647">
        <f t="shared" si="28"/>
        <v>16.456</v>
      </c>
      <c r="O67" s="1647">
        <f t="shared" si="28"/>
        <v>16.21</v>
      </c>
      <c r="P67" s="1647">
        <f t="shared" si="28"/>
        <v>16.21</v>
      </c>
      <c r="Q67" s="1647">
        <f t="shared" si="28"/>
        <v>16.21</v>
      </c>
    </row>
    <row r="68" spans="3:17">
      <c r="C68" s="1626" t="s">
        <v>1772</v>
      </c>
      <c r="D68" s="1644"/>
      <c r="E68" s="1644"/>
      <c r="F68" s="1645"/>
      <c r="G68" s="1646">
        <v>2</v>
      </c>
      <c r="H68" s="1646"/>
      <c r="I68" s="1647">
        <v>11.802</v>
      </c>
      <c r="J68" s="1647">
        <v>11.802</v>
      </c>
      <c r="K68" s="1647">
        <v>11.802</v>
      </c>
      <c r="L68" s="1647">
        <v>12.423999999999999</v>
      </c>
      <c r="M68" s="1647">
        <v>12.423999999999999</v>
      </c>
      <c r="N68" s="1647">
        <v>12.423999999999999</v>
      </c>
      <c r="O68" s="1647">
        <v>12.306000000000001</v>
      </c>
      <c r="P68" s="1647">
        <v>12.306000000000001</v>
      </c>
      <c r="Q68" s="1647">
        <v>12.306000000000001</v>
      </c>
    </row>
    <row r="69" spans="3:17" hidden="1">
      <c r="C69" s="1629"/>
      <c r="D69" s="913" t="s">
        <v>2406</v>
      </c>
      <c r="E69" s="913"/>
      <c r="F69" s="1630">
        <v>1</v>
      </c>
      <c r="G69" s="1646"/>
      <c r="H69" s="1646"/>
      <c r="I69" s="1647"/>
      <c r="J69" s="1647"/>
      <c r="K69" s="1647"/>
      <c r="L69" s="1647"/>
      <c r="M69" s="1647"/>
      <c r="N69" s="1647"/>
      <c r="O69" s="1647"/>
      <c r="P69" s="1647"/>
      <c r="Q69" s="1647"/>
    </row>
    <row r="70" spans="3:17" hidden="1">
      <c r="C70" s="1629"/>
      <c r="D70" s="1635" t="s">
        <v>2806</v>
      </c>
      <c r="E70" s="1635"/>
      <c r="F70" s="1648"/>
      <c r="G70" s="1641"/>
      <c r="H70" s="1649">
        <v>0</v>
      </c>
      <c r="I70" s="1647">
        <f t="shared" ref="I70:Q70" si="29">I68-(I68-I69)*$H70</f>
        <v>11.802</v>
      </c>
      <c r="J70" s="1647">
        <f t="shared" si="29"/>
        <v>11.802</v>
      </c>
      <c r="K70" s="1647">
        <f t="shared" si="29"/>
        <v>11.802</v>
      </c>
      <c r="L70" s="1647">
        <f t="shared" si="29"/>
        <v>12.423999999999999</v>
      </c>
      <c r="M70" s="1647">
        <f t="shared" si="29"/>
        <v>12.423999999999999</v>
      </c>
      <c r="N70" s="1647">
        <f t="shared" si="29"/>
        <v>12.423999999999999</v>
      </c>
      <c r="O70" s="1647">
        <f t="shared" si="29"/>
        <v>12.306000000000001</v>
      </c>
      <c r="P70" s="1647">
        <f t="shared" si="29"/>
        <v>12.306000000000001</v>
      </c>
      <c r="Q70" s="1647">
        <f t="shared" si="29"/>
        <v>12.306000000000001</v>
      </c>
    </row>
    <row r="71" spans="3:17">
      <c r="C71" s="1626" t="s">
        <v>1963</v>
      </c>
      <c r="D71" s="1644"/>
      <c r="E71" s="1644"/>
      <c r="F71" s="1645"/>
      <c r="G71" s="1646">
        <v>3</v>
      </c>
      <c r="H71" s="1646"/>
      <c r="I71" s="1647">
        <v>6.88</v>
      </c>
      <c r="J71" s="1647">
        <v>6.88</v>
      </c>
      <c r="K71" s="1647">
        <v>6.88</v>
      </c>
      <c r="L71" s="1647">
        <v>7.7379999999999995</v>
      </c>
      <c r="M71" s="1647">
        <v>7.7379999999999995</v>
      </c>
      <c r="N71" s="1647">
        <v>7.7379999999999995</v>
      </c>
      <c r="O71" s="1647">
        <v>6.91</v>
      </c>
      <c r="P71" s="1647">
        <v>6.91</v>
      </c>
      <c r="Q71" s="1647">
        <v>6.91</v>
      </c>
    </row>
    <row r="72" spans="3:17" hidden="1">
      <c r="C72" s="1629"/>
      <c r="D72" s="913" t="s">
        <v>2406</v>
      </c>
      <c r="E72" s="913"/>
      <c r="F72" s="1630">
        <v>1</v>
      </c>
      <c r="G72" s="1646"/>
      <c r="H72" s="1646"/>
      <c r="I72" s="1647"/>
      <c r="J72" s="1647"/>
      <c r="K72" s="1647"/>
      <c r="L72" s="1647"/>
      <c r="M72" s="1647"/>
      <c r="N72" s="1647"/>
      <c r="O72" s="1647"/>
      <c r="P72" s="1647"/>
      <c r="Q72" s="1647"/>
    </row>
    <row r="73" spans="3:17" hidden="1">
      <c r="C73" s="1629"/>
      <c r="D73" s="1635" t="s">
        <v>2806</v>
      </c>
      <c r="E73" s="1635"/>
      <c r="F73" s="1648"/>
      <c r="G73" s="1641"/>
      <c r="H73" s="1649">
        <v>0</v>
      </c>
      <c r="I73" s="1647">
        <f>I71-(I71-I72)*$H73</f>
        <v>6.88</v>
      </c>
      <c r="J73" s="1647">
        <f>J71-(J71-J72)*$H73</f>
        <v>6.88</v>
      </c>
      <c r="K73" s="1647">
        <f>K71-(K71-K72)*$H73</f>
        <v>6.88</v>
      </c>
      <c r="L73" s="1647">
        <v>13.193999999999999</v>
      </c>
      <c r="M73" s="1647">
        <v>13.193999999999999</v>
      </c>
      <c r="N73" s="1647">
        <v>13.193999999999999</v>
      </c>
      <c r="O73" s="1647">
        <f>O71-(O71-O72)*$H73</f>
        <v>6.91</v>
      </c>
      <c r="P73" s="1647">
        <f>P71-(P71-P72)*$H73</f>
        <v>6.91</v>
      </c>
      <c r="Q73" s="1647">
        <f>Q71-(Q71-Q72)*$H73</f>
        <v>6.91</v>
      </c>
    </row>
    <row r="74" spans="3:17">
      <c r="C74" s="1626" t="s">
        <v>2073</v>
      </c>
      <c r="D74" s="1644"/>
      <c r="E74" s="1644"/>
      <c r="F74" s="1645"/>
      <c r="G74" s="1646">
        <v>4</v>
      </c>
      <c r="H74" s="1646"/>
      <c r="I74" s="1647">
        <v>6.88</v>
      </c>
      <c r="J74" s="1647">
        <v>6.88</v>
      </c>
      <c r="K74" s="1647">
        <v>6.88</v>
      </c>
      <c r="L74" s="1647">
        <v>7.7379999999999995</v>
      </c>
      <c r="M74" s="1647">
        <v>7.7379999999999995</v>
      </c>
      <c r="N74" s="1647">
        <v>7.7379999999999995</v>
      </c>
      <c r="O74" s="1647">
        <v>6.91</v>
      </c>
      <c r="P74" s="1647">
        <v>6.91</v>
      </c>
      <c r="Q74" s="1647">
        <v>6.91</v>
      </c>
    </row>
    <row r="75" spans="3:17" hidden="1">
      <c r="C75" s="1629"/>
      <c r="D75" s="913" t="s">
        <v>2406</v>
      </c>
      <c r="E75" s="913"/>
      <c r="F75" s="1630">
        <v>1</v>
      </c>
      <c r="G75" s="1646"/>
      <c r="H75" s="1646"/>
      <c r="I75" s="1647"/>
      <c r="J75" s="1647"/>
      <c r="K75" s="1647"/>
      <c r="L75" s="1647"/>
      <c r="M75" s="1647"/>
      <c r="N75" s="1647"/>
      <c r="O75" s="1647"/>
      <c r="P75" s="1647"/>
      <c r="Q75" s="1647"/>
    </row>
    <row r="76" spans="3:17" hidden="1">
      <c r="C76" s="1629"/>
      <c r="D76" s="1635" t="s">
        <v>2806</v>
      </c>
      <c r="E76" s="1635"/>
      <c r="F76" s="1648"/>
      <c r="G76" s="1641"/>
      <c r="H76" s="1649">
        <v>0</v>
      </c>
      <c r="I76" s="1647">
        <f t="shared" ref="I76:Q76" si="30">I74-(I74-I75)*$H76</f>
        <v>6.88</v>
      </c>
      <c r="J76" s="1647">
        <f t="shared" si="30"/>
        <v>6.88</v>
      </c>
      <c r="K76" s="1647">
        <f t="shared" si="30"/>
        <v>6.88</v>
      </c>
      <c r="L76" s="1647">
        <f t="shared" si="30"/>
        <v>7.7379999999999995</v>
      </c>
      <c r="M76" s="1647">
        <f t="shared" si="30"/>
        <v>7.7379999999999995</v>
      </c>
      <c r="N76" s="1647">
        <f t="shared" si="30"/>
        <v>7.7379999999999995</v>
      </c>
      <c r="O76" s="1647">
        <f t="shared" si="30"/>
        <v>6.91</v>
      </c>
      <c r="P76" s="1647">
        <f t="shared" si="30"/>
        <v>6.91</v>
      </c>
      <c r="Q76" s="1647">
        <f t="shared" si="30"/>
        <v>6.91</v>
      </c>
    </row>
    <row r="77" spans="3:17">
      <c r="C77" s="1626" t="s">
        <v>1965</v>
      </c>
      <c r="D77" s="1644"/>
      <c r="E77" s="1644"/>
      <c r="F77" s="1645"/>
      <c r="G77" s="1646">
        <v>5</v>
      </c>
      <c r="H77" s="1646"/>
      <c r="I77" s="1647">
        <v>12.809999999999999</v>
      </c>
      <c r="J77" s="1647">
        <v>12.809999999999999</v>
      </c>
      <c r="K77" s="1647">
        <v>12.809999999999999</v>
      </c>
      <c r="L77" s="1647">
        <v>13.426</v>
      </c>
      <c r="M77" s="1647">
        <v>13.426</v>
      </c>
      <c r="N77" s="1647">
        <v>13.426</v>
      </c>
      <c r="O77" s="1647">
        <v>13.251000000000001</v>
      </c>
      <c r="P77" s="1647">
        <v>13.251000000000001</v>
      </c>
      <c r="Q77" s="1647">
        <v>13.251000000000001</v>
      </c>
    </row>
    <row r="78" spans="3:17" hidden="1">
      <c r="C78" s="1629"/>
      <c r="D78" s="913" t="s">
        <v>2406</v>
      </c>
      <c r="E78" s="913"/>
      <c r="F78" s="1630">
        <v>1</v>
      </c>
      <c r="G78" s="1646"/>
      <c r="H78" s="1646"/>
      <c r="I78" s="1647"/>
      <c r="J78" s="1647"/>
      <c r="K78" s="1647"/>
      <c r="L78" s="1647"/>
      <c r="M78" s="1647"/>
      <c r="N78" s="1647"/>
      <c r="O78" s="1647"/>
      <c r="P78" s="1647"/>
      <c r="Q78" s="1647"/>
    </row>
    <row r="79" spans="3:17" hidden="1">
      <c r="C79" s="1629"/>
      <c r="D79" s="1635" t="s">
        <v>2806</v>
      </c>
      <c r="E79" s="1635"/>
      <c r="F79" s="1648"/>
      <c r="G79" s="1641"/>
      <c r="H79" s="1649">
        <v>0</v>
      </c>
      <c r="I79" s="1647">
        <f t="shared" ref="I79:Q79" si="31">I77-(I77-I78)*$H79</f>
        <v>12.809999999999999</v>
      </c>
      <c r="J79" s="1647">
        <f t="shared" si="31"/>
        <v>12.809999999999999</v>
      </c>
      <c r="K79" s="1647">
        <f t="shared" si="31"/>
        <v>12.809999999999999</v>
      </c>
      <c r="L79" s="1647">
        <f t="shared" si="31"/>
        <v>13.426</v>
      </c>
      <c r="M79" s="1647">
        <f t="shared" si="31"/>
        <v>13.426</v>
      </c>
      <c r="N79" s="1647">
        <f t="shared" si="31"/>
        <v>13.426</v>
      </c>
      <c r="O79" s="1647">
        <f t="shared" si="31"/>
        <v>13.251000000000001</v>
      </c>
      <c r="P79" s="1647">
        <f t="shared" si="31"/>
        <v>13.251000000000001</v>
      </c>
      <c r="Q79" s="1647">
        <f t="shared" si="31"/>
        <v>13.251000000000001</v>
      </c>
    </row>
    <row r="80" spans="3:17">
      <c r="C80" s="1626" t="s">
        <v>477</v>
      </c>
      <c r="D80" s="1619"/>
      <c r="E80" s="1619"/>
      <c r="F80" s="1645"/>
      <c r="G80" s="1646">
        <v>6</v>
      </c>
      <c r="H80" s="1646"/>
      <c r="I80" s="1647">
        <v>8.6499999999999986</v>
      </c>
      <c r="J80" s="1647">
        <v>8.6499999999999986</v>
      </c>
      <c r="K80" s="1647">
        <v>8.6499999999999986</v>
      </c>
      <c r="L80" s="1647">
        <v>9.4220000000000006</v>
      </c>
      <c r="M80" s="1647">
        <v>9.4220000000000006</v>
      </c>
      <c r="N80" s="1647">
        <v>9.4220000000000006</v>
      </c>
      <c r="O80" s="1647">
        <v>9.0609999999999999</v>
      </c>
      <c r="P80" s="1647">
        <v>9.0609999999999999</v>
      </c>
      <c r="Q80" s="1647">
        <v>9.0609999999999999</v>
      </c>
    </row>
    <row r="81" spans="3:21" hidden="1">
      <c r="C81" s="1629"/>
      <c r="D81" s="913" t="s">
        <v>2406</v>
      </c>
      <c r="E81" s="913"/>
      <c r="F81" s="1630">
        <v>1</v>
      </c>
      <c r="G81" s="1646"/>
      <c r="H81" s="1646"/>
      <c r="I81" s="1647"/>
      <c r="J81" s="1647"/>
      <c r="K81" s="1647"/>
      <c r="L81" s="1647"/>
      <c r="M81" s="1647"/>
      <c r="N81" s="1647"/>
      <c r="O81" s="1647"/>
      <c r="P81" s="1647"/>
      <c r="Q81" s="1647"/>
    </row>
    <row r="82" spans="3:21" hidden="1">
      <c r="C82" s="1650"/>
      <c r="D82" s="1635" t="s">
        <v>2806</v>
      </c>
      <c r="E82" s="1635"/>
      <c r="F82" s="1648"/>
      <c r="G82" s="1641"/>
      <c r="H82" s="1649">
        <v>0</v>
      </c>
      <c r="I82" s="1647">
        <f t="shared" ref="I82:Q82" si="32">I80-(I80-I81)*$H82</f>
        <v>8.6499999999999986</v>
      </c>
      <c r="J82" s="1647">
        <f t="shared" si="32"/>
        <v>8.6499999999999986</v>
      </c>
      <c r="K82" s="1647">
        <f t="shared" si="32"/>
        <v>8.6499999999999986</v>
      </c>
      <c r="L82" s="1647">
        <f t="shared" si="32"/>
        <v>9.4220000000000006</v>
      </c>
      <c r="M82" s="1647">
        <f t="shared" si="32"/>
        <v>9.4220000000000006</v>
      </c>
      <c r="N82" s="1647">
        <f t="shared" si="32"/>
        <v>9.4220000000000006</v>
      </c>
      <c r="O82" s="1647">
        <f t="shared" si="32"/>
        <v>9.0609999999999999</v>
      </c>
      <c r="P82" s="1647">
        <f t="shared" si="32"/>
        <v>9.0609999999999999</v>
      </c>
      <c r="Q82" s="1647">
        <f t="shared" si="32"/>
        <v>9.0609999999999999</v>
      </c>
    </row>
    <row r="83" spans="3:21">
      <c r="C83" s="1626" t="s">
        <v>1967</v>
      </c>
      <c r="D83" s="1644"/>
      <c r="E83" s="1644"/>
      <c r="F83" s="1645"/>
      <c r="G83" s="1646">
        <v>7</v>
      </c>
      <c r="H83" s="1646"/>
      <c r="I83" s="1647">
        <v>15.425999999999998</v>
      </c>
      <c r="J83" s="1647">
        <v>15.425999999999998</v>
      </c>
      <c r="K83" s="1647">
        <v>15.425999999999998</v>
      </c>
      <c r="L83" s="1647">
        <v>16.053999999999998</v>
      </c>
      <c r="M83" s="1647">
        <v>16.053999999999998</v>
      </c>
      <c r="N83" s="1647">
        <v>16.053999999999998</v>
      </c>
      <c r="O83" s="1647">
        <v>15.893999999999998</v>
      </c>
      <c r="P83" s="1647">
        <v>15.893999999999998</v>
      </c>
      <c r="Q83" s="1647">
        <v>15.893999999999998</v>
      </c>
    </row>
    <row r="84" spans="3:21" hidden="1">
      <c r="C84" s="1629"/>
      <c r="D84" s="913" t="s">
        <v>2406</v>
      </c>
      <c r="E84" s="913"/>
      <c r="F84" s="1630">
        <v>1</v>
      </c>
      <c r="G84" s="1646"/>
      <c r="H84" s="1646"/>
      <c r="I84" s="1647"/>
      <c r="J84" s="1647"/>
      <c r="K84" s="1647"/>
      <c r="L84" s="1647"/>
      <c r="M84" s="1647"/>
      <c r="N84" s="1647"/>
      <c r="O84" s="1647"/>
      <c r="P84" s="1647"/>
      <c r="Q84" s="1647"/>
    </row>
    <row r="85" spans="3:21" hidden="1">
      <c r="C85" s="1629"/>
      <c r="D85" s="1635" t="s">
        <v>2806</v>
      </c>
      <c r="E85" s="1635"/>
      <c r="F85" s="1648"/>
      <c r="G85" s="1641"/>
      <c r="H85" s="1649">
        <v>0</v>
      </c>
      <c r="I85" s="1647">
        <f t="shared" ref="I85:Q85" si="33">I83-(I83-I84)*$H85</f>
        <v>15.425999999999998</v>
      </c>
      <c r="J85" s="1647">
        <f t="shared" si="33"/>
        <v>15.425999999999998</v>
      </c>
      <c r="K85" s="1647">
        <f t="shared" si="33"/>
        <v>15.425999999999998</v>
      </c>
      <c r="L85" s="1647">
        <f t="shared" si="33"/>
        <v>16.053999999999998</v>
      </c>
      <c r="M85" s="1647">
        <f t="shared" si="33"/>
        <v>16.053999999999998</v>
      </c>
      <c r="N85" s="1647">
        <f t="shared" si="33"/>
        <v>16.053999999999998</v>
      </c>
      <c r="O85" s="1647">
        <f t="shared" si="33"/>
        <v>15.893999999999998</v>
      </c>
      <c r="P85" s="1647">
        <f t="shared" si="33"/>
        <v>15.893999999999998</v>
      </c>
      <c r="Q85" s="1647">
        <f t="shared" si="33"/>
        <v>15.893999999999998</v>
      </c>
    </row>
    <row r="86" spans="3:21">
      <c r="C86" s="1626" t="s">
        <v>473</v>
      </c>
      <c r="D86" s="1644"/>
      <c r="E86" s="1644"/>
      <c r="F86" s="1645"/>
      <c r="G86" s="1646">
        <v>8</v>
      </c>
      <c r="H86" s="1646"/>
      <c r="I86" s="1647">
        <v>13.297999999999998</v>
      </c>
      <c r="J86" s="1647">
        <v>13.297999999999998</v>
      </c>
      <c r="K86" s="1647">
        <v>13.297999999999998</v>
      </c>
      <c r="L86" s="1647">
        <v>13.942</v>
      </c>
      <c r="M86" s="1647">
        <v>13.942</v>
      </c>
      <c r="N86" s="1647">
        <v>13.942</v>
      </c>
      <c r="O86" s="1647">
        <v>13.670999999999999</v>
      </c>
      <c r="P86" s="1647">
        <v>13.670999999999999</v>
      </c>
      <c r="Q86" s="1647">
        <v>13.670999999999999</v>
      </c>
    </row>
    <row r="87" spans="3:21" hidden="1">
      <c r="C87" s="1629"/>
      <c r="D87" s="913" t="s">
        <v>2406</v>
      </c>
      <c r="E87" s="913"/>
      <c r="F87" s="1630">
        <v>1</v>
      </c>
      <c r="G87" s="1646"/>
      <c r="H87" s="1646"/>
      <c r="I87" s="1651"/>
      <c r="J87" s="1651"/>
      <c r="K87" s="1651"/>
      <c r="L87" s="1651"/>
      <c r="M87" s="1651"/>
      <c r="N87" s="1651"/>
      <c r="O87" s="1651"/>
      <c r="P87" s="1651"/>
      <c r="Q87" s="1651"/>
    </row>
    <row r="88" spans="3:21" hidden="1">
      <c r="C88" s="1629"/>
      <c r="D88" s="1635" t="s">
        <v>2806</v>
      </c>
      <c r="E88" s="1635"/>
      <c r="F88" s="1648"/>
      <c r="G88" s="1641"/>
      <c r="H88" s="1649">
        <v>0</v>
      </c>
      <c r="I88" s="1647">
        <f>I86-(I86-I87)*$H88</f>
        <v>13.297999999999998</v>
      </c>
      <c r="J88" s="1647">
        <f t="shared" ref="J88:Q88" si="34">J86-(J86-J87)*$H88</f>
        <v>13.297999999999998</v>
      </c>
      <c r="K88" s="1647">
        <f t="shared" si="34"/>
        <v>13.297999999999998</v>
      </c>
      <c r="L88" s="1647">
        <f t="shared" si="34"/>
        <v>13.942</v>
      </c>
      <c r="M88" s="1647">
        <f t="shared" si="34"/>
        <v>13.942</v>
      </c>
      <c r="N88" s="1647">
        <f t="shared" si="34"/>
        <v>13.942</v>
      </c>
      <c r="O88" s="1647">
        <f t="shared" si="34"/>
        <v>13.670999999999999</v>
      </c>
      <c r="P88" s="1647">
        <f t="shared" si="34"/>
        <v>13.670999999999999</v>
      </c>
      <c r="Q88" s="1647">
        <f t="shared" si="34"/>
        <v>13.670999999999999</v>
      </c>
    </row>
    <row r="89" spans="3:21">
      <c r="C89" s="1626" t="s">
        <v>2074</v>
      </c>
      <c r="D89" s="1619"/>
      <c r="E89" s="1619"/>
      <c r="F89" s="1645"/>
      <c r="G89" s="1646">
        <v>9</v>
      </c>
      <c r="H89" s="1646"/>
      <c r="I89" s="1651">
        <v>8.0190000000000001</v>
      </c>
      <c r="J89" s="1651">
        <v>9.7210000000000001</v>
      </c>
      <c r="K89" s="1651">
        <v>10.979000000000001</v>
      </c>
      <c r="L89" s="1651">
        <v>8.3709999999999987</v>
      </c>
      <c r="M89" s="1651">
        <v>9.7349999999999994</v>
      </c>
      <c r="N89" s="1651">
        <v>10.863</v>
      </c>
      <c r="O89" s="1651">
        <v>8.3640000000000008</v>
      </c>
      <c r="P89" s="1651">
        <v>9.68</v>
      </c>
      <c r="Q89" s="1651">
        <v>10.783000000000001</v>
      </c>
    </row>
    <row r="90" spans="3:21" hidden="1">
      <c r="C90" s="1629"/>
      <c r="D90" s="913" t="s">
        <v>2406</v>
      </c>
      <c r="E90" s="913"/>
      <c r="F90" s="1630">
        <v>1</v>
      </c>
      <c r="G90" s="1652"/>
      <c r="H90" s="1652"/>
      <c r="I90" s="1647"/>
      <c r="J90" s="1647"/>
      <c r="K90" s="1647"/>
      <c r="L90" s="1647"/>
      <c r="M90" s="1647"/>
      <c r="N90" s="1647"/>
      <c r="O90" s="1647"/>
      <c r="P90" s="1647"/>
      <c r="Q90" s="1647"/>
    </row>
    <row r="91" spans="3:21" hidden="1">
      <c r="C91" s="1650"/>
      <c r="D91" s="1635" t="s">
        <v>2806</v>
      </c>
      <c r="E91" s="1635"/>
      <c r="F91" s="1653"/>
      <c r="G91" s="1641"/>
      <c r="H91" s="1649">
        <v>0</v>
      </c>
      <c r="I91" s="1654">
        <f t="shared" ref="I91:Q91" si="35">I89-(I89-I90)*$H91</f>
        <v>8.0190000000000001</v>
      </c>
      <c r="J91" s="1654">
        <f t="shared" si="35"/>
        <v>9.7210000000000001</v>
      </c>
      <c r="K91" s="1654">
        <f t="shared" si="35"/>
        <v>10.979000000000001</v>
      </c>
      <c r="L91" s="1654">
        <f t="shared" si="35"/>
        <v>8.3709999999999987</v>
      </c>
      <c r="M91" s="1654">
        <f t="shared" si="35"/>
        <v>9.7349999999999994</v>
      </c>
      <c r="N91" s="1654">
        <f t="shared" si="35"/>
        <v>10.863</v>
      </c>
      <c r="O91" s="1654">
        <f t="shared" si="35"/>
        <v>8.3640000000000008</v>
      </c>
      <c r="P91" s="1654">
        <f t="shared" si="35"/>
        <v>9.68</v>
      </c>
      <c r="Q91" s="1654">
        <f t="shared" si="35"/>
        <v>10.783000000000001</v>
      </c>
    </row>
    <row r="92" spans="3:21">
      <c r="C92" s="1642"/>
      <c r="D92" s="1642"/>
      <c r="E92" s="1613"/>
      <c r="F92" s="1655"/>
      <c r="G92" s="1655"/>
      <c r="H92" s="1655"/>
      <c r="I92" s="1655"/>
      <c r="J92" s="1655"/>
      <c r="K92" s="1655"/>
      <c r="L92" s="1655"/>
      <c r="M92" s="1642"/>
      <c r="N92" s="1642"/>
      <c r="O92" s="1642"/>
      <c r="P92" s="1642"/>
      <c r="Q92" s="1642"/>
    </row>
    <row r="93" spans="3:21">
      <c r="C93" s="1606" t="s">
        <v>2807</v>
      </c>
      <c r="D93" s="1607"/>
      <c r="E93" s="1608"/>
      <c r="F93" s="1608"/>
      <c r="G93" s="1608"/>
      <c r="H93" s="1608"/>
      <c r="I93" s="1608"/>
      <c r="J93" s="1608"/>
      <c r="K93" s="1608"/>
      <c r="L93" s="1608"/>
      <c r="M93" s="1608"/>
      <c r="N93" s="1608"/>
      <c r="O93" s="1608"/>
      <c r="P93" s="1608"/>
      <c r="Q93" s="1608"/>
    </row>
    <row r="94" spans="3:21">
      <c r="C94" s="1614" t="s">
        <v>1744</v>
      </c>
      <c r="D94" s="1607"/>
      <c r="E94" s="1608"/>
      <c r="F94" s="1608"/>
      <c r="G94" s="1608"/>
      <c r="H94" s="1608"/>
      <c r="I94" s="1608"/>
      <c r="J94" s="1608"/>
      <c r="K94" s="1608"/>
      <c r="L94" s="1608"/>
      <c r="M94" s="1608"/>
      <c r="N94" s="1608"/>
      <c r="O94" s="1608"/>
      <c r="P94" s="1608"/>
      <c r="Q94" s="1608"/>
    </row>
    <row r="95" spans="3:21">
      <c r="D95" s="1608" t="s">
        <v>2808</v>
      </c>
      <c r="F95" s="2128" t="s">
        <v>1777</v>
      </c>
      <c r="G95" s="1608"/>
      <c r="H95" s="1608"/>
      <c r="I95" s="2117" t="e">
        <f>係数!D5*1000</f>
        <v>#VALUE!</v>
      </c>
      <c r="J95" s="1656" t="str">
        <f>係数!C5</f>
        <v>根拠を記入してください</v>
      </c>
      <c r="K95" s="1642"/>
      <c r="L95" s="1642"/>
      <c r="M95" s="1642" t="s">
        <v>1778</v>
      </c>
      <c r="N95" s="1642"/>
      <c r="O95" s="1642" t="e">
        <f>係数!J50*1000</f>
        <v>#VALUE!</v>
      </c>
      <c r="P95" s="1642" t="s">
        <v>523</v>
      </c>
      <c r="Q95" s="1657"/>
    </row>
    <row r="96" spans="3:21">
      <c r="C96" s="1606"/>
      <c r="D96" s="1608"/>
      <c r="F96" s="2128" t="s">
        <v>1779</v>
      </c>
      <c r="G96" s="1608"/>
      <c r="H96" s="1608"/>
      <c r="I96" s="2117" t="e">
        <f>I95/J96</f>
        <v>#VALUE!</v>
      </c>
      <c r="J96" s="1660">
        <v>9.76</v>
      </c>
      <c r="K96" s="1658" t="s">
        <v>2309</v>
      </c>
      <c r="L96" s="1608"/>
      <c r="M96" s="1608"/>
      <c r="N96" s="1608"/>
      <c r="O96" s="1608"/>
      <c r="P96" s="1608"/>
      <c r="Q96" s="1659"/>
      <c r="U96" t="e">
        <f>O95/J96</f>
        <v>#VALUE!</v>
      </c>
    </row>
    <row r="97" spans="2:19">
      <c r="C97" s="1606"/>
      <c r="D97" s="1608" t="s">
        <v>1780</v>
      </c>
      <c r="F97" s="2128" t="s">
        <v>1779</v>
      </c>
      <c r="G97" s="1608"/>
      <c r="H97" s="1608"/>
      <c r="I97" s="2117">
        <v>4.9799999999999997E-2</v>
      </c>
      <c r="J97" s="1660"/>
      <c r="K97" s="1608"/>
      <c r="L97" s="1608"/>
      <c r="M97" s="1608"/>
      <c r="N97" s="1608"/>
      <c r="O97" s="1608"/>
      <c r="P97" s="1608"/>
      <c r="Q97" s="1659"/>
    </row>
    <row r="98" spans="2:19" hidden="1">
      <c r="C98" s="1606"/>
      <c r="D98" s="1608" t="s">
        <v>1781</v>
      </c>
      <c r="F98" s="2128" t="s">
        <v>1779</v>
      </c>
      <c r="G98" s="1608"/>
      <c r="H98" s="1608"/>
      <c r="I98" s="2117">
        <v>5.7000000000000002E-2</v>
      </c>
      <c r="J98" s="1660"/>
      <c r="K98" s="1608"/>
      <c r="L98" s="1608"/>
      <c r="M98" s="1608"/>
      <c r="N98" s="1608"/>
      <c r="O98" s="1608"/>
      <c r="P98" s="1608"/>
      <c r="Q98" s="1659"/>
    </row>
    <row r="99" spans="2:19">
      <c r="C99" s="1606"/>
      <c r="D99" s="1608" t="s">
        <v>1782</v>
      </c>
      <c r="F99" s="2128" t="s">
        <v>1779</v>
      </c>
      <c r="G99" s="1608"/>
      <c r="H99" s="1608"/>
      <c r="I99" s="2117">
        <v>6.7799999999999999E-2</v>
      </c>
      <c r="J99" s="1660"/>
      <c r="K99" s="1608"/>
      <c r="L99" s="1608"/>
      <c r="M99" s="1608"/>
      <c r="N99" s="1608"/>
      <c r="O99" s="1608"/>
      <c r="P99" s="1608"/>
      <c r="Q99" s="1659"/>
    </row>
    <row r="100" spans="2:19">
      <c r="C100" s="1606"/>
      <c r="D100" s="1608" t="s">
        <v>1783</v>
      </c>
      <c r="F100" s="2128" t="s">
        <v>1779</v>
      </c>
      <c r="G100" s="1608"/>
      <c r="H100" s="1608"/>
      <c r="I100" s="2117">
        <v>6.93E-2</v>
      </c>
      <c r="J100" s="1660"/>
      <c r="K100" s="1608"/>
      <c r="L100" s="1608"/>
      <c r="M100" s="1608"/>
      <c r="N100" s="1608"/>
      <c r="O100" s="1608"/>
      <c r="P100" s="1608"/>
      <c r="Q100" s="1659"/>
    </row>
    <row r="101" spans="2:19">
      <c r="C101" s="1606"/>
      <c r="D101" s="1608" t="s">
        <v>1784</v>
      </c>
      <c r="F101" s="2128" t="s">
        <v>1779</v>
      </c>
      <c r="G101" s="1608"/>
      <c r="H101" s="1608"/>
      <c r="I101" s="2117">
        <f>(I99+I100)/2</f>
        <v>6.855E-2</v>
      </c>
      <c r="J101" s="2118" t="s">
        <v>1785</v>
      </c>
      <c r="K101" s="1608"/>
      <c r="L101" s="1608"/>
      <c r="M101" s="1608"/>
      <c r="N101" s="1608"/>
      <c r="O101" s="1608"/>
      <c r="P101" s="1608"/>
      <c r="Q101" s="1659"/>
    </row>
    <row r="102" spans="2:19">
      <c r="C102" s="1606"/>
      <c r="D102" s="1608" t="s">
        <v>1613</v>
      </c>
      <c r="F102" s="2128" t="s">
        <v>1614</v>
      </c>
      <c r="G102" s="1608"/>
      <c r="H102" s="1608"/>
      <c r="I102" s="2117">
        <v>5.8999999999999997E-2</v>
      </c>
      <c r="J102" s="1661"/>
      <c r="K102" s="1662"/>
      <c r="L102" s="1662"/>
      <c r="M102" s="1662"/>
      <c r="N102" s="1662"/>
      <c r="O102" s="1662"/>
      <c r="P102" s="1662"/>
      <c r="Q102" s="1663"/>
    </row>
    <row r="103" spans="2:19">
      <c r="B103" s="880"/>
      <c r="C103" s="1608" t="s">
        <v>1340</v>
      </c>
      <c r="D103" s="880"/>
      <c r="E103" s="1608"/>
      <c r="F103" s="1608"/>
      <c r="G103" s="1608"/>
      <c r="H103" s="1608"/>
      <c r="I103" s="1664"/>
      <c r="J103" s="1608"/>
      <c r="K103" s="1608"/>
      <c r="L103" s="1608"/>
      <c r="M103" s="1608"/>
      <c r="N103" s="1608"/>
      <c r="O103" s="1608"/>
      <c r="P103" s="1608"/>
      <c r="Q103" s="1608"/>
      <c r="R103" s="880"/>
      <c r="S103" s="880"/>
    </row>
    <row r="104" spans="2:19">
      <c r="B104" s="880"/>
      <c r="C104" s="1607"/>
      <c r="D104" s="1608" t="s">
        <v>353</v>
      </c>
      <c r="E104" s="880"/>
      <c r="F104" s="1608"/>
      <c r="G104" s="1608"/>
      <c r="H104" s="1608"/>
      <c r="I104" s="1608" t="s">
        <v>1341</v>
      </c>
      <c r="J104" s="1608"/>
      <c r="K104" s="1614" t="s">
        <v>1342</v>
      </c>
      <c r="L104" s="1608"/>
      <c r="M104" s="1608"/>
      <c r="N104" s="1608"/>
      <c r="O104" s="1608"/>
      <c r="P104" s="1608"/>
      <c r="Q104" s="1608"/>
      <c r="R104" s="880"/>
      <c r="S104" s="880"/>
    </row>
    <row r="105" spans="2:19">
      <c r="B105" s="880"/>
      <c r="C105" s="1607"/>
      <c r="D105" s="1608" t="s">
        <v>2257</v>
      </c>
      <c r="E105" s="880"/>
      <c r="F105" s="1608"/>
      <c r="G105" s="1608"/>
      <c r="H105" s="1608"/>
      <c r="I105" s="1665">
        <v>6.8800000000000003E-4</v>
      </c>
      <c r="J105" s="1608"/>
      <c r="K105" s="1665">
        <v>6.8000000000000005E-4</v>
      </c>
      <c r="L105" s="1608"/>
      <c r="M105" s="1608"/>
      <c r="N105" s="1608"/>
      <c r="O105" s="1608"/>
      <c r="P105" s="1608"/>
      <c r="Q105" s="1608"/>
      <c r="R105" s="880"/>
      <c r="S105" s="880"/>
    </row>
    <row r="106" spans="2:19">
      <c r="B106" s="880"/>
      <c r="C106" s="1607"/>
      <c r="D106" s="1608" t="s">
        <v>2256</v>
      </c>
      <c r="E106" s="880"/>
      <c r="F106" s="1608"/>
      <c r="G106" s="1608"/>
      <c r="H106" s="1608"/>
      <c r="I106" s="1665">
        <v>5.9999999999999995E-4</v>
      </c>
      <c r="J106" s="1608"/>
      <c r="K106" s="1665">
        <v>5.5999999999999995E-4</v>
      </c>
      <c r="L106" s="1608"/>
      <c r="M106" s="1608"/>
      <c r="N106" s="1608"/>
      <c r="O106" s="1608"/>
      <c r="P106" s="1608"/>
      <c r="Q106" s="1608"/>
      <c r="R106" s="880"/>
      <c r="S106" s="880"/>
    </row>
    <row r="107" spans="2:19">
      <c r="B107" s="880"/>
      <c r="C107" s="1607"/>
      <c r="D107" s="1608" t="s">
        <v>2255</v>
      </c>
      <c r="E107" s="880"/>
      <c r="F107" s="1608"/>
      <c r="G107" s="1608"/>
      <c r="H107" s="1608"/>
      <c r="I107" s="1665">
        <v>5.2499999999999997E-4</v>
      </c>
      <c r="J107" s="1608"/>
      <c r="K107" s="1665">
        <v>4.06E-4</v>
      </c>
      <c r="L107" s="1608"/>
      <c r="M107" s="1608"/>
      <c r="N107" s="1608"/>
      <c r="O107" s="1608"/>
      <c r="P107" s="1608"/>
      <c r="Q107" s="1608"/>
      <c r="R107" s="880"/>
      <c r="S107" s="880"/>
    </row>
    <row r="108" spans="2:19">
      <c r="B108" s="880"/>
      <c r="C108" s="1607"/>
      <c r="D108" s="1608" t="s">
        <v>2254</v>
      </c>
      <c r="E108" s="880"/>
      <c r="F108" s="1608"/>
      <c r="G108" s="1608"/>
      <c r="H108" s="1608"/>
      <c r="I108" s="1665">
        <v>5.1599999999999997E-4</v>
      </c>
      <c r="J108" s="1608"/>
      <c r="K108" s="1665">
        <v>3.7300000000000001E-4</v>
      </c>
      <c r="L108" s="1608"/>
      <c r="M108" s="1608"/>
      <c r="N108" s="1608"/>
      <c r="O108" s="1608"/>
      <c r="P108" s="1608"/>
      <c r="Q108" s="1608"/>
      <c r="R108" s="880"/>
      <c r="S108" s="880"/>
    </row>
    <row r="109" spans="2:19">
      <c r="B109" s="880"/>
      <c r="C109" s="1607"/>
      <c r="D109" s="1608" t="s">
        <v>2258</v>
      </c>
      <c r="E109" s="880"/>
      <c r="F109" s="1608"/>
      <c r="G109" s="1608"/>
      <c r="H109" s="1608"/>
      <c r="I109" s="1665">
        <v>6.6299999999999996E-4</v>
      </c>
      <c r="J109" s="1608"/>
      <c r="K109" s="1665">
        <v>4.9399999999999997E-4</v>
      </c>
      <c r="L109" s="1608"/>
      <c r="M109" s="1608"/>
      <c r="N109" s="1608"/>
      <c r="O109" s="1608"/>
      <c r="P109" s="1608"/>
      <c r="Q109" s="1608"/>
      <c r="R109" s="880"/>
      <c r="S109" s="880"/>
    </row>
    <row r="110" spans="2:19">
      <c r="B110" s="880"/>
      <c r="C110" s="1607"/>
      <c r="D110" s="1608" t="s">
        <v>2248</v>
      </c>
      <c r="E110" s="880"/>
      <c r="F110" s="1608"/>
      <c r="G110" s="1608"/>
      <c r="H110" s="1608"/>
      <c r="I110" s="1665">
        <v>5.1400000000000003E-4</v>
      </c>
      <c r="J110" s="1608"/>
      <c r="K110" s="1665">
        <v>4.75E-4</v>
      </c>
      <c r="L110" s="1608"/>
      <c r="M110" s="1608"/>
      <c r="N110" s="1608"/>
      <c r="O110" s="1608"/>
      <c r="P110" s="1608"/>
      <c r="Q110" s="1608"/>
      <c r="R110" s="880"/>
      <c r="S110" s="880"/>
    </row>
    <row r="111" spans="2:19">
      <c r="B111" s="880"/>
      <c r="C111" s="1607"/>
      <c r="D111" s="1608" t="s">
        <v>2253</v>
      </c>
      <c r="E111" s="880"/>
      <c r="F111" s="1608"/>
      <c r="G111" s="1608"/>
      <c r="H111" s="1608"/>
      <c r="I111" s="1665">
        <v>7.3800000000000005E-4</v>
      </c>
      <c r="J111" s="1608"/>
      <c r="K111" s="1665">
        <v>6.7199999999999996E-4</v>
      </c>
      <c r="L111" s="1608"/>
      <c r="M111" s="1608"/>
      <c r="N111" s="1608"/>
      <c r="O111" s="1608"/>
      <c r="P111" s="1608"/>
      <c r="Q111" s="1608"/>
      <c r="R111" s="880"/>
      <c r="S111" s="880"/>
    </row>
    <row r="112" spans="2:19">
      <c r="B112" s="880"/>
      <c r="C112" s="1607"/>
      <c r="D112" s="1608" t="s">
        <v>2251</v>
      </c>
      <c r="E112" s="880"/>
      <c r="F112" s="1608"/>
      <c r="G112" s="1608"/>
      <c r="H112" s="1608"/>
      <c r="I112" s="1665">
        <v>6.9999999999999999E-4</v>
      </c>
      <c r="J112" s="1608"/>
      <c r="K112" s="1665">
        <v>6.5600000000000001E-4</v>
      </c>
      <c r="L112" s="1608"/>
      <c r="M112" s="1608"/>
      <c r="N112" s="1608"/>
      <c r="O112" s="1608"/>
      <c r="P112" s="1608"/>
      <c r="Q112" s="1608"/>
      <c r="R112" s="880"/>
      <c r="S112" s="880"/>
    </row>
    <row r="113" spans="2:19">
      <c r="B113" s="880"/>
      <c r="C113" s="1607"/>
      <c r="D113" s="1608" t="s">
        <v>2250</v>
      </c>
      <c r="E113" s="880"/>
      <c r="F113" s="1608"/>
      <c r="G113" s="1608"/>
      <c r="H113" s="1608"/>
      <c r="I113" s="1665">
        <v>6.1200000000000002E-4</v>
      </c>
      <c r="J113" s="1608"/>
      <c r="K113" s="1665">
        <v>5.9900000000000003E-4</v>
      </c>
      <c r="L113" s="1608"/>
      <c r="M113" s="1608"/>
      <c r="N113" s="1608"/>
      <c r="O113" s="1608"/>
      <c r="P113" s="1608"/>
      <c r="Q113" s="1608"/>
      <c r="R113" s="880"/>
      <c r="S113" s="880"/>
    </row>
    <row r="114" spans="2:19">
      <c r="B114" s="880"/>
      <c r="C114" s="1607"/>
      <c r="D114" s="1608" t="s">
        <v>2245</v>
      </c>
      <c r="E114" s="880"/>
      <c r="F114" s="1608"/>
      <c r="G114" s="1608"/>
      <c r="H114" s="1608"/>
      <c r="I114" s="1665">
        <v>9.0300000000000005E-4</v>
      </c>
      <c r="J114" s="1608"/>
      <c r="K114" s="1665">
        <v>6.9200000000000002E-4</v>
      </c>
      <c r="L114" s="1608"/>
      <c r="M114" s="1608"/>
      <c r="N114" s="1608"/>
      <c r="O114" s="1608"/>
      <c r="P114" s="1608"/>
      <c r="Q114" s="1608"/>
      <c r="R114" s="880"/>
      <c r="S114" s="880"/>
    </row>
    <row r="115" spans="2:19">
      <c r="B115" s="880"/>
      <c r="C115" s="1607"/>
      <c r="D115" s="1608" t="s">
        <v>1081</v>
      </c>
      <c r="E115" s="880"/>
      <c r="F115" s="1608"/>
      <c r="G115" s="1608"/>
      <c r="H115" s="1608"/>
      <c r="I115" s="1665">
        <v>6.0300000000000002E-4</v>
      </c>
      <c r="J115" s="1608"/>
      <c r="K115" s="1665">
        <v>4.28E-4</v>
      </c>
      <c r="L115" s="1608"/>
      <c r="M115" s="1608"/>
      <c r="N115" s="1608"/>
      <c r="O115" s="1608"/>
      <c r="P115" s="1608"/>
      <c r="Q115" s="1608"/>
      <c r="R115" s="880"/>
      <c r="S115" s="880"/>
    </row>
    <row r="116" spans="2:19">
      <c r="B116" s="880"/>
      <c r="C116" s="1607"/>
      <c r="D116" s="1608" t="s">
        <v>1862</v>
      </c>
      <c r="E116" s="880"/>
      <c r="F116" s="1608"/>
      <c r="G116" s="1608"/>
      <c r="H116" s="1608"/>
      <c r="I116" s="1665">
        <v>8.6000000000000003E-5</v>
      </c>
      <c r="J116" s="1608"/>
      <c r="K116" s="1665">
        <v>1.06E-4</v>
      </c>
      <c r="L116" s="1608"/>
      <c r="M116" s="1608"/>
      <c r="N116" s="1608"/>
      <c r="O116" s="1608"/>
      <c r="P116" s="1608"/>
      <c r="Q116" s="1608"/>
      <c r="R116" s="880"/>
      <c r="S116" s="880"/>
    </row>
    <row r="117" spans="2:19">
      <c r="B117" s="880"/>
      <c r="C117" s="1607"/>
      <c r="D117" s="1608" t="s">
        <v>1863</v>
      </c>
      <c r="E117" s="880"/>
      <c r="F117" s="1608"/>
      <c r="G117" s="1608"/>
      <c r="H117" s="1608"/>
      <c r="I117" s="1665">
        <v>6.7599999999999995E-4</v>
      </c>
      <c r="J117" s="1608"/>
      <c r="K117" s="1665">
        <v>2.9300000000000002E-4</v>
      </c>
      <c r="L117" s="1608"/>
      <c r="M117" s="1608"/>
      <c r="N117" s="1608"/>
      <c r="O117" s="1608"/>
      <c r="P117" s="1608"/>
      <c r="Q117" s="1608"/>
      <c r="R117" s="880"/>
      <c r="S117" s="880"/>
    </row>
    <row r="118" spans="2:19">
      <c r="B118" s="880"/>
      <c r="C118" s="1607"/>
      <c r="D118" s="1608" t="s">
        <v>1083</v>
      </c>
      <c r="E118" s="880"/>
      <c r="F118" s="1608"/>
      <c r="G118" s="1608"/>
      <c r="H118" s="1608"/>
      <c r="I118" s="1665">
        <v>6.1600000000000001E-4</v>
      </c>
      <c r="J118" s="1608"/>
      <c r="K118" s="1665">
        <v>4.8200000000000001E-4</v>
      </c>
      <c r="L118" s="1608"/>
      <c r="M118" s="1608"/>
      <c r="N118" s="1608"/>
      <c r="O118" s="1608"/>
      <c r="P118" s="1608"/>
      <c r="Q118" s="1608"/>
      <c r="R118" s="880"/>
      <c r="S118" s="880"/>
    </row>
    <row r="119" spans="2:19">
      <c r="B119" s="880"/>
      <c r="C119" s="1608"/>
      <c r="D119" s="1608" t="s">
        <v>1864</v>
      </c>
      <c r="E119" s="880"/>
      <c r="F119" s="1608"/>
      <c r="G119" s="1608"/>
      <c r="H119" s="1608"/>
      <c r="I119" s="1665">
        <v>4.5600000000000003E-4</v>
      </c>
      <c r="J119" s="1608"/>
      <c r="K119" s="1665">
        <v>4.5600000000000003E-4</v>
      </c>
      <c r="L119" s="1608"/>
      <c r="M119" s="1608"/>
      <c r="N119" s="1608"/>
      <c r="O119" s="1608"/>
      <c r="P119" s="1608"/>
      <c r="Q119" s="1608"/>
      <c r="R119" s="880"/>
      <c r="S119" s="880"/>
    </row>
    <row r="120" spans="2:19">
      <c r="B120" s="880"/>
      <c r="C120" s="1607"/>
      <c r="D120" s="1608" t="s">
        <v>2244</v>
      </c>
      <c r="E120" s="880"/>
      <c r="F120" s="1608"/>
      <c r="G120" s="1608"/>
      <c r="H120" s="1608"/>
      <c r="I120" s="1665">
        <v>4.75E-4</v>
      </c>
      <c r="J120" s="1608"/>
      <c r="K120" s="1665">
        <v>4.7100000000000001E-4</v>
      </c>
      <c r="L120" s="1608"/>
      <c r="M120" s="1608"/>
      <c r="N120" s="1608"/>
      <c r="O120" s="1608"/>
      <c r="P120" s="1608"/>
      <c r="Q120" s="1608"/>
      <c r="R120" s="880"/>
      <c r="S120" s="880"/>
    </row>
    <row r="121" spans="2:19">
      <c r="B121" s="880"/>
      <c r="C121" s="1607"/>
      <c r="D121" s="1608" t="s">
        <v>1865</v>
      </c>
      <c r="E121" s="880"/>
      <c r="F121" s="1608"/>
      <c r="G121" s="1608"/>
      <c r="H121" s="1608"/>
      <c r="I121" s="1665">
        <v>7.6199999999999998E-4</v>
      </c>
      <c r="J121" s="1608"/>
      <c r="K121" s="1665">
        <v>7.5699999999999997E-4</v>
      </c>
      <c r="L121" s="1608"/>
      <c r="M121" s="1608"/>
      <c r="N121" s="1608"/>
      <c r="O121" s="1608"/>
      <c r="P121" s="1608"/>
      <c r="Q121" s="1608"/>
      <c r="R121" s="880"/>
      <c r="S121" s="880"/>
    </row>
    <row r="122" spans="2:19">
      <c r="B122" s="880"/>
      <c r="C122" s="1607"/>
      <c r="D122" s="1608" t="s">
        <v>1866</v>
      </c>
      <c r="E122" s="880"/>
      <c r="F122" s="1608"/>
      <c r="G122" s="1608"/>
      <c r="H122" s="1608"/>
      <c r="I122" s="1665">
        <v>0</v>
      </c>
      <c r="J122" s="1608"/>
      <c r="K122" s="1665">
        <v>0</v>
      </c>
      <c r="L122" s="1608"/>
      <c r="M122" s="1608"/>
      <c r="N122" s="1608"/>
      <c r="O122" s="1608"/>
      <c r="P122" s="1608"/>
      <c r="Q122" s="1608"/>
      <c r="R122" s="880"/>
      <c r="S122" s="880"/>
    </row>
    <row r="123" spans="2:19">
      <c r="B123" s="880"/>
      <c r="C123" s="1607"/>
      <c r="D123" s="1608" t="s">
        <v>2247</v>
      </c>
      <c r="E123" s="880"/>
      <c r="F123" s="1608"/>
      <c r="G123" s="1608"/>
      <c r="H123" s="1608"/>
      <c r="I123" s="1665">
        <v>4.2900000000000002E-4</v>
      </c>
      <c r="J123" s="1608"/>
      <c r="K123" s="1665">
        <v>4.2700000000000002E-4</v>
      </c>
      <c r="L123" s="1608"/>
      <c r="M123" s="1608"/>
      <c r="N123" s="1608"/>
      <c r="O123" s="1608"/>
      <c r="P123" s="1608"/>
      <c r="Q123" s="1608"/>
      <c r="R123" s="880"/>
      <c r="S123" s="880"/>
    </row>
    <row r="124" spans="2:19">
      <c r="B124" s="880"/>
      <c r="C124" s="1607"/>
      <c r="D124" s="1608" t="s">
        <v>2246</v>
      </c>
      <c r="E124" s="880"/>
      <c r="F124" s="1608"/>
      <c r="G124" s="1608"/>
      <c r="H124" s="1608"/>
      <c r="I124" s="1665">
        <v>5.2499999999999997E-4</v>
      </c>
      <c r="J124" s="1608"/>
      <c r="K124" s="1665">
        <v>4.4499999999999997E-4</v>
      </c>
      <c r="L124" s="1608"/>
      <c r="M124" s="1608"/>
      <c r="N124" s="1608"/>
      <c r="O124" s="1608"/>
      <c r="P124" s="1608"/>
      <c r="Q124" s="1608"/>
      <c r="R124" s="880"/>
      <c r="S124" s="880"/>
    </row>
    <row r="125" spans="2:19">
      <c r="B125" s="880"/>
      <c r="C125" s="1607"/>
      <c r="D125" s="1608" t="s">
        <v>1867</v>
      </c>
      <c r="E125" s="880"/>
      <c r="F125" s="1608"/>
      <c r="G125" s="1608"/>
      <c r="H125" s="1608"/>
      <c r="I125" s="1665">
        <v>4.4099999999999999E-4</v>
      </c>
      <c r="J125" s="1608"/>
      <c r="K125" s="1665">
        <v>0</v>
      </c>
      <c r="L125" s="1608"/>
      <c r="M125" s="1608"/>
      <c r="N125" s="1608"/>
      <c r="O125" s="1608"/>
      <c r="P125" s="1608"/>
      <c r="Q125" s="1608"/>
      <c r="R125" s="880"/>
      <c r="S125" s="880"/>
    </row>
    <row r="126" spans="2:19">
      <c r="B126" s="880"/>
      <c r="C126" s="1607"/>
      <c r="D126" s="1608" t="s">
        <v>1868</v>
      </c>
      <c r="E126" s="880"/>
      <c r="F126" s="1608"/>
      <c r="G126" s="1608"/>
      <c r="H126" s="1608"/>
      <c r="I126" s="1665">
        <v>7.9699999999999997E-4</v>
      </c>
      <c r="J126" s="1608"/>
      <c r="K126" s="1665">
        <v>7.8899999999999999E-4</v>
      </c>
      <c r="L126" s="1608"/>
      <c r="M126" s="1608"/>
      <c r="N126" s="1608"/>
      <c r="O126" s="1608"/>
      <c r="P126" s="1608"/>
      <c r="Q126" s="1608"/>
      <c r="R126" s="880"/>
      <c r="S126" s="880"/>
    </row>
    <row r="127" spans="2:19">
      <c r="B127" s="880"/>
      <c r="C127" s="1607"/>
      <c r="D127" s="1608" t="s">
        <v>1084</v>
      </c>
      <c r="E127" s="880"/>
      <c r="F127" s="1608"/>
      <c r="G127" s="1608"/>
      <c r="H127" s="1608"/>
      <c r="I127" s="1665">
        <v>4.3800000000000002E-4</v>
      </c>
      <c r="J127" s="1608"/>
      <c r="K127" s="1665">
        <v>2.5900000000000001E-4</v>
      </c>
      <c r="L127" s="1608"/>
      <c r="M127" s="1608"/>
      <c r="N127" s="1608"/>
      <c r="O127" s="1608"/>
      <c r="P127" s="1608"/>
      <c r="Q127" s="1608"/>
      <c r="R127" s="880"/>
      <c r="S127" s="880"/>
    </row>
    <row r="128" spans="2:19">
      <c r="B128" s="880"/>
      <c r="C128" s="1607"/>
      <c r="D128" s="1608" t="s">
        <v>1869</v>
      </c>
      <c r="E128" s="880"/>
      <c r="F128" s="1608"/>
      <c r="G128" s="1608"/>
      <c r="H128" s="1608"/>
      <c r="I128" s="1665">
        <v>3.6699999999999998E-4</v>
      </c>
      <c r="J128" s="1608"/>
      <c r="K128" s="1665">
        <v>3.6400000000000001E-4</v>
      </c>
      <c r="L128" s="1608"/>
      <c r="M128" s="1608"/>
      <c r="N128" s="1608"/>
      <c r="O128" s="1608"/>
      <c r="P128" s="1608"/>
      <c r="Q128" s="1608"/>
      <c r="R128" s="880"/>
      <c r="S128" s="880"/>
    </row>
    <row r="129" spans="2:19">
      <c r="B129" s="880"/>
      <c r="C129" s="1607"/>
      <c r="D129" s="1608" t="s">
        <v>1870</v>
      </c>
      <c r="E129" s="880"/>
      <c r="F129" s="1608"/>
      <c r="G129" s="1608"/>
      <c r="H129" s="1608"/>
      <c r="I129" s="1665">
        <v>4.9399999999999997E-4</v>
      </c>
      <c r="J129" s="1608"/>
      <c r="K129" s="1665">
        <v>4.8999999999999998E-4</v>
      </c>
      <c r="L129" s="1608"/>
      <c r="M129" s="1608"/>
      <c r="N129" s="1608"/>
      <c r="O129" s="1608"/>
      <c r="P129" s="1608"/>
      <c r="Q129" s="1608"/>
      <c r="R129" s="880"/>
      <c r="S129" s="880"/>
    </row>
    <row r="130" spans="2:19">
      <c r="B130" s="880"/>
      <c r="C130" s="1607"/>
      <c r="D130" s="1608" t="s">
        <v>1871</v>
      </c>
      <c r="E130" s="880"/>
      <c r="F130" s="1608"/>
      <c r="G130" s="1608"/>
      <c r="H130" s="1608"/>
      <c r="I130" s="1665">
        <v>3.1199999999999999E-4</v>
      </c>
      <c r="J130" s="1608"/>
      <c r="K130" s="1665">
        <v>3.0899999999999998E-4</v>
      </c>
      <c r="L130" s="1608"/>
      <c r="M130" s="1608"/>
      <c r="N130" s="1608"/>
      <c r="O130" s="1608"/>
      <c r="P130" s="1608"/>
      <c r="Q130" s="1608"/>
      <c r="R130" s="880"/>
      <c r="S130" s="880"/>
    </row>
    <row r="131" spans="2:19">
      <c r="B131" s="880"/>
      <c r="C131" s="1607"/>
      <c r="D131" s="1608" t="s">
        <v>2252</v>
      </c>
      <c r="E131" s="880"/>
      <c r="F131" s="1608"/>
      <c r="G131" s="1608"/>
      <c r="H131" s="1608"/>
      <c r="I131" s="1665">
        <v>3.6699999999999998E-4</v>
      </c>
      <c r="J131" s="1608"/>
      <c r="K131" s="1665">
        <v>3.6400000000000001E-4</v>
      </c>
      <c r="L131" s="1608"/>
      <c r="M131" s="1608"/>
      <c r="N131" s="1608"/>
      <c r="O131" s="1608"/>
      <c r="P131" s="1608"/>
      <c r="Q131" s="1608"/>
      <c r="R131" s="880"/>
      <c r="S131" s="880"/>
    </row>
    <row r="132" spans="2:19">
      <c r="B132" s="880"/>
      <c r="C132" s="1607"/>
      <c r="D132" s="1608" t="s">
        <v>1872</v>
      </c>
      <c r="E132" s="880"/>
      <c r="F132" s="1608"/>
      <c r="G132" s="1608"/>
      <c r="H132" s="1608"/>
      <c r="I132" s="1665">
        <v>6.5499999999999998E-4</v>
      </c>
      <c r="J132" s="1608"/>
      <c r="K132" s="1665">
        <v>6.5399999999999996E-4</v>
      </c>
      <c r="L132" s="1608"/>
      <c r="M132" s="1608"/>
      <c r="N132" s="1608"/>
      <c r="O132" s="1608"/>
      <c r="P132" s="1608"/>
      <c r="Q132" s="1608"/>
      <c r="R132" s="880"/>
      <c r="S132" s="880"/>
    </row>
    <row r="133" spans="2:19">
      <c r="B133" s="880"/>
      <c r="C133" s="1607"/>
      <c r="D133" s="1608" t="s">
        <v>1873</v>
      </c>
      <c r="E133" s="880"/>
      <c r="F133" s="1608"/>
      <c r="G133" s="1608"/>
      <c r="H133" s="1608"/>
      <c r="I133" s="1665">
        <v>3.88E-4</v>
      </c>
      <c r="J133" s="1608"/>
      <c r="K133" s="1665">
        <v>3.8499999999999998E-4</v>
      </c>
      <c r="L133" s="1608"/>
      <c r="M133" s="1608"/>
      <c r="N133" s="1608"/>
      <c r="O133" s="1608"/>
      <c r="P133" s="1608"/>
      <c r="Q133" s="1608"/>
      <c r="R133" s="880"/>
      <c r="S133" s="880"/>
    </row>
    <row r="134" spans="2:19">
      <c r="B134" s="880"/>
      <c r="C134" s="1607"/>
      <c r="D134" s="1608" t="s">
        <v>1085</v>
      </c>
      <c r="E134" s="880"/>
      <c r="F134" s="1608"/>
      <c r="G134" s="1608"/>
      <c r="H134" s="1608"/>
      <c r="I134" s="1665">
        <v>4.3100000000000001E-4</v>
      </c>
      <c r="J134" s="1608"/>
      <c r="K134" s="1665">
        <v>4.2700000000000002E-4</v>
      </c>
      <c r="L134" s="1608"/>
      <c r="M134" s="1608"/>
      <c r="N134" s="1608"/>
      <c r="O134" s="1608"/>
      <c r="P134" s="1608"/>
      <c r="Q134" s="1608"/>
      <c r="R134" s="880"/>
      <c r="S134" s="880"/>
    </row>
    <row r="135" spans="2:19">
      <c r="B135" s="880"/>
      <c r="C135" s="1607"/>
      <c r="D135" s="1608" t="s">
        <v>1874</v>
      </c>
      <c r="E135" s="880"/>
      <c r="F135" s="1608"/>
      <c r="G135" s="1608"/>
      <c r="H135" s="1608"/>
      <c r="I135" s="1665">
        <v>4.9399999999999997E-4</v>
      </c>
      <c r="J135" s="1608"/>
      <c r="K135" s="1665">
        <v>4.8999999999999998E-4</v>
      </c>
      <c r="L135" s="1608"/>
      <c r="M135" s="1608"/>
      <c r="N135" s="1608"/>
      <c r="O135" s="1608"/>
      <c r="P135" s="1608"/>
      <c r="Q135" s="1608"/>
      <c r="R135" s="880"/>
      <c r="S135" s="880"/>
    </row>
    <row r="136" spans="2:19">
      <c r="B136" s="880"/>
      <c r="C136" s="1607"/>
      <c r="D136" s="1608" t="s">
        <v>1875</v>
      </c>
      <c r="E136" s="880"/>
      <c r="F136" s="1608"/>
      <c r="G136" s="1608"/>
      <c r="H136" s="1608"/>
      <c r="I136" s="1665">
        <v>9.2E-5</v>
      </c>
      <c r="J136" s="1608"/>
      <c r="K136" s="1665">
        <v>9.1000000000000003E-5</v>
      </c>
      <c r="L136" s="1608"/>
      <c r="M136" s="1608"/>
      <c r="N136" s="1608"/>
      <c r="O136" s="1608"/>
      <c r="P136" s="1608"/>
      <c r="Q136" s="1608"/>
      <c r="R136" s="880"/>
      <c r="S136" s="880"/>
    </row>
    <row r="137" spans="2:19">
      <c r="B137" s="880"/>
      <c r="C137" s="1607"/>
      <c r="D137" s="1608" t="s">
        <v>1876</v>
      </c>
      <c r="E137" s="880"/>
      <c r="F137" s="1608"/>
      <c r="G137" s="1608"/>
      <c r="H137" s="1608"/>
      <c r="I137" s="1665">
        <v>5.0799999999999999E-4</v>
      </c>
      <c r="J137" s="1608"/>
      <c r="K137" s="1665">
        <v>5.0900000000000001E-4</v>
      </c>
      <c r="L137" s="1608"/>
      <c r="M137" s="1608"/>
      <c r="N137" s="1608"/>
      <c r="O137" s="1608"/>
      <c r="P137" s="1608"/>
      <c r="Q137" s="1608"/>
      <c r="R137" s="880"/>
      <c r="S137" s="880"/>
    </row>
    <row r="138" spans="2:19">
      <c r="B138" s="880"/>
      <c r="C138" s="1607"/>
      <c r="D138" s="1608" t="s">
        <v>1877</v>
      </c>
      <c r="E138" s="880"/>
      <c r="F138" s="1608"/>
      <c r="G138" s="1608"/>
      <c r="H138" s="1608"/>
      <c r="I138" s="1665">
        <v>4.86E-4</v>
      </c>
      <c r="J138" s="1608"/>
      <c r="K138" s="1665">
        <v>2.5599999999999999E-4</v>
      </c>
      <c r="L138" s="1608"/>
      <c r="M138" s="1608"/>
      <c r="N138" s="1608"/>
      <c r="O138" s="1608"/>
      <c r="P138" s="1608"/>
      <c r="Q138" s="1608"/>
      <c r="R138" s="880"/>
      <c r="S138" s="880"/>
    </row>
    <row r="139" spans="2:19">
      <c r="B139" s="880"/>
      <c r="C139" s="1607"/>
      <c r="D139" s="1608" t="s">
        <v>1086</v>
      </c>
      <c r="E139" s="880"/>
      <c r="F139" s="1608"/>
      <c r="G139" s="1608"/>
      <c r="H139" s="1608"/>
      <c r="I139" s="1665">
        <v>4.9799999999999996E-4</v>
      </c>
      <c r="J139" s="1608"/>
      <c r="K139" s="1665">
        <v>4.9200000000000003E-4</v>
      </c>
      <c r="L139" s="1608"/>
      <c r="M139" s="1608"/>
      <c r="N139" s="1608"/>
      <c r="O139" s="1608"/>
      <c r="P139" s="1608"/>
      <c r="Q139" s="1608"/>
      <c r="R139" s="880"/>
      <c r="S139" s="880"/>
    </row>
    <row r="140" spans="2:19">
      <c r="B140" s="880"/>
      <c r="C140" s="1607"/>
      <c r="D140" s="1608" t="s">
        <v>1878</v>
      </c>
      <c r="E140" s="880"/>
      <c r="F140" s="1608"/>
      <c r="G140" s="1608"/>
      <c r="H140" s="1608"/>
      <c r="I140" s="1665">
        <v>1.8E-5</v>
      </c>
      <c r="J140" s="1608"/>
      <c r="K140" s="1665">
        <v>2.1999999999999999E-5</v>
      </c>
      <c r="L140" s="1608"/>
      <c r="M140" s="1608"/>
      <c r="N140" s="1608"/>
      <c r="O140" s="1608"/>
      <c r="P140" s="1608"/>
      <c r="Q140" s="1608"/>
      <c r="R140" s="880"/>
      <c r="S140" s="880"/>
    </row>
    <row r="141" spans="2:19">
      <c r="B141" s="880"/>
      <c r="C141" s="1607"/>
      <c r="D141" s="1608" t="s">
        <v>2249</v>
      </c>
      <c r="E141" s="880"/>
      <c r="F141" s="1608"/>
      <c r="G141" s="1608"/>
      <c r="H141" s="1608"/>
      <c r="I141" s="1665">
        <v>3.7800000000000003E-4</v>
      </c>
      <c r="J141" s="1608"/>
      <c r="K141" s="1665">
        <v>3.2400000000000001E-4</v>
      </c>
      <c r="L141" s="1608"/>
      <c r="M141" s="1608"/>
      <c r="N141" s="1608"/>
      <c r="O141" s="1608"/>
      <c r="P141" s="1608"/>
      <c r="Q141" s="1608"/>
      <c r="R141" s="880"/>
      <c r="S141" s="880"/>
    </row>
    <row r="142" spans="2:19">
      <c r="B142" s="880"/>
      <c r="C142" s="1607"/>
      <c r="D142" s="1608" t="s">
        <v>1879</v>
      </c>
      <c r="E142" s="880"/>
      <c r="F142" s="1608"/>
      <c r="G142" s="1608"/>
      <c r="H142" s="1608"/>
      <c r="I142" s="1665">
        <v>3.6600000000000001E-4</v>
      </c>
      <c r="J142" s="1608"/>
      <c r="K142" s="1665">
        <v>4.4499999999999997E-4</v>
      </c>
      <c r="L142" s="1608"/>
      <c r="M142" s="1608"/>
      <c r="N142" s="1608"/>
      <c r="O142" s="1608"/>
      <c r="P142" s="1608"/>
      <c r="Q142" s="1608"/>
      <c r="R142" s="880"/>
      <c r="S142" s="880"/>
    </row>
    <row r="143" spans="2:19">
      <c r="B143" s="880"/>
      <c r="C143" s="1607"/>
      <c r="D143" s="1608" t="s">
        <v>1880</v>
      </c>
      <c r="E143" s="880"/>
      <c r="F143" s="1608"/>
      <c r="G143" s="1608"/>
      <c r="H143" s="1608"/>
      <c r="I143" s="1665">
        <v>4.2000000000000002E-4</v>
      </c>
      <c r="J143" s="1608"/>
      <c r="K143" s="1665">
        <v>0</v>
      </c>
      <c r="L143" s="1608"/>
      <c r="M143" s="1608"/>
      <c r="N143" s="1608"/>
      <c r="O143" s="1608"/>
      <c r="P143" s="1608"/>
      <c r="Q143" s="1608"/>
      <c r="R143" s="880"/>
      <c r="S143" s="880"/>
    </row>
    <row r="144" spans="2:19" ht="3" customHeight="1">
      <c r="B144" s="880"/>
      <c r="C144" s="1607"/>
      <c r="D144" s="1608"/>
      <c r="E144" s="880"/>
      <c r="F144" s="1608"/>
      <c r="G144" s="1608"/>
      <c r="H144" s="1608"/>
      <c r="I144" s="1608"/>
      <c r="J144" s="1608"/>
      <c r="K144" s="1608"/>
      <c r="L144" s="1608"/>
      <c r="M144" s="1608"/>
      <c r="N144" s="1608"/>
      <c r="O144" s="1608"/>
      <c r="P144" s="1608"/>
      <c r="Q144" s="1608"/>
      <c r="R144" s="880"/>
      <c r="S144" s="880"/>
    </row>
    <row r="145" spans="2:19">
      <c r="B145" s="880"/>
      <c r="C145" s="1607"/>
      <c r="D145" s="1608" t="s">
        <v>1786</v>
      </c>
      <c r="E145" s="880"/>
      <c r="F145" s="1608"/>
      <c r="G145" s="1608"/>
      <c r="H145" s="1608"/>
      <c r="I145" s="1665">
        <v>5.5000000000000003E-4</v>
      </c>
      <c r="J145" s="1608"/>
      <c r="K145" s="1608"/>
      <c r="L145" s="1608"/>
      <c r="M145" s="1608"/>
      <c r="N145" s="1608"/>
      <c r="O145" s="1608"/>
      <c r="P145" s="1608"/>
      <c r="Q145" s="1608"/>
      <c r="R145" s="880"/>
      <c r="S145" s="880"/>
    </row>
    <row r="146" spans="2:19">
      <c r="B146" s="880"/>
      <c r="C146" s="1607"/>
      <c r="D146" s="1607"/>
      <c r="E146" s="1608"/>
      <c r="F146" s="1608"/>
      <c r="G146" s="1608"/>
      <c r="H146" s="1608"/>
      <c r="I146" s="1664"/>
      <c r="J146" s="1608"/>
      <c r="K146" s="1608"/>
      <c r="L146" s="1608"/>
      <c r="M146" s="1608"/>
      <c r="N146" s="1608"/>
      <c r="O146" s="1608"/>
      <c r="P146" s="1608"/>
      <c r="Q146" s="1608"/>
      <c r="R146" s="880"/>
      <c r="S146" s="880"/>
    </row>
    <row r="147" spans="2:19">
      <c r="B147" s="880"/>
      <c r="C147" s="1614" t="s">
        <v>1787</v>
      </c>
      <c r="D147" s="1607"/>
      <c r="E147" s="1607"/>
      <c r="F147" s="1607"/>
      <c r="G147" s="1607"/>
      <c r="H147" s="1607"/>
      <c r="I147" s="1607"/>
      <c r="J147" s="1607"/>
      <c r="K147" s="1607"/>
      <c r="L147" s="1607"/>
      <c r="M147" s="1607"/>
      <c r="N147" s="1607"/>
      <c r="O147" s="1607"/>
      <c r="P147" s="1607"/>
      <c r="Q147" s="1607"/>
      <c r="R147" s="880"/>
      <c r="S147" s="880"/>
    </row>
    <row r="148" spans="2:19">
      <c r="B148" s="880"/>
      <c r="C148" s="880"/>
      <c r="D148" s="2143" t="s">
        <v>2310</v>
      </c>
      <c r="E148" s="2144"/>
      <c r="F148" s="2145"/>
      <c r="G148" s="880"/>
      <c r="H148" s="2146" t="s">
        <v>2346</v>
      </c>
      <c r="I148" s="2150" t="s">
        <v>998</v>
      </c>
      <c r="J148" s="2148"/>
      <c r="K148" s="2148"/>
      <c r="L148" s="2148"/>
      <c r="M148" s="2149"/>
      <c r="N148" s="2150" t="s">
        <v>2325</v>
      </c>
      <c r="O148" s="2151"/>
      <c r="P148" s="2151"/>
      <c r="Q148" s="2152"/>
      <c r="R148" s="2153" t="s">
        <v>2349</v>
      </c>
      <c r="S148" s="880"/>
    </row>
    <row r="149" spans="2:19" hidden="1">
      <c r="B149" s="880"/>
      <c r="C149" s="880"/>
      <c r="D149" s="2154"/>
      <c r="E149" s="2155"/>
      <c r="F149" s="2156"/>
      <c r="G149" s="880"/>
      <c r="H149" s="880"/>
      <c r="I149" s="2147">
        <v>300</v>
      </c>
      <c r="J149" s="2148">
        <v>2000</v>
      </c>
      <c r="K149" s="2148">
        <v>10000</v>
      </c>
      <c r="L149" s="2148">
        <v>30000</v>
      </c>
      <c r="M149" s="2149"/>
      <c r="N149" s="2157" t="e">
        <f>I96</f>
        <v>#VALUE!</v>
      </c>
      <c r="O149" s="2158">
        <f>I97</f>
        <v>4.9799999999999997E-2</v>
      </c>
      <c r="P149" s="2158">
        <f>I101</f>
        <v>6.855E-2</v>
      </c>
      <c r="Q149" s="2159"/>
      <c r="R149" s="2160"/>
      <c r="S149" s="880"/>
    </row>
    <row r="150" spans="2:19" ht="24">
      <c r="B150" s="880"/>
      <c r="C150" s="880"/>
      <c r="D150" s="2161"/>
      <c r="E150" s="2162"/>
      <c r="F150" s="2163"/>
      <c r="G150" s="880"/>
      <c r="H150" s="880"/>
      <c r="I150" s="2164" t="s">
        <v>2326</v>
      </c>
      <c r="J150" s="2165" t="s">
        <v>2327</v>
      </c>
      <c r="K150" s="2165" t="s">
        <v>2328</v>
      </c>
      <c r="L150" s="2165" t="s">
        <v>2329</v>
      </c>
      <c r="M150" s="2164" t="s">
        <v>2330</v>
      </c>
      <c r="N150" s="2164" t="s">
        <v>2331</v>
      </c>
      <c r="O150" s="2164" t="s">
        <v>1788</v>
      </c>
      <c r="P150" s="2164" t="s">
        <v>2332</v>
      </c>
      <c r="Q150" s="2164" t="s">
        <v>1612</v>
      </c>
      <c r="R150" s="2166" t="s">
        <v>1343</v>
      </c>
      <c r="S150" s="880"/>
    </row>
    <row r="151" spans="2:19" ht="14.25" customHeight="1">
      <c r="B151" s="880"/>
      <c r="C151" s="880"/>
      <c r="D151" s="2167" t="s">
        <v>1771</v>
      </c>
      <c r="E151" s="2150" t="s">
        <v>461</v>
      </c>
      <c r="F151" s="2168"/>
      <c r="G151" s="880">
        <f>メイン!R47</f>
        <v>5000</v>
      </c>
      <c r="H151" s="880">
        <f>IF(G151=0,0,IF(G151&lt;$I$149,I151,IF(G151&lt;$J$149,J151,IF(G151&lt;$K$149,K151,IF(G151&lt;$L$149,L151,M151)))))</f>
        <v>1540</v>
      </c>
      <c r="I151" s="2169">
        <v>1540</v>
      </c>
      <c r="J151" s="2169">
        <v>1540</v>
      </c>
      <c r="K151" s="2169">
        <v>1540</v>
      </c>
      <c r="L151" s="2169">
        <v>1930</v>
      </c>
      <c r="M151" s="2169">
        <v>2270</v>
      </c>
      <c r="N151" s="2170">
        <v>0.9</v>
      </c>
      <c r="O151" s="2170">
        <v>0.06</v>
      </c>
      <c r="P151" s="2170">
        <v>0.04</v>
      </c>
      <c r="Q151" s="2171" t="s">
        <v>2333</v>
      </c>
      <c r="R151" s="2172" t="e">
        <f>SUMPRODUCT(N151:P151,$N$149:$P$149)</f>
        <v>#VALUE!</v>
      </c>
      <c r="S151" s="880"/>
    </row>
    <row r="152" spans="2:19" ht="14.25" customHeight="1">
      <c r="B152" s="880"/>
      <c r="C152" s="880"/>
      <c r="D152" s="2166"/>
      <c r="E152" s="2150" t="s">
        <v>2311</v>
      </c>
      <c r="F152" s="2168"/>
      <c r="G152" s="880">
        <f>メイン!R48</f>
        <v>0</v>
      </c>
      <c r="H152" s="880">
        <f>IF(G152=0,0,IF(G152&lt;$I$149,I152,IF(G152&lt;$J$149,J152,IF(G152&lt;$K$149,K152,IF(G152&lt;$L$149,L152,M152)))))</f>
        <v>0</v>
      </c>
      <c r="I152" s="2169">
        <v>1100</v>
      </c>
      <c r="J152" s="2169">
        <v>1100</v>
      </c>
      <c r="K152" s="2169">
        <v>1100</v>
      </c>
      <c r="L152" s="2169">
        <v>1260</v>
      </c>
      <c r="M152" s="2169">
        <v>1380</v>
      </c>
      <c r="N152" s="2170">
        <v>0.83</v>
      </c>
      <c r="O152" s="2170">
        <v>0.09</v>
      </c>
      <c r="P152" s="2170">
        <v>0.08</v>
      </c>
      <c r="Q152" s="2171" t="s">
        <v>2333</v>
      </c>
      <c r="R152" s="2172" t="e">
        <f>SUMPRODUCT(N152:P152,$N$149:$P$149)</f>
        <v>#VALUE!</v>
      </c>
      <c r="S152" s="880"/>
    </row>
    <row r="153" spans="2:19" ht="14.25" customHeight="1">
      <c r="B153" s="880"/>
      <c r="C153" s="880"/>
      <c r="D153" s="2173" t="s">
        <v>2315</v>
      </c>
      <c r="E153" s="2150" t="s">
        <v>2316</v>
      </c>
      <c r="F153" s="2168"/>
      <c r="G153" s="880">
        <f>メイン!R49</f>
        <v>0</v>
      </c>
      <c r="H153" s="880">
        <f>IF(G153=0,0,IF(G153&lt;$I$149,I153,IF(G153&lt;$J$149,J153,IF(G153&lt;$K$149,K153,IF(G153&lt;$L$149,L153,M153)))))</f>
        <v>0</v>
      </c>
      <c r="I153" s="2169">
        <v>490</v>
      </c>
      <c r="J153" s="2169">
        <v>490</v>
      </c>
      <c r="K153" s="2169">
        <v>490</v>
      </c>
      <c r="L153" s="2169">
        <v>490</v>
      </c>
      <c r="M153" s="2169">
        <v>490</v>
      </c>
      <c r="N153" s="2170">
        <v>0.71</v>
      </c>
      <c r="O153" s="2170">
        <v>0.16</v>
      </c>
      <c r="P153" s="2170">
        <v>0.13</v>
      </c>
      <c r="Q153" s="2171" t="s">
        <v>2333</v>
      </c>
      <c r="R153" s="2172" t="e">
        <f t="shared" ref="R153:R166" si="36">SUMPRODUCT(N153:P153,$N$149:$P$149)</f>
        <v>#VALUE!</v>
      </c>
      <c r="S153" s="880"/>
    </row>
    <row r="154" spans="2:19" ht="14.25" customHeight="1">
      <c r="B154" s="880"/>
      <c r="C154" s="880"/>
      <c r="D154" s="2173"/>
      <c r="E154" s="2143" t="s">
        <v>2317</v>
      </c>
      <c r="F154" s="2164" t="s">
        <v>2318</v>
      </c>
      <c r="G154" s="880">
        <f>メイン!R50</f>
        <v>0</v>
      </c>
      <c r="H154" s="2174">
        <f>IF(G154&gt;0,I154,0)</f>
        <v>0</v>
      </c>
      <c r="I154" s="2169">
        <v>522</v>
      </c>
      <c r="J154" s="2169">
        <v>522</v>
      </c>
      <c r="K154" s="2169">
        <v>522</v>
      </c>
      <c r="L154" s="2169">
        <v>522</v>
      </c>
      <c r="M154" s="2169">
        <v>522</v>
      </c>
      <c r="N154" s="2170">
        <v>0.62299911901772109</v>
      </c>
      <c r="O154" s="2170">
        <v>0.16715691274115696</v>
      </c>
      <c r="P154" s="2170">
        <v>0.20984396824112195</v>
      </c>
      <c r="Q154" s="2171" t="s">
        <v>2333</v>
      </c>
      <c r="R154" s="2172" t="e">
        <f t="shared" si="36"/>
        <v>#VALUE!</v>
      </c>
      <c r="S154" s="880"/>
    </row>
    <row r="155" spans="2:19" ht="14.25" customHeight="1">
      <c r="B155" s="880"/>
      <c r="C155" s="880"/>
      <c r="D155" s="2173"/>
      <c r="E155" s="2161"/>
      <c r="F155" s="2164" t="s">
        <v>2706</v>
      </c>
      <c r="G155" s="880">
        <f>メイン!R51</f>
        <v>4000</v>
      </c>
      <c r="H155" s="2174">
        <f>IF(G155&gt;0,I155,0)</f>
        <v>310</v>
      </c>
      <c r="I155" s="2169">
        <v>310</v>
      </c>
      <c r="J155" s="2169">
        <v>310</v>
      </c>
      <c r="K155" s="2169">
        <v>310</v>
      </c>
      <c r="L155" s="2169">
        <v>310</v>
      </c>
      <c r="M155" s="2169">
        <v>310</v>
      </c>
      <c r="N155" s="2170">
        <v>0.75998792472086629</v>
      </c>
      <c r="O155" s="2170">
        <v>0.13554620368652504</v>
      </c>
      <c r="P155" s="2170">
        <v>0.10446587159260867</v>
      </c>
      <c r="Q155" s="2171"/>
      <c r="R155" s="2172" t="e">
        <f t="shared" si="36"/>
        <v>#VALUE!</v>
      </c>
      <c r="S155" s="880"/>
    </row>
    <row r="156" spans="2:19" ht="14.25" customHeight="1">
      <c r="B156" s="880"/>
      <c r="C156" s="880"/>
      <c r="D156" s="2173"/>
      <c r="E156" s="2150" t="s">
        <v>2319</v>
      </c>
      <c r="F156" s="2168"/>
      <c r="G156" s="880">
        <f>メイン!R52</f>
        <v>0</v>
      </c>
      <c r="H156" s="880">
        <f t="shared" ref="H156:H166" si="37">IF(G156=0,0,IF(G156&lt;$I$149,I156,IF(G156&lt;$J$149,J156,IF(G156&lt;$K$149,K156,IF(G156&lt;$L$149,L156,M156)))))</f>
        <v>0</v>
      </c>
      <c r="I156" s="2169">
        <v>390</v>
      </c>
      <c r="J156" s="2169">
        <v>390</v>
      </c>
      <c r="K156" s="2169">
        <v>390</v>
      </c>
      <c r="L156" s="2169">
        <v>360</v>
      </c>
      <c r="M156" s="2169">
        <v>240</v>
      </c>
      <c r="N156" s="2170">
        <v>0.74</v>
      </c>
      <c r="O156" s="2170">
        <v>7.0000000000000007E-2</v>
      </c>
      <c r="P156" s="2170">
        <v>0.19</v>
      </c>
      <c r="Q156" s="2171" t="s">
        <v>2333</v>
      </c>
      <c r="R156" s="2172" t="e">
        <f t="shared" si="36"/>
        <v>#VALUE!</v>
      </c>
      <c r="S156" s="880"/>
    </row>
    <row r="157" spans="2:19" ht="14.25" customHeight="1">
      <c r="B157" s="880"/>
      <c r="C157" s="880"/>
      <c r="D157" s="2166"/>
      <c r="E157" s="2150" t="s">
        <v>2320</v>
      </c>
      <c r="F157" s="2168"/>
      <c r="G157" s="880">
        <f>メイン!R53</f>
        <v>0</v>
      </c>
      <c r="H157" s="880">
        <f t="shared" si="37"/>
        <v>0</v>
      </c>
      <c r="I157" s="2169">
        <v>880</v>
      </c>
      <c r="J157" s="2169">
        <v>880</v>
      </c>
      <c r="K157" s="2169">
        <v>880</v>
      </c>
      <c r="L157" s="2169">
        <v>850</v>
      </c>
      <c r="M157" s="2169">
        <v>1160</v>
      </c>
      <c r="N157" s="2170">
        <v>0.79</v>
      </c>
      <c r="O157" s="2170">
        <v>0.12</v>
      </c>
      <c r="P157" s="2170">
        <v>0.09</v>
      </c>
      <c r="Q157" s="2171" t="s">
        <v>2333</v>
      </c>
      <c r="R157" s="2172" t="e">
        <f t="shared" si="36"/>
        <v>#VALUE!</v>
      </c>
      <c r="S157" s="880"/>
    </row>
    <row r="158" spans="2:19" ht="14.25" customHeight="1">
      <c r="B158" s="880"/>
      <c r="C158" s="880"/>
      <c r="D158" s="2167" t="s">
        <v>2312</v>
      </c>
      <c r="E158" s="2150" t="s">
        <v>1964</v>
      </c>
      <c r="F158" s="2168"/>
      <c r="G158" s="880">
        <f>メイン!R54</f>
        <v>0</v>
      </c>
      <c r="H158" s="880">
        <f t="shared" si="37"/>
        <v>0</v>
      </c>
      <c r="I158" s="2169">
        <v>7430</v>
      </c>
      <c r="J158" s="2169">
        <v>7430</v>
      </c>
      <c r="K158" s="2169">
        <v>5130</v>
      </c>
      <c r="L158" s="2169">
        <v>3190</v>
      </c>
      <c r="M158" s="2169">
        <v>3190</v>
      </c>
      <c r="N158" s="2170">
        <v>0.93</v>
      </c>
      <c r="O158" s="2170">
        <v>0.03</v>
      </c>
      <c r="P158" s="2170">
        <v>0.04</v>
      </c>
      <c r="Q158" s="2171" t="s">
        <v>2333</v>
      </c>
      <c r="R158" s="2172" t="e">
        <f t="shared" si="36"/>
        <v>#VALUE!</v>
      </c>
      <c r="S158" s="880"/>
    </row>
    <row r="159" spans="2:19" ht="14.25" customHeight="1">
      <c r="B159" s="880"/>
      <c r="C159" s="880"/>
      <c r="D159" s="2166"/>
      <c r="E159" s="2150" t="s">
        <v>2313</v>
      </c>
      <c r="F159" s="2168"/>
      <c r="G159" s="880">
        <f>メイン!R55</f>
        <v>0</v>
      </c>
      <c r="H159" s="880">
        <f t="shared" si="37"/>
        <v>0</v>
      </c>
      <c r="I159" s="2169">
        <v>2360</v>
      </c>
      <c r="J159" s="2169">
        <v>2360</v>
      </c>
      <c r="K159" s="2169">
        <v>2360</v>
      </c>
      <c r="L159" s="2169">
        <v>2950</v>
      </c>
      <c r="M159" s="2169">
        <v>2680</v>
      </c>
      <c r="N159" s="2170">
        <v>0.92</v>
      </c>
      <c r="O159" s="2170">
        <v>0.04</v>
      </c>
      <c r="P159" s="2170">
        <v>0.04</v>
      </c>
      <c r="Q159" s="2171" t="s">
        <v>2333</v>
      </c>
      <c r="R159" s="2172" t="e">
        <f t="shared" si="36"/>
        <v>#VALUE!</v>
      </c>
      <c r="S159" s="880"/>
    </row>
    <row r="160" spans="2:19" ht="14.25" customHeight="1">
      <c r="B160" s="880"/>
      <c r="C160" s="880"/>
      <c r="D160" s="2150" t="s">
        <v>467</v>
      </c>
      <c r="E160" s="2151"/>
      <c r="F160" s="2168"/>
      <c r="G160" s="880">
        <f>メイン!R56</f>
        <v>0</v>
      </c>
      <c r="H160" s="880">
        <f t="shared" si="37"/>
        <v>0</v>
      </c>
      <c r="I160" s="2169">
        <v>2960</v>
      </c>
      <c r="J160" s="2169">
        <v>2960</v>
      </c>
      <c r="K160" s="2169">
        <v>2960</v>
      </c>
      <c r="L160" s="2169">
        <v>2960</v>
      </c>
      <c r="M160" s="2169">
        <v>2960</v>
      </c>
      <c r="N160" s="2170">
        <v>0.5</v>
      </c>
      <c r="O160" s="2170">
        <v>0.38</v>
      </c>
      <c r="P160" s="2170">
        <v>0.12</v>
      </c>
      <c r="Q160" s="2171" t="s">
        <v>2333</v>
      </c>
      <c r="R160" s="2172" t="e">
        <f t="shared" si="36"/>
        <v>#VALUE!</v>
      </c>
      <c r="S160" s="880"/>
    </row>
    <row r="161" spans="2:27" ht="14.25" customHeight="1">
      <c r="B161" s="880"/>
      <c r="C161" s="880"/>
      <c r="D161" s="2167" t="s">
        <v>2321</v>
      </c>
      <c r="E161" s="2150" t="s">
        <v>2322</v>
      </c>
      <c r="F161" s="2168"/>
      <c r="G161" s="880">
        <f>メイン!R57</f>
        <v>3000</v>
      </c>
      <c r="H161" s="880">
        <f t="shared" si="37"/>
        <v>1030</v>
      </c>
      <c r="I161" s="2169">
        <v>1030</v>
      </c>
      <c r="J161" s="2169">
        <v>1030</v>
      </c>
      <c r="K161" s="2169">
        <v>1030</v>
      </c>
      <c r="L161" s="2169">
        <v>1450</v>
      </c>
      <c r="M161" s="2169">
        <v>1670</v>
      </c>
      <c r="N161" s="2170">
        <v>0.76</v>
      </c>
      <c r="O161" s="2170">
        <v>0.16</v>
      </c>
      <c r="P161" s="2170">
        <v>0.08</v>
      </c>
      <c r="Q161" s="2171" t="s">
        <v>2333</v>
      </c>
      <c r="R161" s="2172" t="e">
        <f t="shared" si="36"/>
        <v>#VALUE!</v>
      </c>
      <c r="S161" s="880"/>
    </row>
    <row r="162" spans="2:27" ht="14.25" customHeight="1">
      <c r="B162" s="880"/>
      <c r="C162" s="880"/>
      <c r="D162" s="2173"/>
      <c r="E162" s="2150" t="s">
        <v>2323</v>
      </c>
      <c r="F162" s="2168"/>
      <c r="G162" s="880">
        <f>メイン!R58</f>
        <v>0</v>
      </c>
      <c r="H162" s="880">
        <f t="shared" si="37"/>
        <v>0</v>
      </c>
      <c r="I162" s="2169">
        <v>1120</v>
      </c>
      <c r="J162" s="2169">
        <v>1120</v>
      </c>
      <c r="K162" s="2169">
        <v>1120</v>
      </c>
      <c r="L162" s="2169">
        <v>1580</v>
      </c>
      <c r="M162" s="2169">
        <v>1220</v>
      </c>
      <c r="N162" s="2170">
        <v>0.81</v>
      </c>
      <c r="O162" s="2170">
        <v>0.09</v>
      </c>
      <c r="P162" s="2170">
        <v>9.999999999999995E-2</v>
      </c>
      <c r="Q162" s="2171" t="s">
        <v>2333</v>
      </c>
      <c r="R162" s="2172" t="e">
        <f t="shared" si="36"/>
        <v>#VALUE!</v>
      </c>
      <c r="S162" s="880"/>
    </row>
    <row r="163" spans="2:27" ht="14.25" customHeight="1">
      <c r="B163" s="880"/>
      <c r="C163" s="880"/>
      <c r="D163" s="2173"/>
      <c r="E163" s="2143" t="s">
        <v>2324</v>
      </c>
      <c r="F163" s="2145"/>
      <c r="G163" s="880">
        <f>メイン!R59</f>
        <v>0</v>
      </c>
      <c r="H163" s="880">
        <f t="shared" si="37"/>
        <v>0</v>
      </c>
      <c r="I163" s="2169">
        <v>1910</v>
      </c>
      <c r="J163" s="2169">
        <v>1910</v>
      </c>
      <c r="K163" s="2169">
        <v>1910</v>
      </c>
      <c r="L163" s="2169">
        <v>1300</v>
      </c>
      <c r="M163" s="2169">
        <v>1130</v>
      </c>
      <c r="N163" s="2170">
        <v>0.92</v>
      </c>
      <c r="O163" s="2170">
        <v>0.06</v>
      </c>
      <c r="P163" s="2170">
        <v>0.02</v>
      </c>
      <c r="Q163" s="2171" t="s">
        <v>2333</v>
      </c>
      <c r="R163" s="2172" t="e">
        <f t="shared" si="36"/>
        <v>#VALUE!</v>
      </c>
      <c r="S163" s="880"/>
    </row>
    <row r="164" spans="2:27" ht="14.25" customHeight="1">
      <c r="B164" s="880"/>
      <c r="C164" s="880"/>
      <c r="D164" s="2150" t="s">
        <v>477</v>
      </c>
      <c r="E164" s="2151"/>
      <c r="F164" s="2168"/>
      <c r="G164" s="880">
        <f>メイン!R60</f>
        <v>0</v>
      </c>
      <c r="H164" s="880">
        <f t="shared" si="37"/>
        <v>0</v>
      </c>
      <c r="I164" s="2169">
        <v>498</v>
      </c>
      <c r="J164" s="2169">
        <v>498</v>
      </c>
      <c r="K164" s="2169">
        <v>498</v>
      </c>
      <c r="L164" s="2169">
        <v>498</v>
      </c>
      <c r="M164" s="2169">
        <v>498</v>
      </c>
      <c r="N164" s="2170">
        <v>1</v>
      </c>
      <c r="O164" s="2170">
        <v>0</v>
      </c>
      <c r="P164" s="2170">
        <v>0</v>
      </c>
      <c r="Q164" s="2171" t="s">
        <v>2333</v>
      </c>
      <c r="R164" s="2172" t="e">
        <f t="shared" si="36"/>
        <v>#VALUE!</v>
      </c>
      <c r="S164" s="880"/>
    </row>
    <row r="165" spans="2:27" ht="14.25" customHeight="1">
      <c r="B165" s="880"/>
      <c r="C165" s="880"/>
      <c r="D165" s="2150" t="s">
        <v>471</v>
      </c>
      <c r="E165" s="2151"/>
      <c r="F165" s="2168"/>
      <c r="G165" s="880">
        <f>メイン!R61</f>
        <v>0</v>
      </c>
      <c r="H165" s="880">
        <f t="shared" si="37"/>
        <v>0</v>
      </c>
      <c r="I165" s="2169">
        <v>2210</v>
      </c>
      <c r="J165" s="2169">
        <v>2210</v>
      </c>
      <c r="K165" s="2169">
        <v>2210</v>
      </c>
      <c r="L165" s="2169">
        <v>2450</v>
      </c>
      <c r="M165" s="2169">
        <v>2920</v>
      </c>
      <c r="N165" s="2170">
        <v>0.65</v>
      </c>
      <c r="O165" s="2170">
        <v>0.15</v>
      </c>
      <c r="P165" s="2170">
        <v>0.2</v>
      </c>
      <c r="Q165" s="2171" t="s">
        <v>2333</v>
      </c>
      <c r="R165" s="2172" t="e">
        <f>SUMPRODUCT(N165:P165,$N$149:$P$149)</f>
        <v>#VALUE!</v>
      </c>
      <c r="S165" s="880"/>
    </row>
    <row r="166" spans="2:27">
      <c r="B166" s="880"/>
      <c r="C166" s="880"/>
      <c r="D166" s="2150" t="s">
        <v>2314</v>
      </c>
      <c r="E166" s="2151"/>
      <c r="F166" s="2168"/>
      <c r="G166" s="880">
        <f>メイン!R62</f>
        <v>0</v>
      </c>
      <c r="H166" s="880">
        <f t="shared" si="37"/>
        <v>0</v>
      </c>
      <c r="I166" s="2169">
        <v>2440</v>
      </c>
      <c r="J166" s="2169">
        <v>2440</v>
      </c>
      <c r="K166" s="2169">
        <v>2440</v>
      </c>
      <c r="L166" s="2169">
        <v>2740</v>
      </c>
      <c r="M166" s="2169">
        <v>2740</v>
      </c>
      <c r="N166" s="2170">
        <v>0.77</v>
      </c>
      <c r="O166" s="2170">
        <v>0.1</v>
      </c>
      <c r="P166" s="2170">
        <v>0.13</v>
      </c>
      <c r="Q166" s="2171" t="s">
        <v>2333</v>
      </c>
      <c r="R166" s="2172" t="e">
        <f t="shared" si="36"/>
        <v>#VALUE!</v>
      </c>
      <c r="S166" s="880"/>
    </row>
    <row r="167" spans="2:27" hidden="1">
      <c r="B167" s="880"/>
      <c r="C167" s="880"/>
      <c r="D167" s="2154"/>
      <c r="E167" s="2162"/>
      <c r="F167" s="2163"/>
      <c r="G167" s="880">
        <f>メイン!R63</f>
        <v>0</v>
      </c>
      <c r="H167" s="880">
        <f>IF(G167&gt;=$I$149,I167,IF(G167&gt;=$J$149,J167,IF(G167&gt;=$K$149,K167,IF(G167&gt;=$L$149,L167,IF(G167&gt;=$M$149,M167,0)))))</f>
        <v>0</v>
      </c>
      <c r="I167" s="2169"/>
      <c r="J167" s="2169"/>
      <c r="K167" s="2169"/>
      <c r="L167" s="2169"/>
      <c r="M167" s="2169"/>
      <c r="N167" s="2157" t="e">
        <f>I96</f>
        <v>#VALUE!</v>
      </c>
      <c r="O167" s="2158">
        <f>I97</f>
        <v>4.9799999999999997E-2</v>
      </c>
      <c r="P167" s="2158">
        <f>I99</f>
        <v>6.7799999999999999E-2</v>
      </c>
      <c r="Q167" s="2159">
        <f>I102</f>
        <v>5.8999999999999997E-2</v>
      </c>
      <c r="R167" s="2146"/>
      <c r="S167" s="880"/>
    </row>
    <row r="168" spans="2:27">
      <c r="B168" s="880"/>
      <c r="C168" s="880"/>
      <c r="D168" s="2160" t="s">
        <v>2074</v>
      </c>
      <c r="E168" s="2161" t="s">
        <v>2345</v>
      </c>
      <c r="F168" s="2163"/>
      <c r="G168" s="880"/>
      <c r="H168" s="880" t="str">
        <f>IF(G168&gt;=$I$149,I168,IF(G168&gt;=$J$149,J168,IF(G168&gt;=$K$149,K168,IF(G168&gt;=$L$149,L168,IF(G168&gt;=$M$149,M168,0)))))</f>
        <v>-</v>
      </c>
      <c r="I168" s="2250" t="s">
        <v>2333</v>
      </c>
      <c r="J168" s="2250" t="s">
        <v>2333</v>
      </c>
      <c r="K168" s="2250" t="s">
        <v>2333</v>
      </c>
      <c r="L168" s="2250" t="s">
        <v>2333</v>
      </c>
      <c r="M168" s="2250" t="s">
        <v>2333</v>
      </c>
      <c r="N168" s="2170">
        <v>0.51</v>
      </c>
      <c r="O168" s="2170">
        <v>0.21</v>
      </c>
      <c r="P168" s="2170">
        <v>0.18</v>
      </c>
      <c r="Q168" s="2170">
        <v>0.1</v>
      </c>
      <c r="R168" s="2172" t="e">
        <f>SUMPRODUCT(N168:Q168,$N$167:$Q$167)</f>
        <v>#VALUE!</v>
      </c>
      <c r="S168" s="880"/>
    </row>
    <row r="169" spans="2:27" ht="14.25" customHeight="1">
      <c r="B169" s="880"/>
      <c r="C169" s="880"/>
      <c r="D169" s="2175"/>
      <c r="E169" s="2150" t="s">
        <v>483</v>
      </c>
      <c r="F169" s="2168"/>
      <c r="G169" s="880"/>
      <c r="H169" s="880" t="str">
        <f>IF(G169&gt;=$I$149,I169,IF(G169&gt;=$J$149,J169,IF(G169&gt;=$K$149,K169,IF(G169&gt;=$L$149,L169,IF(G169&gt;=$M$149,M169,0)))))</f>
        <v>-</v>
      </c>
      <c r="I169" s="2250" t="s">
        <v>2333</v>
      </c>
      <c r="J169" s="2250" t="s">
        <v>2333</v>
      </c>
      <c r="K169" s="2250" t="s">
        <v>2333</v>
      </c>
      <c r="L169" s="2250" t="s">
        <v>2333</v>
      </c>
      <c r="M169" s="2250" t="s">
        <v>2333</v>
      </c>
      <c r="N169" s="2170">
        <v>1</v>
      </c>
      <c r="O169" s="2170">
        <v>0</v>
      </c>
      <c r="P169" s="2170">
        <v>0</v>
      </c>
      <c r="Q169" s="2171" t="s">
        <v>2333</v>
      </c>
      <c r="R169" s="2172" t="e">
        <f>SUMPRODUCT(N169:Q169,$N$149:$Q$149)</f>
        <v>#VALUE!</v>
      </c>
      <c r="S169" s="880"/>
    </row>
    <row r="170" spans="2:27" ht="14.25" customHeight="1">
      <c r="B170" s="880"/>
      <c r="C170" s="880"/>
      <c r="D170" s="2176" t="s">
        <v>3338</v>
      </c>
      <c r="E170" s="2151"/>
      <c r="F170" s="2168"/>
      <c r="G170" s="880"/>
      <c r="H170" s="880"/>
      <c r="I170" s="2250" t="s">
        <v>2333</v>
      </c>
      <c r="J170" s="2250" t="s">
        <v>2333</v>
      </c>
      <c r="K170" s="2250" t="s">
        <v>2333</v>
      </c>
      <c r="L170" s="2250" t="s">
        <v>2333</v>
      </c>
      <c r="M170" s="2250" t="s">
        <v>2333</v>
      </c>
      <c r="N170" s="2170">
        <f>境界値!H11</f>
        <v>0</v>
      </c>
      <c r="O170" s="2170">
        <f>境界値!I11</f>
        <v>0</v>
      </c>
      <c r="P170" s="2170">
        <f>境界値!J11</f>
        <v>0</v>
      </c>
      <c r="Q170" s="2171" t="s">
        <v>2333</v>
      </c>
      <c r="R170" s="2172" t="e">
        <f>SUMPRODUCT(N170:Q170,$N$149:$Q$149)</f>
        <v>#VALUE!</v>
      </c>
      <c r="S170" s="880"/>
    </row>
    <row r="171" spans="2:27" ht="14.25" customHeight="1">
      <c r="B171" s="880"/>
      <c r="C171" s="880"/>
      <c r="D171" s="2219" t="s">
        <v>999</v>
      </c>
      <c r="E171" s="2155" t="s">
        <v>2351</v>
      </c>
      <c r="F171" s="880"/>
      <c r="G171" s="880"/>
      <c r="H171" s="880"/>
      <c r="I171" s="880"/>
      <c r="J171" s="880"/>
      <c r="K171" s="880"/>
      <c r="L171" s="880"/>
      <c r="M171" s="880"/>
      <c r="N171" s="880"/>
      <c r="O171" s="880"/>
      <c r="P171" s="2155" t="s">
        <v>2334</v>
      </c>
      <c r="Q171" s="880"/>
      <c r="R171" s="880"/>
      <c r="S171" s="880"/>
    </row>
    <row r="172" spans="2:27" ht="14.25" customHeight="1">
      <c r="B172" s="880"/>
      <c r="C172" s="880"/>
      <c r="D172" s="880"/>
      <c r="E172" s="2155" t="s">
        <v>370</v>
      </c>
      <c r="F172" s="880"/>
      <c r="G172" s="880"/>
      <c r="H172" s="880"/>
      <c r="I172" s="880"/>
      <c r="J172" s="880"/>
      <c r="K172" s="880"/>
      <c r="L172" s="880"/>
      <c r="M172" s="880"/>
      <c r="N172" s="880"/>
      <c r="O172" s="880"/>
      <c r="P172" s="2155"/>
      <c r="Q172" s="880"/>
      <c r="R172" s="880"/>
      <c r="S172" s="880"/>
    </row>
    <row r="173" spans="2:27" ht="14.25" customHeight="1">
      <c r="B173" s="880"/>
      <c r="C173" s="880"/>
      <c r="D173" s="880"/>
      <c r="E173" s="2155" t="s">
        <v>2352</v>
      </c>
      <c r="F173" s="880"/>
      <c r="G173" s="880"/>
      <c r="H173" s="880"/>
      <c r="I173" s="880"/>
      <c r="J173" s="880"/>
      <c r="K173" s="880"/>
      <c r="L173" s="880"/>
      <c r="M173" s="880"/>
      <c r="N173" s="880"/>
      <c r="O173" s="880"/>
      <c r="P173" s="2155"/>
      <c r="Q173" s="880"/>
      <c r="R173" s="880"/>
      <c r="S173" s="880"/>
    </row>
    <row r="174" spans="2:27" ht="6.75" customHeight="1">
      <c r="B174" s="880"/>
      <c r="C174" s="880"/>
      <c r="D174" s="880"/>
      <c r="E174" s="880"/>
      <c r="F174" s="880"/>
      <c r="G174" s="880"/>
      <c r="H174" s="880"/>
      <c r="I174" s="880"/>
      <c r="J174" s="880"/>
      <c r="K174" s="880"/>
      <c r="L174" s="880"/>
      <c r="M174" s="880"/>
      <c r="N174" s="880"/>
      <c r="O174" s="880"/>
      <c r="P174" s="880"/>
      <c r="Q174" s="880"/>
      <c r="R174" s="880"/>
      <c r="S174" s="880"/>
    </row>
    <row r="175" spans="2:27" ht="14.25" customHeight="1">
      <c r="B175" s="880"/>
      <c r="C175" s="880"/>
      <c r="D175" s="1563" t="s">
        <v>2945</v>
      </c>
      <c r="E175" s="880"/>
      <c r="F175" s="880"/>
      <c r="G175" s="880"/>
      <c r="H175" s="880"/>
      <c r="I175" s="880"/>
      <c r="J175" s="880"/>
      <c r="K175" s="880"/>
      <c r="L175" s="880"/>
      <c r="M175" s="880"/>
      <c r="O175" s="880"/>
      <c r="P175" s="880"/>
      <c r="Q175" s="2219" t="s">
        <v>2924</v>
      </c>
      <c r="R175" s="880"/>
      <c r="S175" s="880"/>
    </row>
    <row r="176" spans="2:27" ht="14.25" customHeight="1">
      <c r="B176" s="880"/>
      <c r="C176" s="880"/>
      <c r="D176" s="2176" t="s">
        <v>2335</v>
      </c>
      <c r="E176" s="2177"/>
      <c r="F176" s="2153" t="s">
        <v>2946</v>
      </c>
      <c r="G176" s="880"/>
      <c r="H176" s="880"/>
      <c r="I176" s="2146" t="s">
        <v>2346</v>
      </c>
      <c r="J176" s="2176" t="s">
        <v>2336</v>
      </c>
      <c r="K176" s="2177"/>
      <c r="L176" s="2177"/>
      <c r="M176" s="2177"/>
      <c r="N176" s="2177"/>
      <c r="O176" s="2177"/>
      <c r="P176" s="2185" t="s">
        <v>2865</v>
      </c>
      <c r="Q176" s="2152"/>
      <c r="R176" s="880"/>
      <c r="T176" s="2252" t="s">
        <v>2940</v>
      </c>
      <c r="U176" s="2251"/>
      <c r="V176" s="2251"/>
      <c r="W176" s="2251"/>
      <c r="X176" s="2251"/>
      <c r="Y176" s="2251"/>
      <c r="Z176" s="2251"/>
      <c r="AA176" s="2251"/>
    </row>
    <row r="177" spans="2:27" ht="14.25" customHeight="1">
      <c r="B177" s="880"/>
      <c r="C177" s="880"/>
      <c r="D177" s="2146" t="s">
        <v>2337</v>
      </c>
      <c r="E177" s="2146" t="s">
        <v>2338</v>
      </c>
      <c r="F177" s="2160" t="s">
        <v>1344</v>
      </c>
      <c r="G177" s="880"/>
      <c r="H177" s="880">
        <v>1</v>
      </c>
      <c r="I177" s="2153" t="e">
        <f>メイン!K15</f>
        <v>#N/A</v>
      </c>
      <c r="J177" s="2146">
        <v>1</v>
      </c>
      <c r="K177" s="2146">
        <v>2</v>
      </c>
      <c r="L177" s="2146">
        <v>3</v>
      </c>
      <c r="M177" s="2146">
        <v>4</v>
      </c>
      <c r="N177" s="2146">
        <v>5</v>
      </c>
      <c r="O177" s="2146">
        <v>6</v>
      </c>
      <c r="P177" s="2146">
        <v>7</v>
      </c>
      <c r="Q177" s="2146">
        <v>8</v>
      </c>
      <c r="R177" s="880"/>
      <c r="T177" s="2253">
        <v>1</v>
      </c>
      <c r="U177" s="2253">
        <v>2</v>
      </c>
      <c r="V177" s="2253">
        <v>3</v>
      </c>
      <c r="W177" s="2253">
        <v>4</v>
      </c>
      <c r="X177" s="2253">
        <v>5</v>
      </c>
      <c r="Y177" s="2253">
        <v>6</v>
      </c>
      <c r="Z177" s="2253">
        <v>7</v>
      </c>
      <c r="AA177" s="2253">
        <v>8</v>
      </c>
    </row>
    <row r="178" spans="2:27" ht="14.25" customHeight="1">
      <c r="B178" s="880"/>
      <c r="C178" s="880"/>
      <c r="D178" s="2160"/>
      <c r="E178" s="880"/>
      <c r="F178" s="2146" t="s">
        <v>2401</v>
      </c>
      <c r="G178" s="2146" t="s">
        <v>2925</v>
      </c>
      <c r="H178" s="2146">
        <v>2</v>
      </c>
      <c r="I178" s="2178" t="e">
        <f>HLOOKUP($I$177,$J$177:$Q$195,H178)</f>
        <v>#N/A</v>
      </c>
      <c r="J178" s="2178">
        <v>1484</v>
      </c>
      <c r="K178" s="2178">
        <v>1298</v>
      </c>
      <c r="L178" s="2178">
        <v>1189</v>
      </c>
      <c r="M178" s="2178">
        <v>1246</v>
      </c>
      <c r="N178" s="2178">
        <v>1163</v>
      </c>
      <c r="O178" s="2178">
        <v>1100</v>
      </c>
      <c r="P178" s="2178">
        <v>976</v>
      </c>
      <c r="Q178" s="2178">
        <v>888</v>
      </c>
      <c r="R178" s="880"/>
      <c r="T178" s="2254">
        <f t="shared" ref="T178:AA178" si="38">MAX(J178:J195)</f>
        <v>1721</v>
      </c>
      <c r="U178" s="2254">
        <f t="shared" si="38"/>
        <v>1502</v>
      </c>
      <c r="V178" s="2254">
        <f t="shared" si="38"/>
        <v>1413</v>
      </c>
      <c r="W178" s="2254">
        <f t="shared" si="38"/>
        <v>1464</v>
      </c>
      <c r="X178" s="2254">
        <f t="shared" si="38"/>
        <v>1374</v>
      </c>
      <c r="Y178" s="2254">
        <f t="shared" si="38"/>
        <v>1343</v>
      </c>
      <c r="Z178" s="2254">
        <f t="shared" si="38"/>
        <v>1164</v>
      </c>
      <c r="AA178" s="2254">
        <f t="shared" si="38"/>
        <v>1017</v>
      </c>
    </row>
    <row r="179" spans="2:27" ht="14.25" customHeight="1">
      <c r="B179" s="880"/>
      <c r="C179" s="880"/>
      <c r="D179" s="2160" t="s">
        <v>2341</v>
      </c>
      <c r="E179" s="880" t="s">
        <v>2339</v>
      </c>
      <c r="F179" s="2146" t="s">
        <v>2340</v>
      </c>
      <c r="G179" s="2146" t="s">
        <v>1345</v>
      </c>
      <c r="H179" s="2146">
        <v>3</v>
      </c>
      <c r="I179" s="2178" t="e">
        <f t="shared" ref="I179:I194" si="39">HLOOKUP($I$177,$J$177:$Q$195,H179)</f>
        <v>#N/A</v>
      </c>
      <c r="J179" s="2178">
        <v>1721</v>
      </c>
      <c r="K179" s="2178">
        <v>1502</v>
      </c>
      <c r="L179" s="2178">
        <v>1373</v>
      </c>
      <c r="M179" s="2178">
        <v>1440</v>
      </c>
      <c r="N179" s="2178">
        <v>1343</v>
      </c>
      <c r="O179" s="2178">
        <v>1268</v>
      </c>
      <c r="P179" s="2178">
        <v>1121</v>
      </c>
      <c r="Q179" s="2178">
        <v>1017</v>
      </c>
      <c r="R179" s="880"/>
      <c r="T179" s="2255">
        <f>J178</f>
        <v>1484</v>
      </c>
      <c r="U179" s="2255">
        <f>K178</f>
        <v>1298</v>
      </c>
      <c r="V179" s="2255">
        <f>L184</f>
        <v>1223</v>
      </c>
      <c r="W179" s="2255">
        <f>M184</f>
        <v>1266</v>
      </c>
      <c r="X179" s="2255">
        <f>N184</f>
        <v>1190</v>
      </c>
      <c r="Y179" s="2255">
        <f>O184</f>
        <v>1163</v>
      </c>
      <c r="Z179" s="2255">
        <f>P184</f>
        <v>1012</v>
      </c>
      <c r="AA179" s="2255">
        <f>Q178</f>
        <v>888</v>
      </c>
    </row>
    <row r="180" spans="2:27" ht="14.25" customHeight="1">
      <c r="B180" s="880"/>
      <c r="C180" s="880"/>
      <c r="D180" s="2160"/>
      <c r="E180" s="880"/>
      <c r="F180" s="2623" t="s">
        <v>519</v>
      </c>
      <c r="G180" s="2619" t="s">
        <v>3471</v>
      </c>
      <c r="H180" s="880">
        <v>4</v>
      </c>
      <c r="I180" s="2178" t="e">
        <f t="shared" si="39"/>
        <v>#N/A</v>
      </c>
      <c r="J180" s="2178">
        <v>1365</v>
      </c>
      <c r="K180" s="2178">
        <v>1196</v>
      </c>
      <c r="L180" s="2178">
        <v>1097</v>
      </c>
      <c r="M180" s="2178">
        <v>1149</v>
      </c>
      <c r="N180" s="2178">
        <v>1074</v>
      </c>
      <c r="O180" s="2178">
        <v>1016</v>
      </c>
      <c r="P180" s="2178">
        <v>903</v>
      </c>
      <c r="Q180" s="2178">
        <v>823</v>
      </c>
      <c r="R180" s="880"/>
      <c r="S180" s="880"/>
    </row>
    <row r="181" spans="2:27" ht="14.25" customHeight="1">
      <c r="B181" s="880"/>
      <c r="C181" s="880"/>
      <c r="D181" s="2246"/>
      <c r="E181" s="2153"/>
      <c r="F181" s="2152" t="s">
        <v>2401</v>
      </c>
      <c r="G181" s="2146" t="s">
        <v>2926</v>
      </c>
      <c r="H181" s="2146">
        <v>5</v>
      </c>
      <c r="I181" s="2178" t="e">
        <f t="shared" si="39"/>
        <v>#N/A</v>
      </c>
      <c r="J181" s="2178">
        <v>1466</v>
      </c>
      <c r="K181" s="2178">
        <v>1282</v>
      </c>
      <c r="L181" s="2178">
        <v>1155</v>
      </c>
      <c r="M181" s="2178">
        <v>1179</v>
      </c>
      <c r="N181" s="2178">
        <v>1092</v>
      </c>
      <c r="O181" s="2178">
        <v>926</v>
      </c>
      <c r="P181" s="2178">
        <v>752</v>
      </c>
      <c r="Q181" s="2178">
        <v>556</v>
      </c>
      <c r="R181" s="880"/>
      <c r="S181" s="880"/>
    </row>
    <row r="182" spans="2:27" ht="14.25" customHeight="1">
      <c r="B182" s="880"/>
      <c r="C182" s="880"/>
      <c r="D182" s="2247" t="s">
        <v>2341</v>
      </c>
      <c r="E182" s="2160" t="s">
        <v>2342</v>
      </c>
      <c r="F182" s="2152" t="s">
        <v>2340</v>
      </c>
      <c r="G182" s="2146" t="s">
        <v>1346</v>
      </c>
      <c r="H182" s="2146">
        <v>6</v>
      </c>
      <c r="I182" s="2178" t="e">
        <f t="shared" si="39"/>
        <v>#N/A</v>
      </c>
      <c r="J182" s="2178">
        <v>1700</v>
      </c>
      <c r="K182" s="2178">
        <v>1483</v>
      </c>
      <c r="L182" s="2178">
        <v>1333</v>
      </c>
      <c r="M182" s="2178">
        <v>1361</v>
      </c>
      <c r="N182" s="2178">
        <v>1258</v>
      </c>
      <c r="O182" s="2178">
        <v>1063</v>
      </c>
      <c r="P182" s="2178">
        <v>857</v>
      </c>
      <c r="Q182" s="2178">
        <v>625</v>
      </c>
      <c r="R182" s="880"/>
      <c r="S182" s="880"/>
    </row>
    <row r="183" spans="2:27" ht="14.25" customHeight="1">
      <c r="B183" s="880"/>
      <c r="C183" s="880"/>
      <c r="D183" s="2248"/>
      <c r="E183" s="2175"/>
      <c r="F183" s="2623" t="s">
        <v>519</v>
      </c>
      <c r="G183" s="2619" t="s">
        <v>3472</v>
      </c>
      <c r="H183" s="880">
        <v>7</v>
      </c>
      <c r="I183" s="2178" t="e">
        <f t="shared" si="39"/>
        <v>#N/A</v>
      </c>
      <c r="J183" s="2178">
        <v>1348</v>
      </c>
      <c r="K183" s="2178">
        <v>1182</v>
      </c>
      <c r="L183" s="2178">
        <v>1066</v>
      </c>
      <c r="M183" s="2178">
        <v>1088</v>
      </c>
      <c r="N183" s="2178">
        <v>1009</v>
      </c>
      <c r="O183" s="2178">
        <v>858</v>
      </c>
      <c r="P183" s="2178">
        <v>700</v>
      </c>
      <c r="Q183" s="2178">
        <v>521</v>
      </c>
      <c r="R183" s="880"/>
      <c r="S183" s="880"/>
    </row>
    <row r="184" spans="2:27" ht="14.25" customHeight="1">
      <c r="B184" s="880"/>
      <c r="C184" s="880"/>
      <c r="D184" s="2153"/>
      <c r="E184" s="2153"/>
      <c r="F184" s="2146" t="s">
        <v>2401</v>
      </c>
      <c r="G184" s="2146" t="s">
        <v>2927</v>
      </c>
      <c r="H184" s="2146">
        <v>8</v>
      </c>
      <c r="I184" s="2178" t="e">
        <f t="shared" si="39"/>
        <v>#N/A</v>
      </c>
      <c r="J184" s="2178">
        <v>1374</v>
      </c>
      <c r="K184" s="2178">
        <v>1287</v>
      </c>
      <c r="L184" s="2178">
        <v>1223</v>
      </c>
      <c r="M184" s="2178">
        <v>1266</v>
      </c>
      <c r="N184" s="2178">
        <v>1190</v>
      </c>
      <c r="O184" s="2178">
        <v>1163</v>
      </c>
      <c r="P184" s="2178">
        <v>1012</v>
      </c>
      <c r="Q184" s="2178">
        <v>888</v>
      </c>
      <c r="R184" s="880"/>
      <c r="S184" s="880"/>
    </row>
    <row r="185" spans="2:27" ht="14.25" customHeight="1">
      <c r="B185" s="880"/>
      <c r="C185" s="880"/>
      <c r="D185" s="2160" t="s">
        <v>2343</v>
      </c>
      <c r="E185" s="2160" t="s">
        <v>2339</v>
      </c>
      <c r="F185" s="2146" t="s">
        <v>2340</v>
      </c>
      <c r="G185" s="2146" t="s">
        <v>1347</v>
      </c>
      <c r="H185" s="2146">
        <v>9</v>
      </c>
      <c r="I185" s="2178" t="e">
        <f t="shared" si="39"/>
        <v>#N/A</v>
      </c>
      <c r="J185" s="2178">
        <v>1592</v>
      </c>
      <c r="K185" s="2178">
        <v>1489</v>
      </c>
      <c r="L185" s="2178">
        <v>1413</v>
      </c>
      <c r="M185" s="2178">
        <v>1464</v>
      </c>
      <c r="N185" s="2178">
        <v>1374</v>
      </c>
      <c r="O185" s="2178">
        <v>1343</v>
      </c>
      <c r="P185" s="2178">
        <v>1164</v>
      </c>
      <c r="Q185" s="2178">
        <v>1017</v>
      </c>
      <c r="R185" s="880"/>
      <c r="S185" s="880"/>
    </row>
    <row r="186" spans="2:27" ht="14.25" customHeight="1">
      <c r="B186" s="880"/>
      <c r="C186" s="880"/>
      <c r="D186" s="2160"/>
      <c r="E186" s="2160"/>
      <c r="F186" s="2623" t="s">
        <v>519</v>
      </c>
      <c r="G186" s="2619" t="s">
        <v>3473</v>
      </c>
      <c r="H186" s="880">
        <v>10</v>
      </c>
      <c r="I186" s="2178" t="e">
        <f t="shared" si="39"/>
        <v>#N/A</v>
      </c>
      <c r="J186" s="2178">
        <v>1265</v>
      </c>
      <c r="K186" s="2178">
        <v>1186</v>
      </c>
      <c r="L186" s="2178">
        <v>1128</v>
      </c>
      <c r="M186" s="2178">
        <v>1167</v>
      </c>
      <c r="N186" s="2178">
        <v>1098</v>
      </c>
      <c r="O186" s="2178">
        <v>1074</v>
      </c>
      <c r="P186" s="2178">
        <v>936</v>
      </c>
      <c r="Q186" s="2178">
        <v>823</v>
      </c>
      <c r="R186" s="880"/>
      <c r="S186" s="880"/>
    </row>
    <row r="187" spans="2:27" ht="14.25" customHeight="1">
      <c r="B187" s="880"/>
      <c r="C187" s="880"/>
      <c r="D187" s="2246"/>
      <c r="E187" s="2153"/>
      <c r="F187" s="2152" t="s">
        <v>2401</v>
      </c>
      <c r="G187" s="2146" t="s">
        <v>2928</v>
      </c>
      <c r="H187" s="2146">
        <v>11</v>
      </c>
      <c r="I187" s="2178" t="e">
        <f t="shared" si="39"/>
        <v>#N/A</v>
      </c>
      <c r="J187" s="2178">
        <v>1356</v>
      </c>
      <c r="K187" s="2178">
        <v>1271</v>
      </c>
      <c r="L187" s="2178">
        <v>1189</v>
      </c>
      <c r="M187" s="2178">
        <v>1199</v>
      </c>
      <c r="N187" s="2178">
        <v>1119</v>
      </c>
      <c r="O187" s="2178">
        <v>990</v>
      </c>
      <c r="P187" s="2178">
        <v>789</v>
      </c>
      <c r="Q187" s="2178">
        <v>556</v>
      </c>
      <c r="R187" s="880"/>
      <c r="S187" s="880"/>
    </row>
    <row r="188" spans="2:27" ht="14.25" customHeight="1">
      <c r="B188" s="880"/>
      <c r="C188" s="880"/>
      <c r="D188" s="2247" t="s">
        <v>2343</v>
      </c>
      <c r="E188" s="2160" t="s">
        <v>2342</v>
      </c>
      <c r="F188" s="2152" t="s">
        <v>2340</v>
      </c>
      <c r="G188" s="2146" t="s">
        <v>1348</v>
      </c>
      <c r="H188" s="2146">
        <v>12</v>
      </c>
      <c r="I188" s="2178" t="e">
        <f t="shared" si="39"/>
        <v>#N/A</v>
      </c>
      <c r="J188" s="2178">
        <v>1571</v>
      </c>
      <c r="K188" s="2178">
        <v>1470</v>
      </c>
      <c r="L188" s="2178">
        <v>1373</v>
      </c>
      <c r="M188" s="2178">
        <v>1385</v>
      </c>
      <c r="N188" s="2178">
        <v>1290</v>
      </c>
      <c r="O188" s="2178">
        <v>1137</v>
      </c>
      <c r="P188" s="2178">
        <v>900</v>
      </c>
      <c r="Q188" s="2178">
        <v>625</v>
      </c>
      <c r="R188" s="880"/>
      <c r="S188" s="880"/>
    </row>
    <row r="189" spans="2:27">
      <c r="B189" s="880"/>
      <c r="C189" s="880"/>
      <c r="D189" s="2248"/>
      <c r="E189" s="2175"/>
      <c r="F189" s="2623" t="s">
        <v>519</v>
      </c>
      <c r="G189" s="2619" t="s">
        <v>3474</v>
      </c>
      <c r="H189" s="880">
        <v>13</v>
      </c>
      <c r="I189" s="2178" t="e">
        <f t="shared" si="39"/>
        <v>#N/A</v>
      </c>
      <c r="J189" s="2178">
        <v>1249</v>
      </c>
      <c r="K189" s="2178">
        <v>1172</v>
      </c>
      <c r="L189" s="2178">
        <v>1097</v>
      </c>
      <c r="M189" s="2178">
        <v>1106</v>
      </c>
      <c r="N189" s="2178">
        <v>1033</v>
      </c>
      <c r="O189" s="2178">
        <v>916</v>
      </c>
      <c r="P189" s="2178">
        <v>733</v>
      </c>
      <c r="Q189" s="2178">
        <v>521</v>
      </c>
      <c r="R189" s="880"/>
      <c r="S189" s="880"/>
    </row>
    <row r="190" spans="2:27">
      <c r="B190" s="880"/>
      <c r="C190" s="880"/>
      <c r="D190" s="2153"/>
      <c r="E190" s="2218"/>
      <c r="F190" s="2146" t="s">
        <v>2401</v>
      </c>
      <c r="G190" s="2146" t="s">
        <v>2929</v>
      </c>
      <c r="H190" s="2146">
        <v>14</v>
      </c>
      <c r="I190" s="2178" t="e">
        <f t="shared" si="39"/>
        <v>#N/A</v>
      </c>
      <c r="J190" s="2178">
        <v>1024</v>
      </c>
      <c r="K190" s="2178">
        <v>966</v>
      </c>
      <c r="L190" s="2178">
        <v>916</v>
      </c>
      <c r="M190" s="2178">
        <v>941</v>
      </c>
      <c r="N190" s="2178">
        <v>856</v>
      </c>
      <c r="O190" s="2178">
        <v>901</v>
      </c>
      <c r="P190" s="2178">
        <v>869</v>
      </c>
      <c r="Q190" s="2178">
        <v>888</v>
      </c>
      <c r="R190" s="880"/>
      <c r="S190" s="880"/>
    </row>
    <row r="191" spans="2:27">
      <c r="B191" s="880"/>
      <c r="C191" s="880"/>
      <c r="D191" s="2160" t="s">
        <v>2344</v>
      </c>
      <c r="E191" s="2249" t="s">
        <v>2339</v>
      </c>
      <c r="F191" s="2146" t="s">
        <v>2340</v>
      </c>
      <c r="G191" s="2146" t="s">
        <v>1349</v>
      </c>
      <c r="H191" s="2146">
        <v>15</v>
      </c>
      <c r="I191" s="2178" t="e">
        <f t="shared" si="39"/>
        <v>#N/A</v>
      </c>
      <c r="J191" s="2178">
        <v>1178</v>
      </c>
      <c r="K191" s="2178">
        <v>1110</v>
      </c>
      <c r="L191" s="2178">
        <v>1050</v>
      </c>
      <c r="M191" s="2178">
        <v>1080</v>
      </c>
      <c r="N191" s="2178">
        <v>97</v>
      </c>
      <c r="O191" s="2178">
        <v>1033</v>
      </c>
      <c r="P191" s="2178">
        <v>995</v>
      </c>
      <c r="Q191" s="2178">
        <v>1017</v>
      </c>
      <c r="R191" s="880"/>
      <c r="S191" s="880"/>
    </row>
    <row r="192" spans="2:27">
      <c r="B192" s="880"/>
      <c r="C192" s="880"/>
      <c r="D192" s="2160"/>
      <c r="E192" s="2249"/>
      <c r="F192" s="2623" t="s">
        <v>519</v>
      </c>
      <c r="G192" s="2619" t="s">
        <v>3475</v>
      </c>
      <c r="H192" s="880">
        <v>16</v>
      </c>
      <c r="I192" s="2178" t="e">
        <f t="shared" si="39"/>
        <v>#N/A</v>
      </c>
      <c r="J192" s="2178">
        <v>947</v>
      </c>
      <c r="K192" s="2178">
        <v>894</v>
      </c>
      <c r="L192" s="2178">
        <v>849</v>
      </c>
      <c r="M192" s="2178">
        <v>871</v>
      </c>
      <c r="N192" s="2178">
        <v>794</v>
      </c>
      <c r="O192" s="2178">
        <v>835</v>
      </c>
      <c r="P192" s="2178">
        <v>806</v>
      </c>
      <c r="Q192" s="2178">
        <v>823</v>
      </c>
      <c r="R192" s="880"/>
      <c r="S192" s="880"/>
    </row>
    <row r="193" spans="2:19">
      <c r="B193" s="880"/>
      <c r="C193" s="880"/>
      <c r="D193" s="2246"/>
      <c r="E193" s="2153"/>
      <c r="F193" s="2152" t="s">
        <v>2401</v>
      </c>
      <c r="G193" s="2146" t="s">
        <v>2930</v>
      </c>
      <c r="H193" s="2146">
        <v>17</v>
      </c>
      <c r="I193" s="2178" t="e">
        <f t="shared" si="39"/>
        <v>#N/A</v>
      </c>
      <c r="J193" s="2178">
        <v>1006</v>
      </c>
      <c r="K193" s="2178">
        <v>950</v>
      </c>
      <c r="L193" s="2178">
        <v>882</v>
      </c>
      <c r="M193" s="2178">
        <v>874</v>
      </c>
      <c r="N193" s="2178">
        <v>784</v>
      </c>
      <c r="O193" s="2178">
        <v>727</v>
      </c>
      <c r="P193" s="2178">
        <v>646</v>
      </c>
      <c r="Q193" s="2178">
        <v>556</v>
      </c>
      <c r="R193" s="880"/>
      <c r="S193" s="880"/>
    </row>
    <row r="194" spans="2:19">
      <c r="B194" s="880"/>
      <c r="C194" s="880"/>
      <c r="D194" s="2247" t="s">
        <v>2344</v>
      </c>
      <c r="E194" s="2160" t="s">
        <v>2342</v>
      </c>
      <c r="F194" s="2152" t="s">
        <v>2340</v>
      </c>
      <c r="G194" s="2146" t="s">
        <v>2931</v>
      </c>
      <c r="H194" s="2146">
        <v>18</v>
      </c>
      <c r="I194" s="2178" t="e">
        <f t="shared" si="39"/>
        <v>#N/A</v>
      </c>
      <c r="J194" s="2178">
        <v>1157</v>
      </c>
      <c r="K194" s="2178">
        <v>1091</v>
      </c>
      <c r="L194" s="2178">
        <v>1010</v>
      </c>
      <c r="M194" s="2178">
        <v>1001</v>
      </c>
      <c r="N194" s="2178">
        <v>895</v>
      </c>
      <c r="O194" s="2178">
        <v>828</v>
      </c>
      <c r="P194" s="2178">
        <v>731</v>
      </c>
      <c r="Q194" s="2178">
        <v>625</v>
      </c>
      <c r="R194" s="880"/>
      <c r="S194" s="880"/>
    </row>
    <row r="195" spans="2:19">
      <c r="B195" s="880"/>
      <c r="C195" s="880"/>
      <c r="D195" s="2248"/>
      <c r="E195" s="2175"/>
      <c r="F195" s="2623" t="s">
        <v>519</v>
      </c>
      <c r="G195" s="2619" t="s">
        <v>3476</v>
      </c>
      <c r="H195" s="2146">
        <v>19</v>
      </c>
      <c r="I195" s="2178" t="e">
        <f>HLOOKUP($I$177,$J$177:$Q$195,H195)</f>
        <v>#N/A</v>
      </c>
      <c r="J195" s="2178">
        <v>931</v>
      </c>
      <c r="K195" s="2178">
        <v>880</v>
      </c>
      <c r="L195" s="2178">
        <v>818</v>
      </c>
      <c r="M195" s="2178">
        <v>811</v>
      </c>
      <c r="N195" s="2178">
        <v>729</v>
      </c>
      <c r="O195" s="2178">
        <v>677</v>
      </c>
      <c r="P195" s="2178">
        <v>603</v>
      </c>
      <c r="Q195" s="2178">
        <v>521</v>
      </c>
      <c r="R195" s="880"/>
      <c r="S195" s="880"/>
    </row>
    <row r="196" spans="2:19" hidden="1">
      <c r="B196" s="880"/>
      <c r="C196" s="880"/>
      <c r="D196" s="2620">
        <f>計画書!F64</f>
        <v>0</v>
      </c>
      <c r="E196" s="2620">
        <f>計画書!L64</f>
        <v>0</v>
      </c>
      <c r="F196" s="2621" t="str">
        <f>計画書!F62</f>
        <v>算定プログラムによる評価</v>
      </c>
      <c r="G196" s="2622" t="str">
        <f>IFERROR(D196&amp;E196&amp;F196,"-")</f>
        <v>00算定プログラムによる評価</v>
      </c>
      <c r="H196" s="2256" t="str">
        <f>IFERROR(VLOOKUP(G196,G178:H195,2,0),"-")</f>
        <v>-</v>
      </c>
      <c r="I196" s="2257" t="e">
        <f>IF(H196="-",HLOOKUP($I$177,$T$177:$AA$179,2,FALSE),VLOOKUP(H196,$H$178:$I$195,2))</f>
        <v>#N/A</v>
      </c>
      <c r="J196" s="880"/>
      <c r="K196" s="880"/>
      <c r="L196" s="880"/>
      <c r="M196" s="880"/>
      <c r="N196" s="880"/>
      <c r="O196" s="880"/>
      <c r="P196" s="880"/>
      <c r="Q196" s="880"/>
      <c r="R196" s="880"/>
      <c r="S196" s="880"/>
    </row>
    <row r="197" spans="2:19" hidden="1">
      <c r="B197" s="880"/>
      <c r="C197" s="880"/>
      <c r="D197" s="880"/>
      <c r="E197" s="880"/>
      <c r="F197" s="880"/>
      <c r="G197" s="880" t="str">
        <f>D196&amp;E196&amp;0</f>
        <v>000</v>
      </c>
      <c r="H197" s="2256" t="str">
        <f>IFERROR(VLOOKUP(G197,G178:H195,2,0),"-")</f>
        <v>-</v>
      </c>
      <c r="I197" s="2257" t="e">
        <f>IF(H197="-",HLOOKUP($I$177,$T$177:$AA$179,3,FALSE),VLOOKUP(H197,$H$178:$I$195,2))</f>
        <v>#N/A</v>
      </c>
      <c r="J197" s="880"/>
      <c r="K197" s="880"/>
      <c r="L197" s="880"/>
      <c r="M197" s="880"/>
      <c r="N197" s="880"/>
      <c r="O197" s="880"/>
      <c r="P197" s="880"/>
      <c r="Q197" s="880"/>
      <c r="R197" s="880"/>
      <c r="S197" s="880"/>
    </row>
    <row r="198" spans="2:19">
      <c r="B198" s="880"/>
      <c r="C198" s="880"/>
      <c r="D198" s="1607"/>
      <c r="E198" s="1608"/>
      <c r="F198" s="1608"/>
      <c r="G198" s="1608"/>
      <c r="H198" s="1608"/>
      <c r="I198" s="1664"/>
      <c r="J198" s="1658"/>
      <c r="K198" s="1608"/>
      <c r="L198" s="1608"/>
      <c r="M198" s="1608"/>
      <c r="N198" s="1608"/>
      <c r="O198" s="1608"/>
      <c r="P198" s="1608"/>
      <c r="Q198" s="1608"/>
      <c r="R198" s="880"/>
      <c r="S198" s="880"/>
    </row>
    <row r="199" spans="2:19">
      <c r="C199" s="1668" t="s">
        <v>2892</v>
      </c>
      <c r="D199" s="1608"/>
      <c r="E199" s="1608"/>
      <c r="F199" s="1608"/>
      <c r="G199" s="1608"/>
      <c r="H199" s="1608"/>
      <c r="I199" s="1608"/>
      <c r="J199" s="1608"/>
      <c r="K199" s="1608"/>
      <c r="L199" s="1608"/>
      <c r="M199" s="1608"/>
      <c r="N199" s="1608"/>
      <c r="O199" s="1608"/>
      <c r="P199" s="1608"/>
      <c r="Q199" s="1608"/>
    </row>
    <row r="200" spans="2:19">
      <c r="C200" s="1669"/>
      <c r="D200" s="1608"/>
      <c r="E200" s="1608"/>
      <c r="F200" s="1608"/>
      <c r="G200" s="1608"/>
      <c r="H200" s="1608"/>
      <c r="I200" s="1608"/>
      <c r="J200" s="1608"/>
      <c r="K200" s="1608"/>
      <c r="L200" s="1608"/>
      <c r="M200" s="1608"/>
      <c r="N200" s="1608"/>
      <c r="O200" s="1608"/>
      <c r="P200" s="1608"/>
      <c r="Q200" s="1608"/>
    </row>
    <row r="201" spans="2:19">
      <c r="C201" s="1613" t="s">
        <v>2616</v>
      </c>
      <c r="D201" s="1608"/>
      <c r="E201" s="1608"/>
      <c r="F201" s="1608"/>
      <c r="G201" s="1608"/>
      <c r="H201" s="1608"/>
      <c r="I201" s="1615" t="s">
        <v>770</v>
      </c>
      <c r="J201" s="1611"/>
      <c r="K201" s="1616"/>
      <c r="L201" s="1615" t="s">
        <v>769</v>
      </c>
      <c r="M201" s="1611"/>
      <c r="N201" s="1616"/>
      <c r="O201" s="1615" t="s">
        <v>771</v>
      </c>
      <c r="P201" s="1611"/>
      <c r="Q201" s="1616"/>
    </row>
    <row r="202" spans="2:19">
      <c r="C202" s="1608"/>
      <c r="D202" s="1613" t="s">
        <v>2617</v>
      </c>
      <c r="E202" s="1608"/>
      <c r="F202" s="1608"/>
      <c r="G202" s="1646"/>
      <c r="H202" s="1646"/>
      <c r="I202" s="1622" t="s">
        <v>525</v>
      </c>
      <c r="J202" s="1622" t="s">
        <v>526</v>
      </c>
      <c r="K202" s="1622" t="s">
        <v>527</v>
      </c>
      <c r="L202" s="1622" t="s">
        <v>525</v>
      </c>
      <c r="M202" s="1622" t="s">
        <v>526</v>
      </c>
      <c r="N202" s="1622" t="s">
        <v>527</v>
      </c>
      <c r="O202" s="1622" t="s">
        <v>525</v>
      </c>
      <c r="P202" s="1622" t="s">
        <v>526</v>
      </c>
      <c r="Q202" s="1622" t="s">
        <v>527</v>
      </c>
    </row>
    <row r="203" spans="2:19">
      <c r="C203" s="1608"/>
      <c r="D203" s="1608"/>
      <c r="E203" s="1617" t="s">
        <v>528</v>
      </c>
      <c r="F203" s="1666"/>
      <c r="G203" s="1646">
        <v>1</v>
      </c>
      <c r="H203" s="1646"/>
      <c r="I203" s="1670">
        <v>60</v>
      </c>
      <c r="J203" s="1670">
        <v>60</v>
      </c>
      <c r="K203" s="1670">
        <v>60</v>
      </c>
      <c r="L203" s="1670">
        <v>60</v>
      </c>
      <c r="M203" s="1670">
        <v>60</v>
      </c>
      <c r="N203" s="1670">
        <v>60</v>
      </c>
      <c r="O203" s="1670">
        <v>60</v>
      </c>
      <c r="P203" s="1670">
        <v>60</v>
      </c>
      <c r="Q203" s="1670">
        <v>60</v>
      </c>
    </row>
    <row r="204" spans="2:19">
      <c r="C204" s="1608"/>
      <c r="D204" s="1608"/>
      <c r="E204" s="1617" t="s">
        <v>463</v>
      </c>
      <c r="F204" s="1666"/>
      <c r="G204" s="1646">
        <v>2</v>
      </c>
      <c r="H204" s="1646"/>
      <c r="I204" s="1670">
        <v>60</v>
      </c>
      <c r="J204" s="1670">
        <v>60</v>
      </c>
      <c r="K204" s="1670">
        <v>60</v>
      </c>
      <c r="L204" s="1670">
        <v>60</v>
      </c>
      <c r="M204" s="1670">
        <v>60</v>
      </c>
      <c r="N204" s="1670">
        <v>60</v>
      </c>
      <c r="O204" s="1670">
        <v>60</v>
      </c>
      <c r="P204" s="1670">
        <v>60</v>
      </c>
      <c r="Q204" s="1670">
        <v>60</v>
      </c>
    </row>
    <row r="205" spans="2:19">
      <c r="C205" s="1608"/>
      <c r="D205" s="1608"/>
      <c r="E205" s="1617" t="s">
        <v>465</v>
      </c>
      <c r="F205" s="1666"/>
      <c r="G205" s="1646">
        <v>3</v>
      </c>
      <c r="H205" s="1646"/>
      <c r="I205" s="1670">
        <v>30</v>
      </c>
      <c r="J205" s="1670">
        <v>30</v>
      </c>
      <c r="K205" s="1670">
        <v>30</v>
      </c>
      <c r="L205" s="1670">
        <v>30</v>
      </c>
      <c r="M205" s="1670">
        <v>30</v>
      </c>
      <c r="N205" s="1670">
        <v>30</v>
      </c>
      <c r="O205" s="1670">
        <v>30</v>
      </c>
      <c r="P205" s="1670">
        <v>30</v>
      </c>
      <c r="Q205" s="1670">
        <v>30</v>
      </c>
    </row>
    <row r="206" spans="2:19">
      <c r="C206" s="1608"/>
      <c r="D206" s="1608"/>
      <c r="E206" s="1617" t="s">
        <v>467</v>
      </c>
      <c r="F206" s="1666"/>
      <c r="G206" s="1646">
        <v>4</v>
      </c>
      <c r="H206" s="1646"/>
      <c r="I206" s="1670">
        <v>30</v>
      </c>
      <c r="J206" s="1670">
        <v>30</v>
      </c>
      <c r="K206" s="1670">
        <v>30</v>
      </c>
      <c r="L206" s="1670">
        <v>30</v>
      </c>
      <c r="M206" s="1670">
        <v>30</v>
      </c>
      <c r="N206" s="1670">
        <v>30</v>
      </c>
      <c r="O206" s="1670">
        <v>30</v>
      </c>
      <c r="P206" s="1670">
        <v>30</v>
      </c>
      <c r="Q206" s="1670">
        <v>30</v>
      </c>
    </row>
    <row r="207" spans="2:19">
      <c r="C207" s="1608"/>
      <c r="D207" s="1608"/>
      <c r="E207" s="1617" t="s">
        <v>1966</v>
      </c>
      <c r="F207" s="1666"/>
      <c r="G207" s="1646">
        <v>5</v>
      </c>
      <c r="H207" s="1646"/>
      <c r="I207" s="1670">
        <v>60</v>
      </c>
      <c r="J207" s="1670">
        <v>60</v>
      </c>
      <c r="K207" s="1670">
        <v>60</v>
      </c>
      <c r="L207" s="1670">
        <v>60</v>
      </c>
      <c r="M207" s="1670">
        <v>60</v>
      </c>
      <c r="N207" s="1670">
        <v>60</v>
      </c>
      <c r="O207" s="1670">
        <v>60</v>
      </c>
      <c r="P207" s="1670">
        <v>60</v>
      </c>
      <c r="Q207" s="1670">
        <v>60</v>
      </c>
    </row>
    <row r="208" spans="2:19">
      <c r="C208" s="1608"/>
      <c r="D208" s="1608"/>
      <c r="E208" s="1617" t="s">
        <v>477</v>
      </c>
      <c r="F208" s="1666"/>
      <c r="G208" s="1646">
        <v>6</v>
      </c>
      <c r="H208" s="1646"/>
      <c r="I208" s="1670">
        <v>30</v>
      </c>
      <c r="J208" s="1670">
        <v>30</v>
      </c>
      <c r="K208" s="1670">
        <v>30</v>
      </c>
      <c r="L208" s="1670">
        <v>30</v>
      </c>
      <c r="M208" s="1670">
        <v>30</v>
      </c>
      <c r="N208" s="1670">
        <v>30</v>
      </c>
      <c r="O208" s="1670">
        <v>30</v>
      </c>
      <c r="P208" s="1670">
        <v>30</v>
      </c>
      <c r="Q208" s="1670">
        <v>30</v>
      </c>
    </row>
    <row r="209" spans="3:17">
      <c r="C209" s="1608"/>
      <c r="D209" s="1608"/>
      <c r="E209" s="1617" t="s">
        <v>471</v>
      </c>
      <c r="F209" s="1666"/>
      <c r="G209" s="1646">
        <v>7</v>
      </c>
      <c r="H209" s="1646"/>
      <c r="I209" s="1670">
        <v>60</v>
      </c>
      <c r="J209" s="1670">
        <v>60</v>
      </c>
      <c r="K209" s="1670">
        <v>60</v>
      </c>
      <c r="L209" s="1670">
        <v>60</v>
      </c>
      <c r="M209" s="1670">
        <v>60</v>
      </c>
      <c r="N209" s="1670">
        <v>60</v>
      </c>
      <c r="O209" s="1670">
        <v>60</v>
      </c>
      <c r="P209" s="1670">
        <v>60</v>
      </c>
      <c r="Q209" s="1670">
        <v>60</v>
      </c>
    </row>
    <row r="210" spans="3:17">
      <c r="C210" s="1608"/>
      <c r="D210" s="1608"/>
      <c r="E210" s="1617" t="s">
        <v>319</v>
      </c>
      <c r="F210" s="1666"/>
      <c r="G210" s="1646">
        <v>8</v>
      </c>
      <c r="H210" s="1646"/>
      <c r="I210" s="1670">
        <v>60</v>
      </c>
      <c r="J210" s="1670">
        <v>60</v>
      </c>
      <c r="K210" s="1670">
        <v>60</v>
      </c>
      <c r="L210" s="1670">
        <v>60</v>
      </c>
      <c r="M210" s="1670">
        <v>60</v>
      </c>
      <c r="N210" s="1670">
        <v>60</v>
      </c>
      <c r="O210" s="1670">
        <v>60</v>
      </c>
      <c r="P210" s="1670">
        <v>60</v>
      </c>
      <c r="Q210" s="1670">
        <v>60</v>
      </c>
    </row>
    <row r="211" spans="3:17">
      <c r="C211" s="1608"/>
      <c r="D211" s="1608"/>
      <c r="E211" s="1617" t="s">
        <v>475</v>
      </c>
      <c r="F211" s="1666"/>
      <c r="G211" s="1646">
        <v>9</v>
      </c>
      <c r="H211" s="1646"/>
      <c r="I211" s="1670">
        <v>30</v>
      </c>
      <c r="J211" s="1670">
        <v>60</v>
      </c>
      <c r="K211" s="1670">
        <v>90</v>
      </c>
      <c r="L211" s="1670">
        <v>30</v>
      </c>
      <c r="M211" s="1670">
        <v>60</v>
      </c>
      <c r="N211" s="1670">
        <v>90</v>
      </c>
      <c r="O211" s="1670">
        <v>30</v>
      </c>
      <c r="P211" s="1670">
        <v>60</v>
      </c>
      <c r="Q211" s="1670">
        <v>90</v>
      </c>
    </row>
    <row r="212" spans="3:17">
      <c r="C212" s="1613"/>
      <c r="D212" s="1613"/>
      <c r="E212" s="1608"/>
      <c r="F212" s="1608"/>
      <c r="G212" s="1608"/>
      <c r="H212" s="1608"/>
      <c r="I212" s="1671"/>
      <c r="J212" s="1671"/>
      <c r="K212" s="1671"/>
      <c r="L212" s="1671"/>
      <c r="M212" s="1671"/>
      <c r="N212" s="1671"/>
      <c r="O212" s="1671"/>
      <c r="P212" s="1671"/>
      <c r="Q212" s="1671"/>
    </row>
    <row r="213" spans="3:17">
      <c r="C213" s="1613" t="s">
        <v>2405</v>
      </c>
      <c r="D213" s="1613"/>
      <c r="E213" s="1608"/>
      <c r="F213" s="1608"/>
      <c r="G213" s="1608"/>
      <c r="H213" s="1608"/>
      <c r="I213" s="918" t="s">
        <v>2618</v>
      </c>
      <c r="J213" s="919" t="s">
        <v>2619</v>
      </c>
      <c r="K213" s="919" t="s">
        <v>2620</v>
      </c>
      <c r="L213" s="918" t="s">
        <v>2618</v>
      </c>
      <c r="M213" s="919" t="s">
        <v>2619</v>
      </c>
      <c r="N213" s="919" t="s">
        <v>2620</v>
      </c>
      <c r="O213" s="918" t="s">
        <v>2618</v>
      </c>
      <c r="P213" s="919" t="s">
        <v>2619</v>
      </c>
      <c r="Q213" s="919" t="s">
        <v>2620</v>
      </c>
    </row>
    <row r="214" spans="3:17">
      <c r="C214" s="1608"/>
      <c r="D214" s="1608" t="s">
        <v>1771</v>
      </c>
      <c r="E214" s="1608" t="s">
        <v>2408</v>
      </c>
      <c r="F214" s="1608" t="s">
        <v>2409</v>
      </c>
      <c r="G214" s="1608"/>
      <c r="H214" s="1608"/>
      <c r="I214" s="1672">
        <v>0.56699999999999995</v>
      </c>
      <c r="J214" s="1672">
        <v>0</v>
      </c>
      <c r="K214" s="1672">
        <v>0</v>
      </c>
      <c r="L214" s="1672">
        <v>0.77200000000000002</v>
      </c>
      <c r="M214" s="1672">
        <v>0</v>
      </c>
      <c r="N214" s="1672">
        <v>0</v>
      </c>
      <c r="O214" s="1672">
        <v>0.69599999999999995</v>
      </c>
      <c r="P214" s="1672">
        <v>0</v>
      </c>
      <c r="Q214" s="1672">
        <v>0</v>
      </c>
    </row>
    <row r="215" spans="3:17">
      <c r="C215" s="1608"/>
      <c r="D215" s="1608"/>
      <c r="E215" s="1608" t="s">
        <v>2410</v>
      </c>
      <c r="F215" s="1608" t="s">
        <v>2409</v>
      </c>
      <c r="G215" s="1608"/>
      <c r="H215" s="1608"/>
      <c r="I215" s="1672">
        <v>0</v>
      </c>
      <c r="J215" s="1672">
        <v>0</v>
      </c>
      <c r="K215" s="1672">
        <v>0.56699999999999995</v>
      </c>
      <c r="L215" s="1672">
        <v>0</v>
      </c>
      <c r="M215" s="1672">
        <v>0</v>
      </c>
      <c r="N215" s="1672">
        <v>0.77200000000000002</v>
      </c>
      <c r="O215" s="1672">
        <v>0</v>
      </c>
      <c r="P215" s="1672">
        <v>0</v>
      </c>
      <c r="Q215" s="1672">
        <v>0.69599999999999995</v>
      </c>
    </row>
    <row r="216" spans="3:17">
      <c r="C216" s="1608"/>
      <c r="D216" s="1608"/>
      <c r="E216" s="1608" t="s">
        <v>2411</v>
      </c>
      <c r="F216" s="1608" t="s">
        <v>2412</v>
      </c>
      <c r="G216" s="1608"/>
      <c r="H216" s="1608"/>
      <c r="I216" s="1672">
        <v>0.13600000000000001</v>
      </c>
      <c r="J216" s="1672">
        <v>0</v>
      </c>
      <c r="K216" s="1672">
        <v>0.13600000000000001</v>
      </c>
      <c r="L216" s="1672">
        <v>3.7999999999999999E-2</v>
      </c>
      <c r="M216" s="1672">
        <v>0</v>
      </c>
      <c r="N216" s="1672">
        <v>3.7999999999999999E-2</v>
      </c>
      <c r="O216" s="1672">
        <v>0.1</v>
      </c>
      <c r="P216" s="1672">
        <v>0</v>
      </c>
      <c r="Q216" s="1672">
        <v>0.1</v>
      </c>
    </row>
    <row r="217" spans="3:17">
      <c r="C217" s="1608"/>
      <c r="D217" s="1608"/>
      <c r="E217" s="1608" t="s">
        <v>2413</v>
      </c>
      <c r="F217" s="1608" t="s">
        <v>2412</v>
      </c>
      <c r="G217" s="1608"/>
      <c r="H217" s="1608"/>
      <c r="I217" s="1672"/>
      <c r="J217" s="1672">
        <v>0</v>
      </c>
      <c r="K217" s="1672">
        <v>0</v>
      </c>
      <c r="L217" s="1672"/>
      <c r="M217" s="1672">
        <v>0</v>
      </c>
      <c r="N217" s="1672">
        <v>0</v>
      </c>
      <c r="O217" s="1672"/>
      <c r="P217" s="1672">
        <v>0</v>
      </c>
      <c r="Q217" s="1672">
        <v>0</v>
      </c>
    </row>
    <row r="218" spans="3:17">
      <c r="C218" s="1608"/>
      <c r="D218" s="1608"/>
      <c r="E218" s="1608" t="s">
        <v>2414</v>
      </c>
      <c r="F218" s="1608" t="s">
        <v>2412</v>
      </c>
      <c r="G218" s="1608"/>
      <c r="H218" s="1608"/>
      <c r="I218" s="1672">
        <v>7.0000000000000007E-2</v>
      </c>
      <c r="J218" s="1672">
        <v>0</v>
      </c>
      <c r="K218" s="1672">
        <v>7.0000000000000007E-2</v>
      </c>
      <c r="L218" s="1672">
        <v>0.10299999999999999</v>
      </c>
      <c r="M218" s="1672">
        <v>0</v>
      </c>
      <c r="N218" s="1672">
        <v>0.10299999999999999</v>
      </c>
      <c r="O218" s="1672">
        <v>7.8E-2</v>
      </c>
      <c r="P218" s="1672">
        <v>0</v>
      </c>
      <c r="Q218" s="1672">
        <v>7.8E-2</v>
      </c>
    </row>
    <row r="219" spans="3:17">
      <c r="C219" s="1608"/>
      <c r="D219" s="1608"/>
      <c r="E219" s="1608" t="s">
        <v>2072</v>
      </c>
      <c r="F219" s="1608" t="s">
        <v>2412</v>
      </c>
      <c r="G219" s="1608"/>
      <c r="H219" s="1608"/>
      <c r="I219" s="1672">
        <v>5.0000000000000001E-3</v>
      </c>
      <c r="J219" s="1672">
        <v>0</v>
      </c>
      <c r="K219" s="1672">
        <v>5.0000000000000001E-3</v>
      </c>
      <c r="L219" s="1672">
        <v>1.2999999999999999E-2</v>
      </c>
      <c r="M219" s="1672">
        <v>0</v>
      </c>
      <c r="N219" s="1672">
        <v>1.26E-2</v>
      </c>
      <c r="O219" s="1672">
        <v>8.0000000000000002E-3</v>
      </c>
      <c r="P219" s="1672">
        <v>0</v>
      </c>
      <c r="Q219" s="1672">
        <v>8.0000000000000002E-3</v>
      </c>
    </row>
    <row r="220" spans="3:17">
      <c r="C220" s="1608"/>
      <c r="D220" s="1608" t="s">
        <v>1772</v>
      </c>
      <c r="E220" s="1608" t="s">
        <v>2408</v>
      </c>
      <c r="F220" s="1608" t="s">
        <v>2409</v>
      </c>
      <c r="G220" s="1608"/>
      <c r="H220" s="1608"/>
      <c r="I220" s="1672">
        <v>0.35199999999999998</v>
      </c>
      <c r="J220" s="1672">
        <v>0</v>
      </c>
      <c r="K220" s="1672">
        <v>0</v>
      </c>
      <c r="L220" s="1672">
        <v>0.86499999999999999</v>
      </c>
      <c r="M220" s="1672">
        <v>0</v>
      </c>
      <c r="N220" s="1672">
        <v>0</v>
      </c>
      <c r="O220" s="1672">
        <v>0.95799999999999996</v>
      </c>
      <c r="P220" s="1672">
        <v>0</v>
      </c>
      <c r="Q220" s="1672">
        <v>0</v>
      </c>
    </row>
    <row r="221" spans="3:17">
      <c r="C221" s="1608"/>
      <c r="D221" s="1608"/>
      <c r="E221" s="1608" t="s">
        <v>2410</v>
      </c>
      <c r="F221" s="1608" t="s">
        <v>2409</v>
      </c>
      <c r="G221" s="1608"/>
      <c r="H221" s="1608"/>
      <c r="I221" s="1672">
        <v>0</v>
      </c>
      <c r="J221" s="1672">
        <v>0</v>
      </c>
      <c r="K221" s="1672">
        <v>0.35199999999999998</v>
      </c>
      <c r="L221" s="1672">
        <v>0</v>
      </c>
      <c r="M221" s="1672">
        <v>0</v>
      </c>
      <c r="N221" s="1672">
        <v>0.86499999999999999</v>
      </c>
      <c r="O221" s="1672">
        <v>0</v>
      </c>
      <c r="P221" s="1672">
        <v>0</v>
      </c>
      <c r="Q221" s="1672">
        <v>0.95799999999999996</v>
      </c>
    </row>
    <row r="222" spans="3:17">
      <c r="C222" s="1608"/>
      <c r="D222" s="1608"/>
      <c r="E222" s="1608" t="s">
        <v>2411</v>
      </c>
      <c r="F222" s="1608" t="s">
        <v>2412</v>
      </c>
      <c r="G222" s="1608"/>
      <c r="H222" s="1608"/>
      <c r="I222" s="1672">
        <v>0.105</v>
      </c>
      <c r="J222" s="1672">
        <v>0</v>
      </c>
      <c r="K222" s="1672">
        <v>0.105</v>
      </c>
      <c r="L222" s="1672">
        <v>5.0000000000000001E-3</v>
      </c>
      <c r="M222" s="1672">
        <v>0</v>
      </c>
      <c r="N222" s="1672">
        <v>5.0000000000000001E-3</v>
      </c>
      <c r="O222" s="1672">
        <v>7.8E-2</v>
      </c>
      <c r="P222" s="1672">
        <v>0</v>
      </c>
      <c r="Q222" s="1672">
        <v>7.8E-2</v>
      </c>
    </row>
    <row r="223" spans="3:17">
      <c r="C223" s="1608"/>
      <c r="D223" s="1608"/>
      <c r="E223" s="1608" t="s">
        <v>2413</v>
      </c>
      <c r="F223" s="1608" t="s">
        <v>2412</v>
      </c>
      <c r="G223" s="1608"/>
      <c r="H223" s="1608"/>
      <c r="I223" s="1672"/>
      <c r="J223" s="1672">
        <v>0</v>
      </c>
      <c r="K223" s="1672">
        <v>0</v>
      </c>
      <c r="L223" s="1672"/>
      <c r="M223" s="1672">
        <v>0</v>
      </c>
      <c r="N223" s="1672">
        <v>0</v>
      </c>
      <c r="O223" s="1672"/>
      <c r="P223" s="1672">
        <v>0</v>
      </c>
      <c r="Q223" s="1672">
        <v>0</v>
      </c>
    </row>
    <row r="224" spans="3:17">
      <c r="C224" s="1608"/>
      <c r="D224" s="1608"/>
      <c r="E224" s="1608" t="s">
        <v>2414</v>
      </c>
      <c r="F224" s="1608" t="s">
        <v>2412</v>
      </c>
      <c r="G224" s="1608"/>
      <c r="H224" s="1608"/>
      <c r="I224" s="1672">
        <v>4.4999999999999998E-2</v>
      </c>
      <c r="J224" s="1672">
        <v>0</v>
      </c>
      <c r="K224" s="1672">
        <v>4.4999999999999998E-2</v>
      </c>
      <c r="L224" s="1672">
        <v>0.112</v>
      </c>
      <c r="M224" s="1672">
        <v>0</v>
      </c>
      <c r="N224" s="1672">
        <v>0.112</v>
      </c>
      <c r="O224" s="1672">
        <v>0.11</v>
      </c>
      <c r="P224" s="1672">
        <v>0</v>
      </c>
      <c r="Q224" s="1672">
        <v>0.11</v>
      </c>
    </row>
    <row r="225" spans="3:17">
      <c r="C225" s="1608"/>
      <c r="D225" s="1608"/>
      <c r="E225" s="1608" t="s">
        <v>2072</v>
      </c>
      <c r="F225" s="1608" t="s">
        <v>2412</v>
      </c>
      <c r="G225" s="1608"/>
      <c r="H225" s="1608"/>
      <c r="I225" s="1672">
        <v>2E-3</v>
      </c>
      <c r="J225" s="1672">
        <v>0</v>
      </c>
      <c r="K225" s="1672">
        <v>2.3999999999999998E-3</v>
      </c>
      <c r="L225" s="1672">
        <v>1.4999999999999999E-2</v>
      </c>
      <c r="M225" s="1672">
        <v>0</v>
      </c>
      <c r="N225" s="1672">
        <v>1.47E-2</v>
      </c>
      <c r="O225" s="1672">
        <v>1.2E-2</v>
      </c>
      <c r="P225" s="1672">
        <v>0</v>
      </c>
      <c r="Q225" s="1672">
        <v>1.167E-2</v>
      </c>
    </row>
    <row r="226" spans="3:17">
      <c r="C226" s="1608"/>
      <c r="D226" s="1608" t="s">
        <v>1963</v>
      </c>
      <c r="E226" s="1608" t="s">
        <v>2408</v>
      </c>
      <c r="F226" s="1608" t="s">
        <v>1942</v>
      </c>
      <c r="G226" s="1608"/>
      <c r="H226" s="1608"/>
      <c r="I226" s="1672">
        <v>0.34200000000000003</v>
      </c>
      <c r="J226" s="1672">
        <v>0</v>
      </c>
      <c r="K226" s="1672">
        <v>0</v>
      </c>
      <c r="L226" s="1672">
        <v>0.88800000000000001</v>
      </c>
      <c r="M226" s="1672">
        <v>0</v>
      </c>
      <c r="N226" s="1672">
        <v>0</v>
      </c>
      <c r="O226" s="1672">
        <v>0.307</v>
      </c>
      <c r="P226" s="1672">
        <v>0</v>
      </c>
      <c r="Q226" s="1672">
        <v>0</v>
      </c>
    </row>
    <row r="227" spans="3:17">
      <c r="C227" s="1608"/>
      <c r="D227" s="1608"/>
      <c r="E227" s="1608" t="s">
        <v>2410</v>
      </c>
      <c r="F227" s="1608" t="s">
        <v>2409</v>
      </c>
      <c r="G227" s="1608"/>
      <c r="H227" s="1608"/>
      <c r="I227" s="1672">
        <v>0</v>
      </c>
      <c r="J227" s="1672">
        <v>0</v>
      </c>
      <c r="K227" s="1672">
        <v>0.34200000000000003</v>
      </c>
      <c r="L227" s="1672">
        <v>0</v>
      </c>
      <c r="M227" s="1672">
        <v>0</v>
      </c>
      <c r="N227" s="1672">
        <v>0.88800000000000001</v>
      </c>
      <c r="O227" s="1672">
        <v>0</v>
      </c>
      <c r="P227" s="1672">
        <v>0</v>
      </c>
      <c r="Q227" s="1672">
        <v>0.307</v>
      </c>
    </row>
    <row r="228" spans="3:17">
      <c r="C228" s="1608"/>
      <c r="D228" s="1608"/>
      <c r="E228" s="1608" t="s">
        <v>2411</v>
      </c>
      <c r="F228" s="1608" t="s">
        <v>2412</v>
      </c>
      <c r="G228" s="1608"/>
      <c r="H228" s="1608"/>
      <c r="I228" s="1672">
        <v>7.1999999999999995E-2</v>
      </c>
      <c r="J228" s="1672">
        <v>0</v>
      </c>
      <c r="K228" s="1672">
        <v>7.1999999999999995E-2</v>
      </c>
      <c r="L228" s="1672">
        <v>1.7000000000000001E-2</v>
      </c>
      <c r="M228" s="1672">
        <v>0</v>
      </c>
      <c r="N228" s="1672">
        <v>1.7000000000000001E-2</v>
      </c>
      <c r="O228" s="1672">
        <v>7.0999999999999994E-2</v>
      </c>
      <c r="P228" s="1672">
        <v>0</v>
      </c>
      <c r="Q228" s="1672">
        <v>7.0999999999999994E-2</v>
      </c>
    </row>
    <row r="229" spans="3:17">
      <c r="C229" s="1608"/>
      <c r="D229" s="1608"/>
      <c r="E229" s="1608" t="s">
        <v>2413</v>
      </c>
      <c r="F229" s="1608" t="s">
        <v>2412</v>
      </c>
      <c r="G229" s="1608"/>
      <c r="H229" s="1608"/>
      <c r="I229" s="1672"/>
      <c r="J229" s="1672">
        <v>0</v>
      </c>
      <c r="K229" s="1672">
        <v>0</v>
      </c>
      <c r="L229" s="1672"/>
      <c r="M229" s="1672">
        <v>0</v>
      </c>
      <c r="N229" s="1672">
        <v>0</v>
      </c>
      <c r="O229" s="1672"/>
      <c r="P229" s="1672">
        <v>0</v>
      </c>
      <c r="Q229" s="1672">
        <v>0</v>
      </c>
    </row>
    <row r="230" spans="3:17">
      <c r="C230" s="1608"/>
      <c r="D230" s="1608"/>
      <c r="E230" s="1608" t="s">
        <v>2414</v>
      </c>
      <c r="F230" s="1608" t="s">
        <v>2412</v>
      </c>
      <c r="G230" s="1608"/>
      <c r="H230" s="1608"/>
      <c r="I230" s="1672">
        <v>2.4E-2</v>
      </c>
      <c r="J230" s="1672">
        <v>0</v>
      </c>
      <c r="K230" s="1672">
        <v>2.4E-2</v>
      </c>
      <c r="L230" s="1672">
        <v>0.11799999999999999</v>
      </c>
      <c r="M230" s="1672">
        <v>0</v>
      </c>
      <c r="N230" s="1672">
        <v>0.11799999999999999</v>
      </c>
      <c r="O230" s="1672">
        <v>5.2999999999999999E-2</v>
      </c>
      <c r="P230" s="1672">
        <v>0</v>
      </c>
      <c r="Q230" s="1672">
        <v>5.2999999999999999E-2</v>
      </c>
    </row>
    <row r="231" spans="3:17">
      <c r="C231" s="1608"/>
      <c r="D231" s="1608"/>
      <c r="E231" s="1608" t="s">
        <v>2072</v>
      </c>
      <c r="F231" s="1608" t="s">
        <v>2412</v>
      </c>
      <c r="G231" s="1608"/>
      <c r="H231" s="1608"/>
      <c r="I231" s="1672">
        <v>2E-3</v>
      </c>
      <c r="J231" s="1672">
        <v>0</v>
      </c>
      <c r="K231" s="1672">
        <v>1.8600000000000001E-3</v>
      </c>
      <c r="L231" s="1672">
        <v>1.4999999999999999E-2</v>
      </c>
      <c r="M231" s="1672">
        <v>0</v>
      </c>
      <c r="N231" s="1672">
        <v>1.4800000000000001E-2</v>
      </c>
      <c r="O231" s="1672">
        <v>5.0000000000000001E-3</v>
      </c>
      <c r="P231" s="1672">
        <v>0</v>
      </c>
      <c r="Q231" s="1672">
        <v>4.8300000000000001E-3</v>
      </c>
    </row>
    <row r="232" spans="3:17">
      <c r="C232" s="1608"/>
      <c r="D232" s="1608" t="s">
        <v>2073</v>
      </c>
      <c r="E232" s="1608" t="s">
        <v>2408</v>
      </c>
      <c r="F232" s="1608" t="s">
        <v>2409</v>
      </c>
      <c r="G232" s="1608"/>
      <c r="H232" s="1608"/>
      <c r="I232" s="1672">
        <v>0.34200000000000003</v>
      </c>
      <c r="J232" s="1672">
        <v>0</v>
      </c>
      <c r="K232" s="1672">
        <v>0</v>
      </c>
      <c r="L232" s="1672">
        <v>0.88800000000000001</v>
      </c>
      <c r="M232" s="1672">
        <v>0</v>
      </c>
      <c r="N232" s="1672">
        <v>0</v>
      </c>
      <c r="O232" s="1672">
        <v>0.307</v>
      </c>
      <c r="P232" s="1672">
        <v>0</v>
      </c>
      <c r="Q232" s="1672">
        <v>0</v>
      </c>
    </row>
    <row r="233" spans="3:17">
      <c r="C233" s="1608"/>
      <c r="D233" s="1608"/>
      <c r="E233" s="1608" t="s">
        <v>2410</v>
      </c>
      <c r="F233" s="1608" t="s">
        <v>2409</v>
      </c>
      <c r="G233" s="1608"/>
      <c r="H233" s="1608"/>
      <c r="I233" s="1672">
        <v>0</v>
      </c>
      <c r="J233" s="1672">
        <v>0</v>
      </c>
      <c r="K233" s="1672">
        <v>0.34200000000000003</v>
      </c>
      <c r="L233" s="1672">
        <v>0</v>
      </c>
      <c r="M233" s="1672">
        <v>0</v>
      </c>
      <c r="N233" s="1672">
        <v>0.88800000000000001</v>
      </c>
      <c r="O233" s="1672">
        <v>0</v>
      </c>
      <c r="P233" s="1672">
        <v>0</v>
      </c>
      <c r="Q233" s="1672">
        <v>0.307</v>
      </c>
    </row>
    <row r="234" spans="3:17">
      <c r="C234" s="1608"/>
      <c r="D234" s="1608"/>
      <c r="E234" s="1608" t="s">
        <v>2411</v>
      </c>
      <c r="F234" s="1608" t="s">
        <v>2412</v>
      </c>
      <c r="G234" s="1608"/>
      <c r="H234" s="1608"/>
      <c r="I234" s="1672">
        <v>7.1999999999999995E-2</v>
      </c>
      <c r="J234" s="1672">
        <v>0</v>
      </c>
      <c r="K234" s="1672">
        <v>7.1999999999999995E-2</v>
      </c>
      <c r="L234" s="1672">
        <v>1.7000000000000001E-2</v>
      </c>
      <c r="M234" s="1672">
        <v>0</v>
      </c>
      <c r="N234" s="1672">
        <v>1.7000000000000001E-2</v>
      </c>
      <c r="O234" s="1672">
        <v>7.0999999999999994E-2</v>
      </c>
      <c r="P234" s="1672">
        <v>0</v>
      </c>
      <c r="Q234" s="1672">
        <v>7.0999999999999994E-2</v>
      </c>
    </row>
    <row r="235" spans="3:17">
      <c r="C235" s="1608"/>
      <c r="D235" s="1608"/>
      <c r="E235" s="1608" t="s">
        <v>2413</v>
      </c>
      <c r="F235" s="1608" t="s">
        <v>2412</v>
      </c>
      <c r="G235" s="1608"/>
      <c r="H235" s="1608"/>
      <c r="I235" s="1672"/>
      <c r="J235" s="1672">
        <v>0</v>
      </c>
      <c r="K235" s="1672">
        <v>0</v>
      </c>
      <c r="L235" s="1672"/>
      <c r="M235" s="1672">
        <v>0</v>
      </c>
      <c r="N235" s="1672">
        <v>0</v>
      </c>
      <c r="O235" s="1672"/>
      <c r="P235" s="1672">
        <v>0</v>
      </c>
      <c r="Q235" s="1672">
        <v>0</v>
      </c>
    </row>
    <row r="236" spans="3:17">
      <c r="C236" s="1608"/>
      <c r="D236" s="1608"/>
      <c r="E236" s="1608" t="s">
        <v>2414</v>
      </c>
      <c r="F236" s="1608" t="s">
        <v>2412</v>
      </c>
      <c r="G236" s="1608"/>
      <c r="H236" s="1608"/>
      <c r="I236" s="1672">
        <v>2.4E-2</v>
      </c>
      <c r="J236" s="1672">
        <v>0</v>
      </c>
      <c r="K236" s="1672">
        <v>2.4E-2</v>
      </c>
      <c r="L236" s="1672">
        <v>0.11799999999999999</v>
      </c>
      <c r="M236" s="1672">
        <v>0</v>
      </c>
      <c r="N236" s="1672">
        <v>0.11799999999999999</v>
      </c>
      <c r="O236" s="1672">
        <v>5.2999999999999999E-2</v>
      </c>
      <c r="P236" s="1672">
        <v>0</v>
      </c>
      <c r="Q236" s="1672">
        <v>5.2999999999999999E-2</v>
      </c>
    </row>
    <row r="237" spans="3:17">
      <c r="C237" s="1608"/>
      <c r="D237" s="1608"/>
      <c r="E237" s="1608" t="s">
        <v>2072</v>
      </c>
      <c r="F237" s="1608" t="s">
        <v>2412</v>
      </c>
      <c r="G237" s="1608"/>
      <c r="H237" s="1608"/>
      <c r="I237" s="1672">
        <v>2E-3</v>
      </c>
      <c r="J237" s="1672">
        <v>0</v>
      </c>
      <c r="K237" s="1672">
        <v>1.8600000000000001E-3</v>
      </c>
      <c r="L237" s="1672">
        <v>1.4999999999999999E-2</v>
      </c>
      <c r="M237" s="1672">
        <v>0</v>
      </c>
      <c r="N237" s="1672">
        <v>1.4800000000000001E-2</v>
      </c>
      <c r="O237" s="1672">
        <v>5.0000000000000001E-3</v>
      </c>
      <c r="P237" s="1672">
        <v>0</v>
      </c>
      <c r="Q237" s="1672">
        <v>4.8300000000000001E-3</v>
      </c>
    </row>
    <row r="238" spans="3:17">
      <c r="C238" s="1608"/>
      <c r="D238" s="1608" t="s">
        <v>1965</v>
      </c>
      <c r="E238" s="1608" t="s">
        <v>2408</v>
      </c>
      <c r="F238" s="1608" t="s">
        <v>2409</v>
      </c>
      <c r="G238" s="1608"/>
      <c r="H238" s="1608"/>
      <c r="I238" s="1672">
        <v>0.34499999999999997</v>
      </c>
      <c r="J238" s="1672">
        <v>0</v>
      </c>
      <c r="K238" s="1672">
        <v>0</v>
      </c>
      <c r="L238" s="1672">
        <v>0.88800000000000001</v>
      </c>
      <c r="M238" s="1672">
        <v>0</v>
      </c>
      <c r="N238" s="1672">
        <v>0</v>
      </c>
      <c r="O238" s="1672">
        <v>0.86199999999999999</v>
      </c>
      <c r="P238" s="1672">
        <v>0</v>
      </c>
      <c r="Q238" s="1672">
        <v>0</v>
      </c>
    </row>
    <row r="239" spans="3:17">
      <c r="C239" s="1608"/>
      <c r="D239" s="1608"/>
      <c r="E239" s="1608" t="s">
        <v>2410</v>
      </c>
      <c r="F239" s="1608" t="s">
        <v>2409</v>
      </c>
      <c r="G239" s="1608"/>
      <c r="H239" s="1608"/>
      <c r="I239" s="1672">
        <v>0</v>
      </c>
      <c r="J239" s="1672">
        <v>0</v>
      </c>
      <c r="K239" s="1672">
        <v>0.34499999999999997</v>
      </c>
      <c r="L239" s="1672">
        <v>0</v>
      </c>
      <c r="M239" s="1672">
        <v>0</v>
      </c>
      <c r="N239" s="1672">
        <v>0.88800000000000001</v>
      </c>
      <c r="O239" s="1672">
        <v>0</v>
      </c>
      <c r="P239" s="1672">
        <v>0</v>
      </c>
      <c r="Q239" s="1672">
        <v>0.86199999999999999</v>
      </c>
    </row>
    <row r="240" spans="3:17">
      <c r="C240" s="1608"/>
      <c r="D240" s="1608"/>
      <c r="E240" s="1608" t="s">
        <v>2411</v>
      </c>
      <c r="F240" s="1608" t="s">
        <v>2412</v>
      </c>
      <c r="G240" s="1608"/>
      <c r="H240" s="1608"/>
      <c r="I240" s="1672">
        <v>0.13900000000000001</v>
      </c>
      <c r="J240" s="1672">
        <v>0</v>
      </c>
      <c r="K240" s="1672">
        <v>0.13900000000000001</v>
      </c>
      <c r="L240" s="1672">
        <v>1.7000000000000001E-2</v>
      </c>
      <c r="M240" s="1672">
        <v>0</v>
      </c>
      <c r="N240" s="1672">
        <v>1.7000000000000001E-2</v>
      </c>
      <c r="O240" s="1672">
        <v>5.8999999999999997E-2</v>
      </c>
      <c r="P240" s="1672">
        <v>0</v>
      </c>
      <c r="Q240" s="1672">
        <v>5.8999999999999997E-2</v>
      </c>
    </row>
    <row r="241" spans="3:17">
      <c r="C241" s="1608"/>
      <c r="D241" s="1608"/>
      <c r="E241" s="1608" t="s">
        <v>2413</v>
      </c>
      <c r="F241" s="1608" t="s">
        <v>2412</v>
      </c>
      <c r="G241" s="1608"/>
      <c r="H241" s="1608"/>
      <c r="I241" s="1672"/>
      <c r="J241" s="1672">
        <v>0</v>
      </c>
      <c r="K241" s="1672">
        <v>0</v>
      </c>
      <c r="L241" s="1672"/>
      <c r="M241" s="1672">
        <v>0</v>
      </c>
      <c r="N241" s="1672">
        <v>0</v>
      </c>
      <c r="O241" s="1672"/>
      <c r="P241" s="1672">
        <v>0</v>
      </c>
      <c r="Q241" s="1672">
        <v>0</v>
      </c>
    </row>
    <row r="242" spans="3:17">
      <c r="C242" s="1608"/>
      <c r="D242" s="1608"/>
      <c r="E242" s="1608" t="s">
        <v>2414</v>
      </c>
      <c r="F242" s="1608" t="s">
        <v>2412</v>
      </c>
      <c r="G242" s="1608"/>
      <c r="H242" s="1608"/>
      <c r="I242" s="1672">
        <v>0.04</v>
      </c>
      <c r="J242" s="1672">
        <v>0</v>
      </c>
      <c r="K242" s="1672">
        <v>0.04</v>
      </c>
      <c r="L242" s="1672">
        <v>0.11799999999999999</v>
      </c>
      <c r="M242" s="1672">
        <v>0</v>
      </c>
      <c r="N242" s="1672">
        <v>0.11799999999999999</v>
      </c>
      <c r="O242" s="1672">
        <v>0.1</v>
      </c>
      <c r="P242" s="1672">
        <v>0</v>
      </c>
      <c r="Q242" s="1672">
        <v>0.1</v>
      </c>
    </row>
    <row r="243" spans="3:17">
      <c r="C243" s="1608"/>
      <c r="D243" s="1608"/>
      <c r="E243" s="1608" t="s">
        <v>2072</v>
      </c>
      <c r="F243" s="1608" t="s">
        <v>2412</v>
      </c>
      <c r="G243" s="1608"/>
      <c r="H243" s="1608"/>
      <c r="I243" s="1672">
        <v>4.0000000000000001E-3</v>
      </c>
      <c r="J243" s="1672">
        <v>0</v>
      </c>
      <c r="K243" s="1672">
        <v>4.3499999999999997E-3</v>
      </c>
      <c r="L243" s="1672">
        <v>1.4999999999999999E-2</v>
      </c>
      <c r="M243" s="1672">
        <v>0</v>
      </c>
      <c r="N243" s="1672">
        <v>1.4800000000000001E-2</v>
      </c>
      <c r="O243" s="1672">
        <v>1.2E-2</v>
      </c>
      <c r="P243" s="1672">
        <v>0</v>
      </c>
      <c r="Q243" s="1672">
        <v>1.227E-2</v>
      </c>
    </row>
    <row r="244" spans="3:17">
      <c r="C244" s="1608"/>
      <c r="D244" s="1608" t="s">
        <v>477</v>
      </c>
      <c r="E244" s="1608" t="s">
        <v>2408</v>
      </c>
      <c r="F244" s="1608" t="s">
        <v>2409</v>
      </c>
      <c r="G244" s="1608"/>
      <c r="H244" s="1608"/>
      <c r="I244" s="1672">
        <v>0.35399999999999998</v>
      </c>
      <c r="J244" s="1672">
        <v>0</v>
      </c>
      <c r="K244" s="1672">
        <v>0</v>
      </c>
      <c r="L244" s="1672">
        <v>0.77</v>
      </c>
      <c r="M244" s="1672">
        <v>0</v>
      </c>
      <c r="N244" s="1672">
        <v>0</v>
      </c>
      <c r="O244" s="1672">
        <v>0.66900000000000004</v>
      </c>
      <c r="P244" s="1672">
        <v>0</v>
      </c>
      <c r="Q244" s="1672">
        <v>0</v>
      </c>
    </row>
    <row r="245" spans="3:17">
      <c r="C245" s="1608"/>
      <c r="D245" s="1608"/>
      <c r="E245" s="1608" t="s">
        <v>2410</v>
      </c>
      <c r="F245" s="1608" t="s">
        <v>2409</v>
      </c>
      <c r="G245" s="1608"/>
      <c r="H245" s="1608"/>
      <c r="I245" s="1672">
        <v>0</v>
      </c>
      <c r="J245" s="1672">
        <v>0</v>
      </c>
      <c r="K245" s="1672">
        <v>0.35399999999999998</v>
      </c>
      <c r="L245" s="1672">
        <v>0</v>
      </c>
      <c r="M245" s="1672">
        <v>0</v>
      </c>
      <c r="N245" s="1672">
        <v>0.77</v>
      </c>
      <c r="O245" s="1672">
        <v>0</v>
      </c>
      <c r="P245" s="1672">
        <v>0</v>
      </c>
      <c r="Q245" s="1672">
        <v>0.66900000000000004</v>
      </c>
    </row>
    <row r="246" spans="3:17">
      <c r="C246" s="1608"/>
      <c r="D246" s="1608"/>
      <c r="E246" s="1608" t="s">
        <v>2411</v>
      </c>
      <c r="F246" s="1608" t="s">
        <v>2412</v>
      </c>
      <c r="G246" s="1608"/>
      <c r="H246" s="1608"/>
      <c r="I246" s="1672">
        <v>8.7999999999999995E-2</v>
      </c>
      <c r="J246" s="1672">
        <v>0</v>
      </c>
      <c r="K246" s="1672">
        <v>8.7999999999999995E-2</v>
      </c>
      <c r="L246" s="1672">
        <v>0.01</v>
      </c>
      <c r="M246" s="1672">
        <v>0</v>
      </c>
      <c r="N246" s="1672">
        <v>0.01</v>
      </c>
      <c r="O246" s="1672">
        <v>7.6999999999999999E-2</v>
      </c>
      <c r="P246" s="1672">
        <v>0</v>
      </c>
      <c r="Q246" s="1672">
        <v>7.6999999999999999E-2</v>
      </c>
    </row>
    <row r="247" spans="3:17">
      <c r="C247" s="1608"/>
      <c r="D247" s="1608"/>
      <c r="E247" s="1608" t="s">
        <v>2413</v>
      </c>
      <c r="F247" s="1608" t="s">
        <v>2412</v>
      </c>
      <c r="G247" s="1608"/>
      <c r="H247" s="1608"/>
      <c r="I247" s="1672"/>
      <c r="J247" s="1672">
        <v>0</v>
      </c>
      <c r="K247" s="1672">
        <v>0</v>
      </c>
      <c r="L247" s="1672"/>
      <c r="M247" s="1672">
        <v>0</v>
      </c>
      <c r="N247" s="1672">
        <v>0</v>
      </c>
      <c r="O247" s="1672"/>
      <c r="P247" s="1672">
        <v>0</v>
      </c>
      <c r="Q247" s="1672">
        <v>0</v>
      </c>
    </row>
    <row r="248" spans="3:17">
      <c r="C248" s="1608"/>
      <c r="D248" s="1608"/>
      <c r="E248" s="1608" t="s">
        <v>2414</v>
      </c>
      <c r="F248" s="1608" t="s">
        <v>2412</v>
      </c>
      <c r="G248" s="1608"/>
      <c r="H248" s="1608"/>
      <c r="I248" s="1672">
        <v>3.1E-2</v>
      </c>
      <c r="J248" s="1672">
        <v>0</v>
      </c>
      <c r="K248" s="1672">
        <v>3.1E-2</v>
      </c>
      <c r="L248" s="1672">
        <v>0.108</v>
      </c>
      <c r="M248" s="1672">
        <v>0</v>
      </c>
      <c r="N248" s="1672">
        <v>0.108</v>
      </c>
      <c r="O248" s="1672">
        <v>0.08</v>
      </c>
      <c r="P248" s="1672">
        <v>0</v>
      </c>
      <c r="Q248" s="1672">
        <v>0.08</v>
      </c>
    </row>
    <row r="249" spans="3:17">
      <c r="C249" s="1608"/>
      <c r="D249" s="1608"/>
      <c r="E249" s="1608" t="s">
        <v>2072</v>
      </c>
      <c r="F249" s="1608" t="s">
        <v>2412</v>
      </c>
      <c r="G249" s="1608"/>
      <c r="H249" s="1608"/>
      <c r="I249" s="1672">
        <v>2E-3</v>
      </c>
      <c r="J249" s="1672">
        <v>0</v>
      </c>
      <c r="K249" s="1672">
        <v>2.0999999999999999E-3</v>
      </c>
      <c r="L249" s="1672">
        <v>8.9999999999999993E-3</v>
      </c>
      <c r="M249" s="1672">
        <v>0</v>
      </c>
      <c r="N249" s="1672">
        <v>9.1500000000000001E-3</v>
      </c>
      <c r="O249" s="1672">
        <v>7.0000000000000001E-3</v>
      </c>
      <c r="P249" s="1672">
        <v>0</v>
      </c>
      <c r="Q249" s="1672">
        <v>6.6899999999999998E-3</v>
      </c>
    </row>
    <row r="250" spans="3:17">
      <c r="C250" s="1608"/>
      <c r="D250" s="1608" t="s">
        <v>1967</v>
      </c>
      <c r="E250" s="1608" t="s">
        <v>2408</v>
      </c>
      <c r="F250" s="1608" t="s">
        <v>2409</v>
      </c>
      <c r="G250" s="1608"/>
      <c r="H250" s="1608"/>
      <c r="I250" s="1672">
        <v>0.317</v>
      </c>
      <c r="J250" s="1672">
        <v>0</v>
      </c>
      <c r="K250" s="1672">
        <v>0</v>
      </c>
      <c r="L250" s="1672">
        <v>0.76600000000000001</v>
      </c>
      <c r="M250" s="1672">
        <v>0</v>
      </c>
      <c r="N250" s="1672">
        <v>0</v>
      </c>
      <c r="O250" s="1672">
        <v>0.81200000000000006</v>
      </c>
      <c r="P250" s="1672">
        <v>0</v>
      </c>
      <c r="Q250" s="1672">
        <v>0</v>
      </c>
    </row>
    <row r="251" spans="3:17">
      <c r="C251" s="1608"/>
      <c r="D251" s="1608"/>
      <c r="E251" s="1608" t="s">
        <v>2410</v>
      </c>
      <c r="F251" s="1608" t="s">
        <v>2409</v>
      </c>
      <c r="G251" s="1608"/>
      <c r="H251" s="1608"/>
      <c r="I251" s="1672">
        <v>0</v>
      </c>
      <c r="J251" s="1672">
        <v>0</v>
      </c>
      <c r="K251" s="1672">
        <v>0.317</v>
      </c>
      <c r="L251" s="1672">
        <v>0</v>
      </c>
      <c r="M251" s="1672">
        <v>0</v>
      </c>
      <c r="N251" s="1672">
        <v>0.76600000000000001</v>
      </c>
      <c r="O251" s="1672">
        <v>0</v>
      </c>
      <c r="P251" s="1672">
        <v>0</v>
      </c>
      <c r="Q251" s="1672">
        <v>0.81200000000000006</v>
      </c>
    </row>
    <row r="252" spans="3:17">
      <c r="C252" s="1608"/>
      <c r="D252" s="1608"/>
      <c r="E252" s="1608" t="s">
        <v>2411</v>
      </c>
      <c r="F252" s="1608" t="s">
        <v>2412</v>
      </c>
      <c r="G252" s="1608"/>
      <c r="H252" s="1608"/>
      <c r="I252" s="1672">
        <v>7.3999999999999996E-2</v>
      </c>
      <c r="J252" s="1672">
        <v>0</v>
      </c>
      <c r="K252" s="1672">
        <v>7.3999999999999996E-2</v>
      </c>
      <c r="L252" s="1672">
        <v>1.2E-2</v>
      </c>
      <c r="M252" s="1672">
        <v>0</v>
      </c>
      <c r="N252" s="1672">
        <v>1.2E-2</v>
      </c>
      <c r="O252" s="1672">
        <v>0.66</v>
      </c>
      <c r="P252" s="1672">
        <v>0</v>
      </c>
      <c r="Q252" s="1672">
        <v>6.6000000000000003E-2</v>
      </c>
    </row>
    <row r="253" spans="3:17">
      <c r="C253" s="1608"/>
      <c r="D253" s="1608"/>
      <c r="E253" s="1608" t="s">
        <v>2413</v>
      </c>
      <c r="F253" s="1608" t="s">
        <v>2412</v>
      </c>
      <c r="G253" s="1608"/>
      <c r="H253" s="1608"/>
      <c r="I253" s="1672"/>
      <c r="J253" s="1672">
        <v>0</v>
      </c>
      <c r="K253" s="1672">
        <v>0</v>
      </c>
      <c r="L253" s="1672"/>
      <c r="M253" s="1672">
        <v>0</v>
      </c>
      <c r="N253" s="1672">
        <v>0</v>
      </c>
      <c r="O253" s="1672"/>
      <c r="P253" s="1672">
        <v>0</v>
      </c>
      <c r="Q253" s="1672">
        <v>0</v>
      </c>
    </row>
    <row r="254" spans="3:17">
      <c r="C254" s="1608"/>
      <c r="D254" s="1608"/>
      <c r="E254" s="1608" t="s">
        <v>2414</v>
      </c>
      <c r="F254" s="1608" t="s">
        <v>2412</v>
      </c>
      <c r="G254" s="1608"/>
      <c r="H254" s="1608"/>
      <c r="I254" s="1672">
        <v>3.4000000000000002E-2</v>
      </c>
      <c r="J254" s="1672">
        <v>0</v>
      </c>
      <c r="K254" s="1672">
        <v>3.4000000000000002E-2</v>
      </c>
      <c r="L254" s="1672">
        <v>9.6000000000000002E-2</v>
      </c>
      <c r="M254" s="1672">
        <v>0</v>
      </c>
      <c r="N254" s="1672">
        <v>9.6000000000000002E-2</v>
      </c>
      <c r="O254" s="1672">
        <v>8.8999999999999996E-2</v>
      </c>
      <c r="P254" s="1672">
        <v>0</v>
      </c>
      <c r="Q254" s="1672">
        <v>8.8999999999999996E-2</v>
      </c>
    </row>
    <row r="255" spans="3:17">
      <c r="C255" s="1608"/>
      <c r="D255" s="1608"/>
      <c r="E255" s="1608" t="s">
        <v>2072</v>
      </c>
      <c r="F255" s="1608" t="s">
        <v>2412</v>
      </c>
      <c r="G255" s="1608"/>
      <c r="H255" s="1608"/>
      <c r="I255" s="1672">
        <v>2E-3</v>
      </c>
      <c r="J255" s="1672">
        <v>0</v>
      </c>
      <c r="K255" s="1672">
        <v>2E-3</v>
      </c>
      <c r="L255" s="1672">
        <v>1.2999999999999999E-2</v>
      </c>
      <c r="M255" s="1672">
        <v>0</v>
      </c>
      <c r="N255" s="1672">
        <v>1.2999999999999999E-2</v>
      </c>
      <c r="O255" s="1672">
        <v>0.01</v>
      </c>
      <c r="P255" s="1672">
        <v>0</v>
      </c>
      <c r="Q255" s="1672">
        <v>9.6900000000000007E-3</v>
      </c>
    </row>
    <row r="256" spans="3:17">
      <c r="C256" s="1608"/>
      <c r="D256" s="1608" t="s">
        <v>688</v>
      </c>
      <c r="E256" s="1608" t="s">
        <v>2408</v>
      </c>
      <c r="F256" s="1608" t="s">
        <v>2409</v>
      </c>
      <c r="G256" s="1608"/>
      <c r="H256" s="1608"/>
      <c r="I256" s="1672">
        <v>0.436</v>
      </c>
      <c r="J256" s="1672">
        <v>0</v>
      </c>
      <c r="K256" s="1672">
        <v>0</v>
      </c>
      <c r="L256" s="1672">
        <v>0.999</v>
      </c>
      <c r="M256" s="1672">
        <v>0</v>
      </c>
      <c r="N256" s="1672">
        <v>0</v>
      </c>
      <c r="O256" s="1672">
        <v>0.81599999999999995</v>
      </c>
      <c r="P256" s="1672">
        <v>0</v>
      </c>
      <c r="Q256" s="1672">
        <v>0</v>
      </c>
    </row>
    <row r="257" spans="3:17">
      <c r="C257" s="1608"/>
      <c r="D257" s="1608"/>
      <c r="E257" s="1608" t="s">
        <v>2410</v>
      </c>
      <c r="F257" s="1608" t="s">
        <v>2409</v>
      </c>
      <c r="G257" s="1608"/>
      <c r="H257" s="1608"/>
      <c r="I257" s="1672">
        <v>0</v>
      </c>
      <c r="J257" s="1672">
        <v>0</v>
      </c>
      <c r="K257" s="1672">
        <v>0.436</v>
      </c>
      <c r="L257" s="1672">
        <v>0</v>
      </c>
      <c r="M257" s="1672">
        <v>0</v>
      </c>
      <c r="N257" s="1672">
        <v>0.999</v>
      </c>
      <c r="O257" s="1672">
        <v>0</v>
      </c>
      <c r="P257" s="1672">
        <v>0</v>
      </c>
      <c r="Q257" s="1672">
        <v>0.81599999999999995</v>
      </c>
    </row>
    <row r="258" spans="3:17">
      <c r="C258" s="1608"/>
      <c r="D258" s="1608"/>
      <c r="E258" s="1608" t="s">
        <v>2411</v>
      </c>
      <c r="F258" s="1608" t="s">
        <v>2412</v>
      </c>
      <c r="G258" s="1608"/>
      <c r="H258" s="1608"/>
      <c r="I258" s="1672">
        <v>0.10299999999999999</v>
      </c>
      <c r="J258" s="1672">
        <v>0</v>
      </c>
      <c r="K258" s="1672">
        <v>0.10299999999999999</v>
      </c>
      <c r="L258" s="1672">
        <v>4.0000000000000001E-3</v>
      </c>
      <c r="M258" s="1672">
        <v>0</v>
      </c>
      <c r="N258" s="1672">
        <v>4.0000000000000001E-3</v>
      </c>
      <c r="O258" s="1672">
        <v>8.4000000000000005E-2</v>
      </c>
      <c r="P258" s="1672">
        <v>0</v>
      </c>
      <c r="Q258" s="1672">
        <v>8.4000000000000005E-2</v>
      </c>
    </row>
    <row r="259" spans="3:17">
      <c r="C259" s="1608"/>
      <c r="D259" s="1608"/>
      <c r="E259" s="1608" t="s">
        <v>2413</v>
      </c>
      <c r="F259" s="1608" t="s">
        <v>2412</v>
      </c>
      <c r="G259" s="1608"/>
      <c r="H259" s="1608"/>
      <c r="I259" s="1672"/>
      <c r="J259" s="1672">
        <v>0</v>
      </c>
      <c r="K259" s="1672">
        <v>0</v>
      </c>
      <c r="L259" s="1672"/>
      <c r="M259" s="1672">
        <v>0</v>
      </c>
      <c r="N259" s="1672">
        <v>0</v>
      </c>
      <c r="O259" s="1672"/>
      <c r="P259" s="1672">
        <v>0</v>
      </c>
      <c r="Q259" s="1672">
        <v>0</v>
      </c>
    </row>
    <row r="260" spans="3:17">
      <c r="C260" s="1608"/>
      <c r="D260" s="1608"/>
      <c r="E260" s="1608" t="s">
        <v>2414</v>
      </c>
      <c r="F260" s="1608" t="s">
        <v>2412</v>
      </c>
      <c r="G260" s="1608"/>
      <c r="H260" s="1608"/>
      <c r="I260" s="1672">
        <v>3.4000000000000002E-2</v>
      </c>
      <c r="J260" s="1672">
        <v>0</v>
      </c>
      <c r="K260" s="1672">
        <v>3.4000000000000002E-2</v>
      </c>
      <c r="L260" s="1672">
        <v>0.111</v>
      </c>
      <c r="M260" s="1672">
        <v>0</v>
      </c>
      <c r="N260" s="1672">
        <v>0.111</v>
      </c>
      <c r="O260" s="1672">
        <v>9.2999999999999999E-2</v>
      </c>
      <c r="P260" s="1672">
        <v>0</v>
      </c>
      <c r="Q260" s="1672">
        <v>9.2999999999999999E-2</v>
      </c>
    </row>
    <row r="261" spans="3:17">
      <c r="C261" s="1608"/>
      <c r="D261" s="1608"/>
      <c r="E261" s="1608" t="s">
        <v>2072</v>
      </c>
      <c r="F261" s="1608" t="s">
        <v>2412</v>
      </c>
      <c r="G261" s="1608"/>
      <c r="H261" s="1608"/>
      <c r="I261" s="1672">
        <v>5.0000000000000001E-3</v>
      </c>
      <c r="J261" s="1672">
        <v>0</v>
      </c>
      <c r="K261" s="1672">
        <v>4.7099999999999998E-3</v>
      </c>
      <c r="L261" s="1672">
        <v>1.4E-2</v>
      </c>
      <c r="M261" s="1672">
        <v>0</v>
      </c>
      <c r="N261" s="1672">
        <v>1.434E-2</v>
      </c>
      <c r="O261" s="1672">
        <v>1.2E-2</v>
      </c>
      <c r="P261" s="1672">
        <v>0</v>
      </c>
      <c r="Q261" s="1672">
        <v>1.248E-2</v>
      </c>
    </row>
    <row r="262" spans="3:17">
      <c r="C262" s="1608"/>
      <c r="D262" s="1608" t="s">
        <v>2074</v>
      </c>
      <c r="E262" s="1608" t="s">
        <v>2408</v>
      </c>
      <c r="F262" s="1608" t="s">
        <v>2409</v>
      </c>
      <c r="G262" s="1608"/>
      <c r="H262" s="1608"/>
      <c r="I262" s="1672">
        <v>0.32300000000000001</v>
      </c>
      <c r="J262" s="1672">
        <v>0</v>
      </c>
      <c r="K262" s="1672">
        <v>0</v>
      </c>
      <c r="L262" s="1672">
        <v>0.73399999999999999</v>
      </c>
      <c r="M262" s="1672">
        <v>0</v>
      </c>
      <c r="N262" s="1672">
        <v>0</v>
      </c>
      <c r="O262" s="1672">
        <v>0.75</v>
      </c>
      <c r="P262" s="1672">
        <v>0</v>
      </c>
      <c r="Q262" s="1672">
        <v>0</v>
      </c>
    </row>
    <row r="263" spans="3:17">
      <c r="C263" s="1608"/>
      <c r="D263" s="1608"/>
      <c r="E263" s="1608" t="s">
        <v>2410</v>
      </c>
      <c r="F263" s="1608" t="s">
        <v>2409</v>
      </c>
      <c r="G263" s="1608"/>
      <c r="H263" s="1608"/>
      <c r="I263" s="1672">
        <v>0</v>
      </c>
      <c r="J263" s="1672">
        <v>0</v>
      </c>
      <c r="K263" s="1672">
        <v>0.32300000000000001</v>
      </c>
      <c r="L263" s="1672">
        <v>0</v>
      </c>
      <c r="M263" s="1672">
        <v>0</v>
      </c>
      <c r="N263" s="1672">
        <v>0.73399999999999999</v>
      </c>
      <c r="O263" s="1672">
        <v>0</v>
      </c>
      <c r="P263" s="1672">
        <v>0</v>
      </c>
      <c r="Q263" s="1672">
        <v>0.75</v>
      </c>
    </row>
    <row r="264" spans="3:17">
      <c r="C264" s="1608"/>
      <c r="D264" s="1608"/>
      <c r="E264" s="1608" t="s">
        <v>2411</v>
      </c>
      <c r="F264" s="1608" t="s">
        <v>2412</v>
      </c>
      <c r="G264" s="1608"/>
      <c r="H264" s="1608"/>
      <c r="I264" s="1672">
        <v>4.8000000000000001E-2</v>
      </c>
      <c r="J264" s="1672">
        <v>0</v>
      </c>
      <c r="K264" s="1672">
        <v>4.8000000000000001E-2</v>
      </c>
      <c r="L264" s="1672">
        <v>1.2E-2</v>
      </c>
      <c r="M264" s="1672">
        <v>0</v>
      </c>
      <c r="N264" s="1672">
        <v>1.2E-2</v>
      </c>
      <c r="O264" s="1672">
        <v>5.1999999999999998E-2</v>
      </c>
      <c r="P264" s="1672">
        <v>0</v>
      </c>
      <c r="Q264" s="1672">
        <v>5.1999999999999998E-2</v>
      </c>
    </row>
    <row r="265" spans="3:17">
      <c r="C265" s="1608"/>
      <c r="D265" s="1608"/>
      <c r="E265" s="1608" t="s">
        <v>2413</v>
      </c>
      <c r="F265" s="1608" t="s">
        <v>2412</v>
      </c>
      <c r="G265" s="1608"/>
      <c r="H265" s="1608"/>
      <c r="I265" s="1672"/>
      <c r="J265" s="1672">
        <v>0</v>
      </c>
      <c r="K265" s="1672">
        <v>0</v>
      </c>
      <c r="L265" s="1672"/>
      <c r="M265" s="1672">
        <v>0</v>
      </c>
      <c r="N265" s="1672">
        <v>0</v>
      </c>
      <c r="O265" s="1672"/>
      <c r="P265" s="1672">
        <v>0</v>
      </c>
      <c r="Q265" s="1672">
        <v>0</v>
      </c>
    </row>
    <row r="266" spans="3:17">
      <c r="C266" s="1608"/>
      <c r="D266" s="1608"/>
      <c r="E266" s="1608" t="s">
        <v>2414</v>
      </c>
      <c r="F266" s="1608" t="s">
        <v>2412</v>
      </c>
      <c r="G266" s="1608"/>
      <c r="H266" s="1608"/>
      <c r="I266" s="1672">
        <v>1.9E-2</v>
      </c>
      <c r="J266" s="1672">
        <v>0</v>
      </c>
      <c r="K266" s="1672">
        <v>1.9E-2</v>
      </c>
      <c r="L266" s="1672">
        <v>0.1</v>
      </c>
      <c r="M266" s="1672">
        <v>0</v>
      </c>
      <c r="N266" s="1672">
        <v>0.1</v>
      </c>
      <c r="O266" s="1672">
        <v>0.13600000000000001</v>
      </c>
      <c r="P266" s="1672">
        <v>0</v>
      </c>
      <c r="Q266" s="1672">
        <v>0.13600000000000001</v>
      </c>
    </row>
    <row r="267" spans="3:17">
      <c r="C267" s="1608"/>
      <c r="D267" s="1608"/>
      <c r="E267" s="1608" t="s">
        <v>2072</v>
      </c>
      <c r="F267" s="1608" t="s">
        <v>2412</v>
      </c>
      <c r="G267" s="1608"/>
      <c r="H267" s="1608"/>
      <c r="I267" s="1672">
        <v>2E-3</v>
      </c>
      <c r="J267" s="1672">
        <v>0</v>
      </c>
      <c r="K267" s="1672">
        <v>1.98E-3</v>
      </c>
      <c r="L267" s="1672">
        <v>1.2999999999999999E-2</v>
      </c>
      <c r="M267" s="1672">
        <v>0</v>
      </c>
      <c r="N267" s="1672">
        <v>1.329E-2</v>
      </c>
      <c r="O267" s="1672">
        <v>0.125</v>
      </c>
      <c r="P267" s="1672">
        <v>0</v>
      </c>
      <c r="Q267" s="1672">
        <v>0.12509999999999999</v>
      </c>
    </row>
    <row r="268" spans="3:17">
      <c r="C268" s="1613" t="s">
        <v>2621</v>
      </c>
      <c r="D268" s="1613"/>
      <c r="E268" s="1608"/>
      <c r="F268" s="1608"/>
      <c r="G268" s="1608"/>
      <c r="H268" s="1608"/>
      <c r="I268" s="1608"/>
      <c r="J268" s="1671"/>
      <c r="K268" s="1671"/>
      <c r="L268" s="1671"/>
      <c r="M268" s="1671"/>
      <c r="N268" s="1671"/>
      <c r="O268" s="1671"/>
      <c r="P268" s="1671"/>
      <c r="Q268" s="1671"/>
    </row>
    <row r="269" spans="3:17">
      <c r="C269" s="1608"/>
      <c r="D269" s="1613" t="s">
        <v>2622</v>
      </c>
      <c r="E269" s="1608"/>
      <c r="F269" s="1608"/>
      <c r="G269" s="1608"/>
      <c r="H269" s="1608"/>
      <c r="I269" s="1665">
        <v>25</v>
      </c>
      <c r="J269" s="1671" t="s">
        <v>2623</v>
      </c>
      <c r="K269" s="1671"/>
      <c r="L269" s="1671"/>
      <c r="M269" s="1671"/>
      <c r="N269" s="1671"/>
      <c r="O269" s="1671"/>
      <c r="P269" s="1671"/>
      <c r="Q269" s="1671"/>
    </row>
    <row r="270" spans="3:17" hidden="1">
      <c r="C270" s="1608"/>
      <c r="D270" s="1623" t="s">
        <v>2624</v>
      </c>
      <c r="E270" s="1608"/>
      <c r="F270" s="1608"/>
      <c r="G270" s="1608"/>
      <c r="H270" s="1608"/>
      <c r="I270" s="1665"/>
      <c r="J270" s="1671"/>
      <c r="K270" s="1671"/>
      <c r="L270" s="1671"/>
      <c r="M270" s="1671"/>
      <c r="N270" s="1671"/>
      <c r="O270" s="1671"/>
      <c r="P270" s="1671"/>
      <c r="Q270" s="1671"/>
    </row>
    <row r="271" spans="3:17">
      <c r="C271" s="1608"/>
      <c r="D271" s="1613" t="s">
        <v>2625</v>
      </c>
      <c r="E271" s="1608"/>
      <c r="F271" s="1613"/>
      <c r="G271" s="1608"/>
      <c r="H271" s="1608"/>
      <c r="I271" s="1665">
        <v>18</v>
      </c>
      <c r="J271" s="1671" t="s">
        <v>2623</v>
      </c>
      <c r="K271" s="1671"/>
      <c r="L271" s="1671"/>
      <c r="M271" s="1671"/>
      <c r="N271" s="1671"/>
      <c r="O271" s="1671"/>
      <c r="P271" s="1671"/>
      <c r="Q271" s="1671"/>
    </row>
    <row r="272" spans="3:17">
      <c r="C272" s="1608"/>
      <c r="D272" s="1613" t="s">
        <v>2626</v>
      </c>
      <c r="E272" s="1608"/>
      <c r="F272" s="1613"/>
      <c r="G272" s="1608"/>
      <c r="H272" s="1608"/>
      <c r="I272" s="1665">
        <v>15</v>
      </c>
      <c r="J272" s="1671" t="s">
        <v>2623</v>
      </c>
      <c r="K272" s="1671"/>
      <c r="L272" s="1671"/>
      <c r="M272" s="1671"/>
      <c r="N272" s="1671"/>
      <c r="O272" s="1671"/>
      <c r="P272" s="1671"/>
      <c r="Q272" s="1671"/>
    </row>
    <row r="273" spans="3:17">
      <c r="C273" s="1608"/>
      <c r="D273" s="1613"/>
      <c r="E273" s="1608"/>
      <c r="F273" s="1608"/>
      <c r="G273" s="1608"/>
      <c r="H273" s="1608"/>
      <c r="I273" s="1608"/>
      <c r="J273" s="1608"/>
      <c r="K273" s="1671"/>
      <c r="L273" s="1671"/>
      <c r="M273" s="1671"/>
      <c r="N273" s="1671"/>
      <c r="O273" s="1671"/>
      <c r="P273" s="1671"/>
      <c r="Q273" s="1671"/>
    </row>
    <row r="274" spans="3:17">
      <c r="C274" s="1608" t="s">
        <v>2627</v>
      </c>
      <c r="D274" s="1608"/>
      <c r="E274" s="1608"/>
      <c r="F274" s="1608"/>
      <c r="G274" s="1608"/>
      <c r="H274" s="1608"/>
      <c r="I274" s="1608"/>
      <c r="J274" s="1608"/>
      <c r="K274" s="1608"/>
      <c r="L274" s="1608"/>
      <c r="M274" s="1608"/>
      <c r="N274" s="1608"/>
      <c r="O274" s="1608"/>
      <c r="P274" s="1608"/>
      <c r="Q274" s="1608"/>
    </row>
    <row r="275" spans="3:17">
      <c r="C275" s="1608"/>
      <c r="D275" s="1608" t="s">
        <v>2622</v>
      </c>
      <c r="E275" s="1608"/>
      <c r="F275" s="1608"/>
      <c r="G275" s="1608"/>
      <c r="H275" s="1608"/>
      <c r="I275" s="1667">
        <v>0.01</v>
      </c>
      <c r="J275" s="1608" t="s">
        <v>2628</v>
      </c>
      <c r="K275" s="1608"/>
      <c r="L275" s="1608"/>
      <c r="M275" s="1608"/>
      <c r="N275" s="1608"/>
      <c r="O275" s="1608"/>
      <c r="P275" s="1608"/>
      <c r="Q275" s="1608"/>
    </row>
    <row r="276" spans="3:17">
      <c r="C276" s="1608"/>
      <c r="D276" s="1608" t="s">
        <v>2625</v>
      </c>
      <c r="E276" s="1608"/>
      <c r="F276" s="1608"/>
      <c r="G276" s="1608"/>
      <c r="H276" s="1608"/>
      <c r="I276" s="1667">
        <v>0.01</v>
      </c>
      <c r="J276" s="1608" t="s">
        <v>2628</v>
      </c>
      <c r="K276" s="1608"/>
      <c r="L276" s="1608"/>
      <c r="M276" s="1608"/>
      <c r="N276" s="1608"/>
      <c r="O276" s="1608"/>
      <c r="P276" s="1608"/>
      <c r="Q276" s="1608"/>
    </row>
    <row r="277" spans="3:17">
      <c r="C277" s="1608"/>
      <c r="D277" s="1608" t="s">
        <v>2626</v>
      </c>
      <c r="E277" s="1608"/>
      <c r="F277" s="1608"/>
      <c r="G277" s="1608"/>
      <c r="H277" s="1608"/>
      <c r="I277" s="1667">
        <v>0.02</v>
      </c>
      <c r="J277" s="1608" t="s">
        <v>2628</v>
      </c>
      <c r="K277" s="1608"/>
      <c r="L277" s="1608"/>
      <c r="M277" s="1608"/>
      <c r="N277" s="1608"/>
      <c r="O277" s="1608"/>
      <c r="P277" s="1608"/>
      <c r="Q277" s="1608"/>
    </row>
    <row r="278" spans="3:17"/>
  </sheetData>
  <sheetProtection algorithmName="SHA-512" hashValue="l/VpXG6D1NTkB/0sLURpAO1sRPRLb06o85bENKkQChvXEDjIgjw0xC4M51xzuxSAlbXhkgyHEIS7i9DAJ+jW7A==" saltValue="iKSKi6IfVe1mKwNowIIlSQ==" spinCount="100000" sheet="1" objects="1" scenarios="1"/>
  <phoneticPr fontId="21"/>
  <conditionalFormatting sqref="D4 D6 D63">
    <cfRule type="cellIs" dxfId="2" priority="1" stopIfTrue="1" operator="equal">
      <formula>5</formula>
    </cfRule>
    <cfRule type="cellIs" dxfId="1" priority="2" stopIfTrue="1" operator="equal">
      <formula>4</formula>
    </cfRule>
    <cfRule type="cellIs" dxfId="0" priority="3" stopIfTrue="1" operator="equal">
      <formula>2</formula>
    </cfRule>
  </conditionalFormatting>
  <printOptions horizontalCentered="1"/>
  <pageMargins left="0.59055118110236227" right="0.59055118110236227" top="0.78740157480314965" bottom="0.59055118110236227" header="0.51181102362204722" footer="0.51181102362204722"/>
  <pageSetup paperSize="9" scale="49" fitToHeight="0" orientation="portrait" verticalDpi="300" r:id="rId1"/>
  <headerFooter alignWithMargins="0">
    <oddHeader>&amp;L&amp;F&amp;R&amp;A</oddHeader>
    <oddFooter>&amp;C&amp;P/&amp;N</oddFooter>
  </headerFooter>
  <rowBreaks count="2" manualBreakCount="2">
    <brk id="92" max="17" man="1"/>
    <brk id="197" max="17"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pageSetUpPr fitToPage="1"/>
  </sheetPr>
  <dimension ref="A1:S38"/>
  <sheetViews>
    <sheetView showGridLines="0" zoomScaleNormal="100" workbookViewId="0">
      <selection activeCell="B37" sqref="B37"/>
    </sheetView>
  </sheetViews>
  <sheetFormatPr defaultColWidth="0" defaultRowHeight="13.5" customHeight="1" zeroHeight="1"/>
  <cols>
    <col min="1" max="1" width="1.125" customWidth="1"/>
    <col min="2" max="18" width="8.75" customWidth="1"/>
    <col min="19" max="19" width="1.5" customWidth="1"/>
    <col min="20" max="16384" width="8.75" hidden="1"/>
  </cols>
  <sheetData>
    <row r="1" spans="2:18" ht="13.5" customHeight="1">
      <c r="B1" s="1987"/>
      <c r="C1" s="1987"/>
      <c r="D1" s="1987"/>
      <c r="E1" s="1987"/>
      <c r="F1" s="1987"/>
      <c r="G1" s="1987"/>
      <c r="H1" s="1987"/>
      <c r="I1" s="1987"/>
      <c r="J1" s="1987"/>
      <c r="K1" s="1987"/>
      <c r="L1" s="1987"/>
      <c r="M1" s="1987"/>
      <c r="N1" s="1987"/>
      <c r="O1" s="1987"/>
      <c r="P1" s="1987"/>
      <c r="Q1" s="1987"/>
      <c r="R1" s="1987"/>
    </row>
    <row r="2" spans="2:18" ht="13.5" customHeight="1">
      <c r="B2" s="1987"/>
      <c r="C2" s="1987"/>
      <c r="D2" s="1987"/>
      <c r="E2" s="1987"/>
      <c r="F2" s="1987"/>
      <c r="G2" s="1987"/>
      <c r="H2" s="1987"/>
      <c r="I2" s="1987"/>
      <c r="J2" s="1987"/>
      <c r="K2" s="1987"/>
      <c r="L2" s="1987"/>
      <c r="M2" s="1987"/>
      <c r="N2" s="1987"/>
      <c r="O2" s="1987"/>
      <c r="P2" s="1987"/>
      <c r="Q2" s="1987"/>
      <c r="R2" s="1987"/>
    </row>
    <row r="3" spans="2:18" ht="13.5" customHeight="1">
      <c r="B3" s="1987"/>
      <c r="C3" s="1987"/>
      <c r="D3" s="1987"/>
      <c r="E3" s="1987"/>
      <c r="F3" s="1987"/>
      <c r="G3" s="1987"/>
      <c r="H3" s="1987"/>
      <c r="I3" s="1987"/>
      <c r="J3" s="1987"/>
      <c r="K3" s="1987"/>
      <c r="L3" s="1987"/>
      <c r="M3" s="1987"/>
      <c r="N3" s="1987"/>
      <c r="O3" s="1987"/>
      <c r="P3" s="1987"/>
      <c r="Q3" s="1987"/>
      <c r="R3" s="1987"/>
    </row>
    <row r="4" spans="2:18" ht="13.5" customHeight="1">
      <c r="B4" s="1987"/>
      <c r="C4" s="1987"/>
      <c r="D4" s="1987"/>
      <c r="E4" s="1987"/>
      <c r="F4" s="1987"/>
      <c r="G4" s="1987"/>
      <c r="H4" s="1987"/>
      <c r="I4" s="1987"/>
      <c r="J4" s="1987"/>
      <c r="K4" s="1987"/>
      <c r="L4" s="1987"/>
      <c r="M4" s="1987"/>
      <c r="N4" s="1987"/>
      <c r="O4" s="1987"/>
      <c r="P4" s="1987"/>
      <c r="Q4" s="1987"/>
      <c r="R4" s="1987"/>
    </row>
    <row r="5" spans="2:18" ht="13.5" customHeight="1">
      <c r="B5" s="1987"/>
      <c r="C5" s="1987"/>
      <c r="D5" s="1987"/>
      <c r="E5" s="1987"/>
      <c r="F5" s="1987"/>
      <c r="G5" s="1987"/>
      <c r="H5" s="1987"/>
      <c r="I5" s="1987"/>
      <c r="J5" s="1987"/>
      <c r="K5" s="1987"/>
      <c r="L5" s="1987"/>
      <c r="M5" s="1987"/>
      <c r="N5" s="1987"/>
      <c r="O5" s="1987"/>
      <c r="P5" s="1987"/>
      <c r="Q5" s="1987"/>
      <c r="R5" s="1987"/>
    </row>
    <row r="6" spans="2:18" ht="13.5" customHeight="1">
      <c r="B6" s="1987"/>
      <c r="C6" s="1987"/>
      <c r="D6" s="1987"/>
      <c r="E6" s="1987"/>
      <c r="F6" s="1987"/>
      <c r="G6" s="1987"/>
      <c r="H6" s="1987"/>
      <c r="I6" s="1987"/>
      <c r="J6" s="1987"/>
      <c r="K6" s="1987"/>
      <c r="L6" s="1987"/>
      <c r="M6" s="1987"/>
      <c r="N6" s="1987"/>
      <c r="O6" s="1987"/>
      <c r="P6" s="1987"/>
      <c r="Q6" s="1987"/>
      <c r="R6" s="1987"/>
    </row>
    <row r="7" spans="2:18" ht="13.5" customHeight="1">
      <c r="B7" s="1987"/>
      <c r="C7" s="1987"/>
      <c r="D7" s="1987"/>
      <c r="E7" s="1987"/>
      <c r="F7" s="1987"/>
      <c r="G7" s="1987"/>
      <c r="H7" s="1987"/>
      <c r="I7" s="1987"/>
      <c r="J7" s="1987"/>
      <c r="K7" s="1987"/>
      <c r="L7" s="1987"/>
      <c r="M7" s="1987"/>
      <c r="N7" s="1987"/>
      <c r="O7" s="1987"/>
      <c r="P7" s="1987"/>
      <c r="Q7" s="1987"/>
      <c r="R7" s="1987"/>
    </row>
    <row r="8" spans="2:18" ht="13.5" customHeight="1">
      <c r="B8" s="1987"/>
      <c r="C8" s="1987"/>
      <c r="D8" s="1987"/>
      <c r="E8" s="1987"/>
      <c r="F8" s="1987"/>
      <c r="G8" s="1987"/>
      <c r="H8" s="1987"/>
      <c r="I8" s="1987"/>
      <c r="J8" s="1987"/>
      <c r="K8" s="1987"/>
      <c r="L8" s="1987"/>
      <c r="M8" s="1987"/>
      <c r="N8" s="1987"/>
      <c r="O8" s="1987"/>
      <c r="P8" s="1987"/>
      <c r="Q8" s="1987"/>
      <c r="R8" s="1987"/>
    </row>
    <row r="9" spans="2:18" ht="13.5" customHeight="1">
      <c r="B9" s="1987"/>
      <c r="C9" s="1987"/>
      <c r="D9" s="1987"/>
      <c r="E9" s="1987"/>
      <c r="F9" s="1987"/>
      <c r="G9" s="1987"/>
      <c r="H9" s="1987"/>
      <c r="I9" s="1987"/>
      <c r="J9" s="1987"/>
      <c r="K9" s="1987"/>
      <c r="L9" s="1987"/>
      <c r="M9" s="1987"/>
      <c r="N9" s="1987"/>
      <c r="O9" s="1987"/>
      <c r="P9" s="1987"/>
      <c r="Q9" s="1987"/>
      <c r="R9" s="1987"/>
    </row>
    <row r="10" spans="2:18" ht="13.5" customHeight="1">
      <c r="B10" s="1987"/>
      <c r="C10" s="1987"/>
      <c r="D10" s="1987"/>
      <c r="E10" s="1987"/>
      <c r="F10" s="1987"/>
      <c r="G10" s="1987"/>
      <c r="H10" s="1987"/>
      <c r="I10" s="1987"/>
      <c r="J10" s="1987"/>
      <c r="K10" s="1987"/>
      <c r="L10" s="1987"/>
      <c r="M10" s="1987"/>
      <c r="N10" s="1987"/>
      <c r="O10" s="1987"/>
      <c r="P10" s="1987"/>
      <c r="Q10" s="1987"/>
      <c r="R10" s="1987"/>
    </row>
    <row r="11" spans="2:18" ht="13.5" customHeight="1">
      <c r="B11" s="1987"/>
      <c r="C11" s="1987"/>
      <c r="D11" s="1987"/>
      <c r="E11" s="1987"/>
      <c r="F11" s="1987"/>
      <c r="G11" s="1987"/>
      <c r="H11" s="1987"/>
      <c r="I11" s="1987"/>
      <c r="J11" s="1987"/>
      <c r="K11" s="1987"/>
      <c r="L11" s="1987"/>
      <c r="M11" s="1987"/>
      <c r="N11" s="1987"/>
      <c r="O11" s="1987"/>
      <c r="P11" s="1987"/>
      <c r="Q11" s="1987"/>
      <c r="R11" s="1987"/>
    </row>
    <row r="12" spans="2:18" ht="13.5" customHeight="1">
      <c r="B12" s="1987"/>
      <c r="C12" s="1987"/>
      <c r="D12" s="1987"/>
      <c r="E12" s="1987"/>
      <c r="F12" s="1987"/>
      <c r="G12" s="1987"/>
      <c r="H12" s="1987"/>
      <c r="I12" s="1987"/>
      <c r="J12" s="1987"/>
      <c r="K12" s="1987"/>
      <c r="L12" s="1987"/>
      <c r="M12" s="1987"/>
      <c r="N12" s="1987"/>
      <c r="O12" s="1987"/>
      <c r="P12" s="1987"/>
      <c r="Q12" s="1987"/>
      <c r="R12" s="1987"/>
    </row>
    <row r="13" spans="2:18" ht="18.75">
      <c r="B13" s="1987"/>
      <c r="C13" s="1987"/>
      <c r="D13" s="1987"/>
      <c r="E13" s="1988"/>
      <c r="F13" s="1987"/>
      <c r="G13" s="1987"/>
      <c r="H13" s="1987"/>
      <c r="I13" s="1987"/>
      <c r="J13" s="1987"/>
      <c r="K13" s="1987"/>
      <c r="L13" s="1987"/>
      <c r="M13" s="1987"/>
      <c r="N13" s="1987"/>
      <c r="O13" s="1987"/>
      <c r="P13" s="1987"/>
      <c r="Q13" s="1987"/>
      <c r="R13" s="1987"/>
    </row>
    <row r="14" spans="2:18" ht="13.5" customHeight="1">
      <c r="B14" s="1987"/>
      <c r="C14" s="1987"/>
      <c r="D14" s="1987"/>
      <c r="E14" s="1987"/>
      <c r="F14" s="1987"/>
      <c r="G14" s="1987"/>
      <c r="H14" s="1987"/>
      <c r="I14" s="1987"/>
      <c r="J14" s="1987"/>
      <c r="K14" s="1987"/>
      <c r="L14" s="1987"/>
      <c r="M14" s="1987"/>
      <c r="N14" s="1987"/>
      <c r="O14" s="1987"/>
      <c r="P14" s="1987"/>
      <c r="Q14" s="1987"/>
      <c r="R14" s="1987"/>
    </row>
    <row r="15" spans="2:18" ht="13.5" customHeight="1">
      <c r="B15" s="1987"/>
      <c r="C15" s="1987"/>
      <c r="D15" s="1987"/>
      <c r="E15" s="1987"/>
      <c r="F15" s="1987"/>
      <c r="G15" s="1987"/>
      <c r="H15" s="1987"/>
      <c r="I15" s="1987"/>
      <c r="J15" s="1987"/>
      <c r="K15" s="1987"/>
      <c r="L15" s="1987"/>
      <c r="M15" s="1987"/>
      <c r="N15" s="1987"/>
      <c r="O15" s="1987"/>
      <c r="P15" s="1987"/>
      <c r="Q15" s="1987"/>
      <c r="R15" s="1987"/>
    </row>
    <row r="16" spans="2:18" ht="13.5" customHeight="1">
      <c r="B16" s="1987"/>
      <c r="C16" s="1987"/>
      <c r="D16" s="1987"/>
      <c r="E16" s="1987"/>
      <c r="F16" s="1987"/>
      <c r="G16" s="1987"/>
      <c r="H16" s="1987"/>
      <c r="I16" s="1987"/>
      <c r="J16" s="1987"/>
      <c r="K16" s="1987"/>
      <c r="L16" s="1987"/>
      <c r="M16" s="1987"/>
      <c r="N16" s="1987"/>
      <c r="O16" s="1987"/>
      <c r="P16" s="1987"/>
      <c r="Q16" s="1987"/>
      <c r="R16" s="1987"/>
    </row>
    <row r="17" spans="2:18" ht="13.5" customHeight="1">
      <c r="B17" s="1987"/>
      <c r="C17" s="1987"/>
      <c r="D17" s="1987"/>
      <c r="E17" s="1987"/>
      <c r="F17" s="1987"/>
      <c r="G17" s="1987"/>
      <c r="H17" s="1987"/>
      <c r="I17" s="1987"/>
      <c r="J17" s="1987"/>
      <c r="K17" s="1987"/>
      <c r="L17" s="1987"/>
      <c r="M17" s="1987"/>
      <c r="N17" s="1987"/>
      <c r="O17" s="1987"/>
      <c r="P17" s="1987"/>
      <c r="Q17" s="1987"/>
      <c r="R17" s="1987"/>
    </row>
    <row r="18" spans="2:18" ht="13.5" customHeight="1">
      <c r="B18" s="1987"/>
      <c r="C18" s="1987"/>
      <c r="D18" s="1987"/>
      <c r="E18" s="1987"/>
      <c r="F18" s="1987"/>
      <c r="G18" s="1987"/>
      <c r="H18" s="1987"/>
      <c r="I18" s="1987"/>
      <c r="J18" s="1987"/>
      <c r="K18" s="1987"/>
      <c r="L18" s="1987"/>
      <c r="M18" s="1987"/>
      <c r="N18" s="1987"/>
      <c r="O18" s="1987"/>
      <c r="P18" s="1987"/>
      <c r="Q18" s="1987"/>
      <c r="R18" s="1987"/>
    </row>
    <row r="19" spans="2:18" ht="13.5" customHeight="1">
      <c r="B19" s="1987"/>
      <c r="C19" s="1987"/>
      <c r="D19" s="1987"/>
      <c r="E19" s="1987"/>
      <c r="F19" s="1987"/>
      <c r="G19" s="1987"/>
      <c r="H19" s="1987"/>
      <c r="I19" s="1987"/>
      <c r="J19" s="1987"/>
      <c r="K19" s="1987"/>
      <c r="L19" s="1987"/>
      <c r="M19" s="1987"/>
      <c r="N19" s="1987"/>
      <c r="O19" s="1987"/>
      <c r="P19" s="1987"/>
      <c r="Q19" s="1987"/>
      <c r="R19" s="1987"/>
    </row>
    <row r="20" spans="2:18" ht="13.5" customHeight="1">
      <c r="B20" s="1987"/>
      <c r="C20" s="1987"/>
      <c r="D20" s="1987"/>
      <c r="E20" s="1987"/>
      <c r="F20" s="1987"/>
      <c r="G20" s="1987"/>
      <c r="H20" s="1987"/>
      <c r="I20" s="1987"/>
      <c r="J20" s="1987"/>
      <c r="K20" s="1987"/>
      <c r="L20" s="1987"/>
      <c r="M20" s="1987"/>
      <c r="N20" s="1987"/>
      <c r="O20" s="1987"/>
      <c r="P20" s="1987"/>
      <c r="Q20" s="1987"/>
      <c r="R20" s="1987"/>
    </row>
    <row r="21" spans="2:18" ht="13.5" customHeight="1">
      <c r="B21" s="1987"/>
      <c r="C21" s="1987"/>
      <c r="D21" s="1987"/>
      <c r="E21" s="1987"/>
      <c r="F21" s="1987"/>
      <c r="G21" s="1987"/>
      <c r="H21" s="1987"/>
      <c r="I21" s="1987"/>
      <c r="J21" s="1987"/>
      <c r="K21" s="1987"/>
      <c r="L21" s="1987"/>
      <c r="M21" s="1987"/>
      <c r="N21" s="1987"/>
      <c r="O21" s="1987"/>
      <c r="P21" s="1987"/>
      <c r="Q21" s="1987"/>
      <c r="R21" s="1987"/>
    </row>
    <row r="22" spans="2:18" ht="13.5" customHeight="1">
      <c r="B22" s="1987"/>
      <c r="C22" s="1987"/>
      <c r="D22" s="1987"/>
      <c r="E22" s="1987"/>
      <c r="F22" s="1987"/>
      <c r="G22" s="1987"/>
      <c r="H22" s="1987"/>
      <c r="I22" s="1987"/>
      <c r="J22" s="1987"/>
      <c r="K22" s="1987"/>
      <c r="L22" s="1987"/>
      <c r="M22" s="1987"/>
      <c r="N22" s="1987"/>
      <c r="O22" s="1987"/>
      <c r="P22" s="1987"/>
      <c r="Q22" s="1987"/>
      <c r="R22" s="1987"/>
    </row>
    <row r="23" spans="2:18" ht="13.5" customHeight="1">
      <c r="B23" s="1987"/>
      <c r="C23" s="1987"/>
      <c r="D23" s="1987"/>
      <c r="E23" s="1987"/>
      <c r="F23" s="1987"/>
      <c r="G23" s="1987"/>
      <c r="H23" s="1987"/>
      <c r="I23" s="1987"/>
      <c r="J23" s="1987"/>
      <c r="K23" s="1987"/>
      <c r="L23" s="1987"/>
      <c r="M23" s="1987"/>
      <c r="N23" s="1987"/>
      <c r="O23" s="1987"/>
      <c r="P23" s="1987"/>
      <c r="Q23" s="1987"/>
      <c r="R23" s="1987"/>
    </row>
    <row r="24" spans="2:18" ht="13.5" customHeight="1">
      <c r="B24" s="1987"/>
      <c r="C24" s="1987"/>
      <c r="D24" s="1987"/>
      <c r="E24" s="1987"/>
      <c r="F24" s="1987"/>
      <c r="G24" s="1987"/>
      <c r="H24" s="1987"/>
      <c r="I24" s="1987"/>
      <c r="J24" s="1987"/>
      <c r="K24" s="1987"/>
      <c r="L24" s="1987"/>
      <c r="M24" s="1987"/>
      <c r="N24" s="1987"/>
      <c r="O24" s="1987"/>
      <c r="P24" s="1987"/>
      <c r="Q24" s="1987"/>
      <c r="R24" s="1987"/>
    </row>
    <row r="25" spans="2:18" ht="13.5" customHeight="1">
      <c r="B25" s="1987"/>
      <c r="C25" s="1987"/>
      <c r="D25" s="1987"/>
      <c r="E25" s="1987"/>
      <c r="F25" s="1987"/>
      <c r="G25" s="1987"/>
      <c r="H25" s="1987"/>
      <c r="I25" s="1987"/>
      <c r="J25" s="1987"/>
      <c r="K25" s="1987"/>
      <c r="L25" s="1987"/>
      <c r="M25" s="1987"/>
      <c r="N25" s="1987"/>
      <c r="O25" s="1987"/>
      <c r="P25" s="1987"/>
      <c r="Q25" s="1987"/>
      <c r="R25" s="1987"/>
    </row>
    <row r="26" spans="2:18" ht="13.5" customHeight="1">
      <c r="B26" s="1987"/>
      <c r="C26" s="1987"/>
      <c r="D26" s="1987"/>
      <c r="E26" s="1987"/>
      <c r="F26" s="1987"/>
      <c r="G26" s="1987"/>
      <c r="H26" s="1987"/>
      <c r="I26" s="1987"/>
      <c r="J26" s="1987"/>
      <c r="K26" s="1987"/>
      <c r="L26" s="1987"/>
      <c r="M26" s="1987"/>
      <c r="N26" s="1987"/>
      <c r="O26" s="1987"/>
      <c r="P26" s="1987"/>
      <c r="Q26" s="1987"/>
      <c r="R26" s="1987"/>
    </row>
    <row r="27" spans="2:18" ht="13.5" customHeight="1">
      <c r="B27" s="1987"/>
      <c r="C27" s="1987"/>
      <c r="D27" s="1987"/>
      <c r="E27" s="1987"/>
      <c r="F27" s="1987"/>
      <c r="G27" s="1987"/>
      <c r="H27" s="1987"/>
      <c r="I27" s="1987"/>
      <c r="J27" s="1987"/>
      <c r="K27" s="1987"/>
      <c r="L27" s="1987"/>
      <c r="M27" s="1987"/>
      <c r="N27" s="1987"/>
      <c r="O27" s="1987"/>
      <c r="P27" s="1987"/>
      <c r="Q27" s="1987"/>
      <c r="R27" s="1987"/>
    </row>
    <row r="28" spans="2:18" ht="13.5" customHeight="1">
      <c r="B28" s="1987"/>
      <c r="C28" s="1987"/>
      <c r="D28" s="1987"/>
      <c r="E28" s="1987"/>
      <c r="F28" s="1987"/>
      <c r="G28" s="1987"/>
      <c r="H28" s="1987"/>
      <c r="I28" s="1987"/>
      <c r="J28" s="1987"/>
      <c r="K28" s="1987"/>
      <c r="L28" s="1987"/>
      <c r="M28" s="1987"/>
      <c r="N28" s="1987"/>
      <c r="O28" s="1987"/>
      <c r="P28" s="1987"/>
      <c r="Q28" s="1987"/>
      <c r="R28" s="1987"/>
    </row>
    <row r="29" spans="2:18" ht="13.5" customHeight="1">
      <c r="B29" s="1987"/>
      <c r="C29" s="1987"/>
      <c r="D29" s="1987"/>
      <c r="E29" s="1987"/>
      <c r="F29" s="1987"/>
      <c r="G29" s="1987"/>
      <c r="H29" s="1987"/>
      <c r="I29" s="1987"/>
      <c r="J29" s="1987"/>
      <c r="K29" s="1987"/>
      <c r="L29" s="1987"/>
      <c r="M29" s="1987"/>
      <c r="N29" s="1987"/>
      <c r="O29" s="1987"/>
      <c r="P29" s="1987"/>
      <c r="Q29" s="1987"/>
      <c r="R29" s="1987"/>
    </row>
    <row r="30" spans="2:18" ht="13.5" customHeight="1">
      <c r="B30" s="1987"/>
      <c r="C30" s="1987"/>
      <c r="D30" s="1987"/>
      <c r="E30" s="1987"/>
      <c r="F30" s="1987"/>
      <c r="G30" s="1987"/>
      <c r="H30" s="1987"/>
      <c r="I30" s="1987"/>
      <c r="J30" s="1987"/>
      <c r="K30" s="1987"/>
      <c r="L30" s="1987"/>
      <c r="M30" s="1987"/>
      <c r="N30" s="1987"/>
      <c r="O30" s="1987"/>
      <c r="P30" s="1987"/>
      <c r="Q30" s="1987"/>
      <c r="R30" s="1987"/>
    </row>
    <row r="31" spans="2:18" ht="13.5" customHeight="1">
      <c r="B31" s="1987"/>
      <c r="C31" s="1987"/>
      <c r="D31" s="1987"/>
      <c r="E31" s="1987"/>
      <c r="F31" s="1987"/>
      <c r="G31" s="1987"/>
      <c r="H31" s="1987"/>
      <c r="I31" s="1987"/>
      <c r="J31" s="1987"/>
      <c r="K31" s="1987"/>
      <c r="L31" s="1987"/>
      <c r="M31" s="1987"/>
      <c r="N31" s="1987"/>
      <c r="O31" s="1987"/>
      <c r="P31" s="1987"/>
      <c r="Q31" s="1987"/>
      <c r="R31" s="1987"/>
    </row>
    <row r="32" spans="2:18" ht="13.5" customHeight="1">
      <c r="B32" s="1987"/>
      <c r="C32" s="1987"/>
      <c r="D32" s="1987"/>
      <c r="E32" s="1987"/>
      <c r="F32" s="1987"/>
      <c r="G32" s="1987"/>
      <c r="H32" s="1987"/>
      <c r="I32" s="1987"/>
      <c r="J32" s="1987"/>
      <c r="K32" s="1987"/>
      <c r="L32" s="1987"/>
      <c r="M32" s="1987"/>
      <c r="N32" s="1987"/>
      <c r="O32" s="1987"/>
      <c r="P32" s="1987"/>
      <c r="Q32" s="1987"/>
      <c r="R32" s="1987"/>
    </row>
    <row r="33" spans="2:18" ht="13.5" customHeight="1">
      <c r="B33" s="1987"/>
      <c r="C33" s="1987"/>
      <c r="D33" s="1987"/>
      <c r="E33" s="1987"/>
      <c r="F33" s="1987"/>
      <c r="G33" s="1987"/>
      <c r="H33" s="1987"/>
      <c r="I33" s="1987"/>
      <c r="J33" s="1987"/>
      <c r="K33" s="1987"/>
      <c r="L33" s="1987"/>
      <c r="M33" s="1987"/>
      <c r="N33" s="1987"/>
      <c r="O33" s="1987"/>
      <c r="P33" s="1987"/>
      <c r="Q33" s="1987"/>
      <c r="R33" s="1987"/>
    </row>
    <row r="34" spans="2:18" ht="13.5" customHeight="1">
      <c r="B34" s="1987"/>
      <c r="C34" s="1987"/>
      <c r="D34" s="1987"/>
      <c r="E34" s="1987"/>
      <c r="F34" s="1987"/>
      <c r="G34" s="1987"/>
      <c r="H34" s="1987"/>
      <c r="I34" s="1987"/>
      <c r="J34" s="1987"/>
      <c r="K34" s="1987"/>
      <c r="L34" s="1987"/>
      <c r="M34" s="1987"/>
      <c r="N34" s="1987"/>
      <c r="O34" s="1987"/>
      <c r="P34" s="1987"/>
      <c r="Q34" s="1987"/>
      <c r="R34" s="1987"/>
    </row>
    <row r="35" spans="2:18" ht="13.5" customHeight="1">
      <c r="B35" s="1987"/>
      <c r="C35" s="1987"/>
      <c r="D35" s="1987"/>
      <c r="E35" s="1987"/>
      <c r="F35" s="1987"/>
      <c r="G35" s="1987"/>
      <c r="H35" s="1987"/>
      <c r="I35" s="1987"/>
      <c r="J35" s="1987"/>
      <c r="K35" s="1987"/>
      <c r="L35" s="1987"/>
      <c r="M35" s="1987"/>
      <c r="N35" s="1987"/>
      <c r="O35" s="1987"/>
      <c r="P35" s="1987"/>
      <c r="Q35" s="1987"/>
      <c r="R35" s="1987"/>
    </row>
    <row r="36" spans="2:18" ht="13.5" customHeight="1">
      <c r="B36" s="1987"/>
      <c r="C36" s="1987"/>
      <c r="D36" s="1987"/>
      <c r="E36" s="1987"/>
      <c r="F36" s="1987"/>
      <c r="G36" s="1987"/>
      <c r="H36" s="1987"/>
      <c r="I36" s="1987"/>
      <c r="J36" s="1987"/>
      <c r="K36" s="1987"/>
      <c r="L36" s="1987"/>
      <c r="M36" s="1987"/>
      <c r="N36" s="1987"/>
      <c r="O36" s="1987"/>
      <c r="P36" s="1987"/>
      <c r="Q36" s="1987"/>
      <c r="R36" s="1987"/>
    </row>
    <row r="37" spans="2:18" ht="13.5" customHeight="1">
      <c r="G37" s="1987"/>
      <c r="H37" s="1987"/>
      <c r="I37" s="1987"/>
      <c r="J37" s="1987"/>
      <c r="K37" s="1987"/>
      <c r="L37" s="1987"/>
      <c r="M37" s="1987"/>
      <c r="N37" s="1987"/>
      <c r="O37" s="1987"/>
      <c r="P37" s="1987"/>
      <c r="Q37" s="1987"/>
      <c r="R37" s="1987"/>
    </row>
    <row r="38" spans="2:18" ht="13.5" hidden="1" customHeight="1">
      <c r="J38" s="1987"/>
      <c r="K38" s="1987"/>
      <c r="L38" s="1987"/>
      <c r="M38" s="1987"/>
      <c r="N38" s="1987"/>
      <c r="O38" s="1987"/>
      <c r="P38" s="1987"/>
      <c r="Q38" s="1987"/>
      <c r="R38" s="1987"/>
    </row>
  </sheetData>
  <sheetProtection algorithmName="SHA-512" hashValue="R4TcNEbyOePQEHx7r2U8Iwt4VCdLMTXL2seVui+6V+pWxSJA+f3hDxrmmMnYkGwTbQe5eSjEKpSHPKsmydDpwg==" saltValue="upQAcR9jDCn6kofKGvJ+Gw==" spinCount="100000" sheet="1" objects="1" scenarios="1"/>
  <phoneticPr fontId="21"/>
  <printOptions horizontalCentered="1"/>
  <pageMargins left="0.59055118110236227" right="0.59055118110236227" top="0.78740157480314965" bottom="0.59055118110236227" header="0.51181102362204722" footer="0.51181102362204722"/>
  <pageSetup paperSize="9" scale="60" orientation="portrait" verticalDpi="4294967293" r:id="rId1"/>
  <headerFooter alignWithMargins="0">
    <oddHeader>&amp;L&amp;F&amp;R&amp;A</oddHeader>
    <oddFooter>&amp;C&amp;P/&amp;N</oddFooter>
  </headerFooter>
  <rowBreaks count="1" manualBreakCount="1">
    <brk id="37" max="1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19</vt:i4>
      </vt:variant>
      <vt:variant>
        <vt:lpstr>名前付き一覧</vt:lpstr>
      </vt:variant>
      <vt:variant>
        <vt:i4>16</vt:i4>
      </vt:variant>
    </vt:vector>
  </HeadingPairs>
  <TitlesOfParts>
    <vt:vector size="35" baseType="lpstr">
      <vt:lpstr>メイン</vt:lpstr>
      <vt:lpstr>結果</vt:lpstr>
      <vt:lpstr>スコア</vt:lpstr>
      <vt:lpstr>配慮</vt:lpstr>
      <vt:lpstr>係数</vt:lpstr>
      <vt:lpstr>採点Q1</vt:lpstr>
      <vt:lpstr>採点Q2</vt:lpstr>
      <vt:lpstr>採点Q3</vt:lpstr>
      <vt:lpstr>採点LR1</vt:lpstr>
      <vt:lpstr>計画書</vt:lpstr>
      <vt:lpstr>境界値</vt:lpstr>
      <vt:lpstr>採点LR2</vt:lpstr>
      <vt:lpstr>採点LR3</vt:lpstr>
      <vt:lpstr>CO2計算</vt:lpstr>
      <vt:lpstr>重み</vt:lpstr>
      <vt:lpstr>条件(標準)</vt:lpstr>
      <vt:lpstr>条件(個別)</vt:lpstr>
      <vt:lpstr>CO2データ</vt:lpstr>
      <vt:lpstr>クレジット</vt:lpstr>
      <vt:lpstr>CO2データ!Print_Area</vt:lpstr>
      <vt:lpstr>CO2計算!Print_Area</vt:lpstr>
      <vt:lpstr>クレジット!Print_Area</vt:lpstr>
      <vt:lpstr>スコア!Print_Area</vt:lpstr>
      <vt:lpstr>メイン!Print_Area</vt:lpstr>
      <vt:lpstr>係数!Print_Area</vt:lpstr>
      <vt:lpstr>計画書!Print_Area</vt:lpstr>
      <vt:lpstr>結果!Print_Area</vt:lpstr>
      <vt:lpstr>採点LR1!Print_Area</vt:lpstr>
      <vt:lpstr>採点LR2!Print_Area</vt:lpstr>
      <vt:lpstr>採点LR3!Print_Area</vt:lpstr>
      <vt:lpstr>採点Q1!Print_Area</vt:lpstr>
      <vt:lpstr>採点Q2!Print_Area</vt:lpstr>
      <vt:lpstr>重み!Print_Area</vt:lpstr>
      <vt:lpstr>'条件(個別)'!Print_Area</vt:lpstr>
      <vt:lpstr>重み!Print_Titles</vt:lpstr>
    </vt:vector>
  </TitlesOfParts>
  <Company>株式会社日建設計</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遠藤　純子※</dc:creator>
  <cp:lastModifiedBy>川津 直樹</cp:lastModifiedBy>
  <cp:lastPrinted>2014-07-31T07:23:20Z</cp:lastPrinted>
  <dcterms:created xsi:type="dcterms:W3CDTF">2010-08-30T05:31:56Z</dcterms:created>
  <dcterms:modified xsi:type="dcterms:W3CDTF">2024-05-20T01:14:00Z</dcterms:modified>
</cp:coreProperties>
</file>